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Cran_Q_C\0_raw\"/>
    </mc:Choice>
  </mc:AlternateContent>
  <xr:revisionPtr revIDLastSave="0" documentId="13_ncr:1_{90804E1F-5C30-43F5-BB6A-E5ED032BC43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ites and nutrient fluxes  (NA)" sheetId="8" r:id="rId1"/>
    <sheet name="sites and nutrient fluxes " sheetId="2" r:id="rId2"/>
    <sheet name="TN" sheetId="7" r:id="rId3"/>
    <sheet name="NO3" sheetId="6" r:id="rId4"/>
    <sheet name="References nutrient fluxes" sheetId="3" r:id="rId5"/>
    <sheet name="denitirifcation rates 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8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2" i="7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46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207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171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A124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A248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A224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A252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75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A107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A163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A143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A105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A242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A112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A193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A131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A137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A158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A102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A103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A104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A106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A167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A108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A109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A110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A111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A113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A114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A115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A116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A117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A119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A120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A121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A122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A123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A232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A125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A126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A127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A128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A129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A130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A118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A132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A133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A134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A135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A136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A152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A138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A139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A140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A141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A142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A236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A144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A145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A219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A147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A148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A149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A150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A151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A153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A154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A155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A156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A157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A215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A159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A160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A162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A173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A164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A165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A166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A190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A168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A169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A170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A172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A174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A186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A176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A177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A178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A179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A181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A182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A183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A184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A185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A187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A188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A189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A200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A191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A192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A228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A194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A195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A196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A197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A198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A199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A161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A201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A202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A203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A204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A205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A206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A208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A209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A210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A211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A212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A213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A214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216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A217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A218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A220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A221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A222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A223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A180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A225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A226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A227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R43" i="8"/>
  <c r="S43" i="8"/>
  <c r="T43" i="8"/>
  <c r="A229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A230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A231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A233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A234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A235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A237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A238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A239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A240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A241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A243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A244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A245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A246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A247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249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A250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A251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A2" i="8"/>
  <c r="T9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2" i="7"/>
  <c r="H2" i="7"/>
  <c r="G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I1" i="7"/>
  <c r="H1" i="7"/>
  <c r="G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2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1" i="6"/>
  <c r="I1" i="6"/>
  <c r="G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Q221" i="2" l="1"/>
  <c r="R221" i="2" s="1"/>
  <c r="E221" i="2"/>
  <c r="F221" i="2" s="1"/>
  <c r="Q220" i="2"/>
  <c r="R220" i="2" s="1"/>
  <c r="E220" i="2"/>
  <c r="F220" i="2" s="1"/>
  <c r="Q219" i="2"/>
  <c r="R219" i="2" s="1"/>
  <c r="E219" i="2"/>
  <c r="F219" i="2" s="1"/>
  <c r="Q218" i="2"/>
  <c r="R218" i="2" s="1"/>
  <c r="E218" i="2"/>
  <c r="F218" i="2" s="1"/>
  <c r="T194" i="2"/>
  <c r="Q194" i="2"/>
  <c r="H194" i="2"/>
  <c r="F194" i="2"/>
  <c r="R250" i="2"/>
  <c r="Q250" i="2"/>
  <c r="R249" i="2"/>
  <c r="Q249" i="2"/>
  <c r="R248" i="2"/>
  <c r="Q248" i="2"/>
  <c r="R247" i="2"/>
  <c r="Q247" i="2"/>
  <c r="R246" i="2"/>
  <c r="Q246" i="2"/>
  <c r="R245" i="2"/>
  <c r="Q245" i="2"/>
  <c r="R244" i="2"/>
  <c r="Q244" i="2"/>
  <c r="R243" i="2"/>
  <c r="Q243" i="2"/>
  <c r="R242" i="2"/>
  <c r="Q242" i="2"/>
  <c r="R241" i="2"/>
  <c r="Q241" i="2"/>
  <c r="R240" i="2"/>
  <c r="Q240" i="2"/>
  <c r="R239" i="2"/>
  <c r="Q239" i="2"/>
  <c r="R238" i="2"/>
  <c r="Q238" i="2"/>
  <c r="R237" i="2"/>
  <c r="Q237" i="2"/>
  <c r="R236" i="2"/>
  <c r="Q236" i="2"/>
  <c r="R235" i="2"/>
  <c r="Q235" i="2"/>
  <c r="R234" i="2"/>
  <c r="Q234" i="2"/>
  <c r="R233" i="2"/>
  <c r="Q233" i="2"/>
  <c r="R217" i="2"/>
  <c r="R216" i="2"/>
  <c r="R215" i="2"/>
  <c r="F215" i="2"/>
  <c r="R214" i="2"/>
  <c r="R197" i="2"/>
  <c r="Q196" i="2"/>
  <c r="R196" i="2" s="1"/>
  <c r="Q191" i="2"/>
  <c r="G191" i="2"/>
  <c r="H191" i="2" s="1"/>
  <c r="R213" i="2"/>
  <c r="G213" i="2"/>
  <c r="H213" i="2" s="1"/>
  <c r="Q212" i="2"/>
  <c r="R212" i="2" s="1"/>
  <c r="H212" i="2"/>
  <c r="T209" i="2"/>
  <c r="Q209" i="2"/>
  <c r="T201" i="2"/>
  <c r="T200" i="2"/>
  <c r="T252" i="2"/>
  <c r="R252" i="2" s="1"/>
  <c r="G252" i="2"/>
  <c r="F252" i="2" s="1"/>
  <c r="T251" i="2"/>
  <c r="R251" i="2" s="1"/>
  <c r="H232" i="2"/>
  <c r="H231" i="2"/>
  <c r="H230" i="2"/>
  <c r="H229" i="2"/>
  <c r="H228" i="2"/>
  <c r="H227" i="2"/>
  <c r="H226" i="2"/>
  <c r="H225" i="2"/>
  <c r="R208" i="2"/>
  <c r="T208" i="2" s="1"/>
  <c r="G208" i="2"/>
  <c r="F208" i="2" s="1"/>
  <c r="R207" i="2"/>
  <c r="T207" i="2" s="1"/>
  <c r="G207" i="2"/>
  <c r="F207" i="2" s="1"/>
  <c r="R206" i="2"/>
  <c r="T206" i="2" s="1"/>
  <c r="G206" i="2"/>
  <c r="F206" i="2" s="1"/>
  <c r="R205" i="2"/>
  <c r="T205" i="2" s="1"/>
  <c r="G205" i="2"/>
  <c r="F205" i="2" s="1"/>
  <c r="R204" i="2"/>
  <c r="T204" i="2" s="1"/>
  <c r="G204" i="2"/>
  <c r="F204" i="2" s="1"/>
  <c r="R203" i="2"/>
  <c r="T203" i="2" s="1"/>
  <c r="G203" i="2"/>
  <c r="F203" i="2" s="1"/>
  <c r="Q193" i="2"/>
  <c r="F193" i="2"/>
  <c r="E193" i="2"/>
  <c r="Q192" i="2"/>
  <c r="R224" i="2"/>
  <c r="T224" i="2" s="1"/>
  <c r="G224" i="2"/>
  <c r="H224" i="2" s="1"/>
  <c r="R223" i="2"/>
  <c r="T223" i="2" s="1"/>
  <c r="T211" i="2"/>
  <c r="T202" i="2"/>
  <c r="T190" i="2"/>
  <c r="Q190" i="2"/>
  <c r="T187" i="2"/>
  <c r="Q187" i="2"/>
  <c r="T189" i="2"/>
  <c r="Q189" i="2"/>
  <c r="T188" i="2"/>
  <c r="Q188" i="2"/>
  <c r="T186" i="2"/>
  <c r="Q186" i="2"/>
  <c r="T185" i="2"/>
  <c r="Q185" i="2"/>
  <c r="T184" i="2"/>
  <c r="Q184" i="2"/>
  <c r="T183" i="2"/>
  <c r="Q183" i="2"/>
  <c r="T182" i="2"/>
  <c r="Q182" i="2"/>
  <c r="T177" i="2"/>
  <c r="Q177" i="2"/>
  <c r="T176" i="2"/>
  <c r="Q176" i="2"/>
  <c r="T175" i="2"/>
  <c r="Q175" i="2"/>
  <c r="T169" i="2"/>
  <c r="Q169" i="2"/>
  <c r="T168" i="2"/>
  <c r="Q168" i="2"/>
  <c r="T167" i="2"/>
  <c r="Q167" i="2"/>
  <c r="T174" i="2"/>
  <c r="T173" i="2"/>
  <c r="T172" i="2"/>
  <c r="T171" i="2"/>
  <c r="T148" i="2"/>
  <c r="Q148" i="2"/>
  <c r="T147" i="2"/>
  <c r="Q147" i="2"/>
  <c r="F147" i="2"/>
  <c r="T146" i="2"/>
  <c r="Q146" i="2"/>
  <c r="F146" i="2"/>
  <c r="E146" i="2"/>
  <c r="T145" i="2"/>
  <c r="Q145" i="2"/>
  <c r="E145" i="2"/>
  <c r="F145" i="2" s="1"/>
  <c r="T144" i="2"/>
  <c r="Q144" i="2"/>
  <c r="E144" i="2"/>
  <c r="F144" i="2" s="1"/>
  <c r="T143" i="2"/>
  <c r="Q143" i="2"/>
  <c r="E143" i="2"/>
  <c r="F143" i="2" s="1"/>
  <c r="T142" i="2"/>
  <c r="Q142" i="2"/>
  <c r="E142" i="2"/>
  <c r="F142" i="2" s="1"/>
  <c r="T141" i="2"/>
  <c r="Q141" i="2"/>
  <c r="E141" i="2"/>
  <c r="F141" i="2" s="1"/>
  <c r="T140" i="2"/>
  <c r="Q140" i="2"/>
  <c r="E140" i="2"/>
  <c r="F140" i="2" s="1"/>
  <c r="T139" i="2"/>
  <c r="Q139" i="2"/>
  <c r="E139" i="2"/>
  <c r="F139" i="2" s="1"/>
  <c r="T138" i="2"/>
  <c r="Q138" i="2"/>
  <c r="T137" i="2"/>
  <c r="Q137" i="2"/>
  <c r="T136" i="2"/>
  <c r="Q136" i="2"/>
  <c r="T135" i="2"/>
  <c r="Q135" i="2"/>
  <c r="T134" i="2"/>
  <c r="Q134" i="2"/>
  <c r="T133" i="2"/>
  <c r="Q133" i="2"/>
  <c r="T132" i="2"/>
  <c r="Q132" i="2"/>
  <c r="T131" i="2"/>
  <c r="Q131" i="2"/>
  <c r="T130" i="2"/>
  <c r="Q130" i="2"/>
  <c r="T129" i="2"/>
  <c r="Q129" i="2"/>
  <c r="T128" i="2"/>
  <c r="Q128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T127" i="2"/>
  <c r="R127" i="2" s="1"/>
  <c r="Q126" i="2"/>
  <c r="R126" i="2" s="1"/>
  <c r="T126" i="2" s="1"/>
  <c r="Q125" i="2"/>
  <c r="R125" i="2" s="1"/>
  <c r="T125" i="2" s="1"/>
  <c r="Q124" i="2"/>
  <c r="R124" i="2" s="1"/>
  <c r="T124" i="2" s="1"/>
  <c r="Q123" i="2"/>
  <c r="R123" i="2" s="1"/>
  <c r="Q122" i="2"/>
  <c r="R122" i="2" s="1"/>
  <c r="T122" i="2" s="1"/>
  <c r="Q121" i="2"/>
  <c r="R121" i="2" s="1"/>
  <c r="T121" i="2" s="1"/>
  <c r="Q120" i="2"/>
  <c r="R120" i="2" s="1"/>
  <c r="T120" i="2" s="1"/>
  <c r="Q119" i="2"/>
  <c r="R119" i="2" s="1"/>
  <c r="T119" i="2" s="1"/>
  <c r="Q118" i="2"/>
  <c r="R118" i="2" s="1"/>
  <c r="T118" i="2" s="1"/>
  <c r="Q117" i="2"/>
  <c r="R117" i="2" s="1"/>
  <c r="T117" i="2" s="1"/>
  <c r="Q116" i="2"/>
  <c r="R116" i="2" s="1"/>
  <c r="T116" i="2" s="1"/>
  <c r="Q115" i="2"/>
  <c r="R115" i="2" s="1"/>
  <c r="T115" i="2" s="1"/>
  <c r="Q114" i="2"/>
  <c r="R114" i="2" s="1"/>
  <c r="T114" i="2" s="1"/>
  <c r="Q113" i="2"/>
  <c r="R113" i="2" s="1"/>
  <c r="T113" i="2" s="1"/>
  <c r="Q112" i="2"/>
  <c r="R112" i="2" s="1"/>
  <c r="T112" i="2" s="1"/>
  <c r="Q111" i="2"/>
  <c r="R111" i="2" s="1"/>
  <c r="T111" i="2" s="1"/>
  <c r="Q110" i="2"/>
  <c r="R110" i="2" s="1"/>
  <c r="T110" i="2" s="1"/>
  <c r="Q109" i="2"/>
  <c r="R109" i="2" s="1"/>
  <c r="T109" i="2" s="1"/>
  <c r="R104" i="2"/>
  <c r="Q104" i="2"/>
  <c r="R103" i="2"/>
  <c r="Q103" i="2"/>
  <c r="Q39" i="2"/>
  <c r="R39" i="2" s="1"/>
  <c r="G39" i="2"/>
  <c r="Q38" i="2"/>
  <c r="R38" i="2" s="1"/>
  <c r="G38" i="2"/>
  <c r="Q37" i="2"/>
  <c r="R37" i="2" s="1"/>
  <c r="G37" i="2"/>
  <c r="H37" i="2" s="1"/>
  <c r="Q36" i="2"/>
  <c r="R36" i="2" s="1"/>
  <c r="G36" i="2"/>
  <c r="H36" i="2" s="1"/>
  <c r="Q35" i="2"/>
  <c r="R35" i="2" s="1"/>
  <c r="G35" i="2"/>
  <c r="Q34" i="2"/>
  <c r="R34" i="2" s="1"/>
  <c r="G34" i="2"/>
  <c r="Q33" i="2"/>
  <c r="R33" i="2" s="1"/>
  <c r="G33" i="2"/>
  <c r="Q32" i="2"/>
  <c r="R32" i="2" s="1"/>
  <c r="G32" i="2"/>
  <c r="Q31" i="2"/>
  <c r="R31" i="2" s="1"/>
  <c r="G31" i="2"/>
  <c r="Q30" i="2"/>
  <c r="R30" i="2" s="1"/>
  <c r="G30" i="2"/>
  <c r="Q29" i="2"/>
  <c r="R29" i="2" s="1"/>
  <c r="G29" i="2"/>
  <c r="Q28" i="2"/>
  <c r="R28" i="2" s="1"/>
  <c r="G28" i="2"/>
  <c r="Q27" i="2"/>
  <c r="R27" i="2" s="1"/>
  <c r="G27" i="2"/>
  <c r="Q26" i="2"/>
  <c r="R26" i="2" s="1"/>
  <c r="G26" i="2"/>
  <c r="Q25" i="2"/>
  <c r="R25" i="2" s="1"/>
  <c r="G25" i="2"/>
  <c r="Q24" i="2"/>
  <c r="R24" i="2" s="1"/>
  <c r="G24" i="2"/>
  <c r="Q67" i="2"/>
  <c r="Q52" i="2"/>
  <c r="Q41" i="2"/>
  <c r="T60" i="2"/>
  <c r="R60" i="2" s="1"/>
  <c r="T59" i="2"/>
  <c r="R59" i="2" s="1"/>
  <c r="T58" i="2"/>
  <c r="R58" i="2" s="1"/>
  <c r="T79" i="2"/>
  <c r="E79" i="2"/>
  <c r="F79" i="2" s="1"/>
  <c r="T78" i="2"/>
  <c r="Q66" i="2"/>
  <c r="E66" i="2"/>
  <c r="F66" i="2" s="1"/>
  <c r="Q51" i="2"/>
  <c r="E51" i="2"/>
  <c r="F51" i="2" s="1"/>
  <c r="Q40" i="2"/>
  <c r="H40" i="2"/>
  <c r="G40" i="2"/>
  <c r="T83" i="2"/>
  <c r="R83" i="2" s="1"/>
  <c r="T82" i="2"/>
  <c r="R82" i="2" s="1"/>
  <c r="T81" i="2"/>
  <c r="R81" i="2" s="1"/>
  <c r="T80" i="2"/>
  <c r="R80" i="2" s="1"/>
  <c r="T23" i="2"/>
  <c r="R23" i="2" s="1"/>
  <c r="T22" i="2"/>
  <c r="R22" i="2" s="1"/>
  <c r="T21" i="2"/>
  <c r="R21" i="2" s="1"/>
  <c r="T20" i="2"/>
  <c r="R20" i="2" s="1"/>
  <c r="H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T13" i="2" s="1"/>
  <c r="R12" i="2"/>
  <c r="T12" i="2" s="1"/>
  <c r="R11" i="2"/>
  <c r="T11" i="2" s="1"/>
  <c r="Q98" i="2"/>
  <c r="R98" i="2" s="1"/>
  <c r="T98" i="2" s="1"/>
  <c r="Q97" i="2"/>
  <c r="R97" i="2" s="1"/>
  <c r="T97" i="2" s="1"/>
  <c r="Q96" i="2"/>
  <c r="R96" i="2" s="1"/>
  <c r="T96" i="2" s="1"/>
  <c r="Q91" i="2"/>
  <c r="G91" i="2"/>
  <c r="F91" i="2" s="1"/>
  <c r="Q77" i="2"/>
  <c r="G77" i="2"/>
  <c r="F77" i="2" s="1"/>
  <c r="Q61" i="2"/>
  <c r="G61" i="2"/>
  <c r="F61" i="2" s="1"/>
  <c r="Q57" i="2"/>
  <c r="G57" i="2"/>
  <c r="F57" i="2" s="1"/>
  <c r="Q54" i="2"/>
  <c r="G54" i="2"/>
  <c r="F54" i="2" s="1"/>
  <c r="Q53" i="2"/>
  <c r="G53" i="2"/>
  <c r="F53" i="2" s="1"/>
  <c r="Q42" i="2"/>
  <c r="G42" i="2"/>
  <c r="F42" i="2" s="1"/>
  <c r="R86" i="2"/>
  <c r="T86" i="2" s="1"/>
  <c r="R85" i="2"/>
  <c r="T85" i="2" s="1"/>
  <c r="R84" i="2"/>
  <c r="T84" i="2" s="1"/>
  <c r="T68" i="2"/>
  <c r="Q102" i="2"/>
  <c r="R102" i="2" s="1"/>
  <c r="Q101" i="2"/>
  <c r="R101" i="2" s="1"/>
  <c r="Q100" i="2"/>
  <c r="R100" i="2" s="1"/>
  <c r="Q99" i="2"/>
  <c r="R99" i="2" s="1"/>
  <c r="Q95" i="2"/>
  <c r="R95" i="2" s="1"/>
  <c r="Q94" i="2"/>
  <c r="R94" i="2" s="1"/>
  <c r="Q93" i="2"/>
  <c r="R93" i="2" s="1"/>
  <c r="Q92" i="2"/>
  <c r="R92" i="2" s="1"/>
  <c r="Q90" i="2"/>
  <c r="R90" i="2" s="1"/>
  <c r="Q89" i="2"/>
  <c r="R89" i="2" s="1"/>
  <c r="Q88" i="2"/>
  <c r="R88" i="2" s="1"/>
  <c r="Q87" i="2"/>
  <c r="R8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5" i="2"/>
  <c r="R65" i="2" s="1"/>
  <c r="Q64" i="2"/>
  <c r="R64" i="2" s="1"/>
  <c r="Q63" i="2"/>
  <c r="R63" i="2" s="1"/>
  <c r="Q62" i="2"/>
  <c r="R62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R5" i="2"/>
  <c r="Q5" i="2"/>
  <c r="R4" i="2"/>
  <c r="Q4" i="2"/>
  <c r="R3" i="2"/>
  <c r="Q3" i="2"/>
  <c r="R2" i="2"/>
  <c r="Q2" i="2"/>
  <c r="T10" i="2"/>
  <c r="Q10" i="2"/>
  <c r="Q9" i="2"/>
  <c r="T8" i="2"/>
  <c r="Q8" i="2"/>
  <c r="T7" i="2"/>
  <c r="Q7" i="2"/>
  <c r="T6" i="2"/>
  <c r="Q6" i="2"/>
  <c r="F235" i="2" l="1"/>
  <c r="E235" i="2"/>
  <c r="E239" i="2"/>
  <c r="F239" i="2"/>
  <c r="F243" i="2"/>
  <c r="E243" i="2"/>
  <c r="F247" i="2"/>
  <c r="E247" i="2"/>
  <c r="F233" i="2"/>
  <c r="E233" i="2"/>
  <c r="F237" i="2"/>
  <c r="E237" i="2"/>
  <c r="F241" i="2"/>
  <c r="E241" i="2"/>
  <c r="E245" i="2"/>
  <c r="F245" i="2"/>
  <c r="F249" i="2"/>
  <c r="E249" i="2"/>
  <c r="F234" i="2"/>
  <c r="E234" i="2"/>
  <c r="F236" i="2"/>
  <c r="E236" i="2"/>
  <c r="F238" i="2"/>
  <c r="E238" i="2"/>
  <c r="F240" i="2"/>
  <c r="E240" i="2"/>
  <c r="F242" i="2"/>
  <c r="E242" i="2"/>
  <c r="F244" i="2"/>
  <c r="E244" i="2"/>
  <c r="F246" i="2"/>
  <c r="E246" i="2"/>
  <c r="F248" i="2"/>
  <c r="E248" i="2"/>
  <c r="F250" i="2"/>
  <c r="E250" i="2"/>
  <c r="R194" i="2"/>
  <c r="R128" i="2"/>
  <c r="R132" i="2"/>
  <c r="R145" i="2"/>
  <c r="R168" i="2"/>
  <c r="R177" i="2"/>
  <c r="R9" i="2"/>
  <c r="T104" i="2"/>
  <c r="R144" i="2"/>
  <c r="G146" i="2"/>
  <c r="H146" i="2" s="1"/>
  <c r="F148" i="2"/>
  <c r="T238" i="2"/>
  <c r="T241" i="2"/>
  <c r="T245" i="2"/>
  <c r="T2" i="2"/>
  <c r="T15" i="2"/>
  <c r="T18" i="2"/>
  <c r="R129" i="2"/>
  <c r="R133" i="2"/>
  <c r="R176" i="2"/>
  <c r="R189" i="2"/>
  <c r="T17" i="2"/>
  <c r="T19" i="2"/>
  <c r="R182" i="2"/>
  <c r="G193" i="2"/>
  <c r="H193" i="2" s="1"/>
  <c r="T247" i="2"/>
  <c r="R136" i="2"/>
  <c r="R138" i="2"/>
  <c r="R148" i="2"/>
  <c r="T240" i="2"/>
  <c r="R6" i="2"/>
  <c r="R10" i="2"/>
  <c r="T3" i="2"/>
  <c r="T5" i="2"/>
  <c r="T103" i="2"/>
  <c r="R140" i="2"/>
  <c r="R141" i="2"/>
  <c r="R167" i="2"/>
  <c r="R185" i="2"/>
  <c r="R188" i="2"/>
  <c r="R187" i="2"/>
  <c r="R209" i="2"/>
  <c r="T248" i="2"/>
  <c r="R7" i="2"/>
  <c r="T14" i="2"/>
  <c r="R130" i="2"/>
  <c r="R137" i="2"/>
  <c r="R143" i="2"/>
  <c r="R175" i="2"/>
  <c r="R186" i="2"/>
  <c r="T233" i="2"/>
  <c r="T237" i="2"/>
  <c r="T242" i="2"/>
  <c r="T249" i="2"/>
  <c r="R8" i="2"/>
  <c r="T4" i="2"/>
  <c r="H79" i="2"/>
  <c r="R131" i="2"/>
  <c r="R134" i="2"/>
  <c r="R139" i="2"/>
  <c r="R142" i="2"/>
  <c r="R147" i="2"/>
  <c r="R183" i="2"/>
  <c r="R190" i="2"/>
  <c r="T239" i="2"/>
  <c r="T246" i="2"/>
  <c r="E40" i="2"/>
  <c r="F40" i="2" s="1"/>
  <c r="T235" i="2"/>
  <c r="T244" i="2"/>
  <c r="R135" i="2"/>
  <c r="R146" i="2"/>
  <c r="R169" i="2"/>
  <c r="R184" i="2"/>
  <c r="T234" i="2"/>
  <c r="T236" i="2"/>
  <c r="T243" i="2"/>
  <c r="T250" i="2"/>
  <c r="T16" i="2"/>
  <c r="G248" i="2"/>
  <c r="H248" i="2" s="1"/>
  <c r="G244" i="2" l="1"/>
  <c r="H244" i="2" s="1"/>
  <c r="G238" i="2"/>
  <c r="H238" i="2" s="1"/>
  <c r="G250" i="2"/>
  <c r="H250" i="2" s="1"/>
  <c r="G234" i="2"/>
  <c r="H234" i="2" s="1"/>
  <c r="G241" i="2"/>
  <c r="G237" i="2"/>
  <c r="H237" i="2" s="1"/>
  <c r="G249" i="2"/>
  <c r="H249" i="2" s="1"/>
  <c r="G242" i="2"/>
  <c r="H242" i="2" s="1"/>
  <c r="G233" i="2"/>
  <c r="H233" i="2" s="1"/>
  <c r="G243" i="2"/>
  <c r="H243" i="2" s="1"/>
  <c r="G236" i="2"/>
  <c r="H236" i="2" s="1"/>
  <c r="G235" i="2"/>
  <c r="G239" i="2"/>
  <c r="H239" i="2" s="1"/>
  <c r="G240" i="2"/>
  <c r="H240" i="2" s="1"/>
  <c r="G245" i="2"/>
  <c r="H245" i="2" s="1"/>
  <c r="G246" i="2"/>
  <c r="H246" i="2" s="1"/>
  <c r="G247" i="2"/>
</calcChain>
</file>

<file path=xl/sharedStrings.xml><?xml version="1.0" encoding="utf-8"?>
<sst xmlns="http://schemas.openxmlformats.org/spreadsheetml/2006/main" count="7275" uniqueCount="448">
  <si>
    <t>Country</t>
  </si>
  <si>
    <t>Reference</t>
  </si>
  <si>
    <t>Nutrient</t>
  </si>
  <si>
    <t>Efficiency (%)</t>
  </si>
  <si>
    <t>Denmark</t>
  </si>
  <si>
    <t>Netherlands</t>
  </si>
  <si>
    <t>Hefting &amp; de Klein, 1998</t>
  </si>
  <si>
    <t>Hazelbekke, NL</t>
  </si>
  <si>
    <t>Hefting et al, 2006</t>
  </si>
  <si>
    <t>Ribbert, NL</t>
  </si>
  <si>
    <t>Herbaceous</t>
  </si>
  <si>
    <t>New Zealand</t>
  </si>
  <si>
    <t>Hill A., 1996; Cooper 1990</t>
  </si>
  <si>
    <t>Mineral</t>
  </si>
  <si>
    <t>England</t>
  </si>
  <si>
    <t>Sth England</t>
  </si>
  <si>
    <t>Hill A., 1996; Haycock and Pinay, 1993</t>
  </si>
  <si>
    <t>USA</t>
  </si>
  <si>
    <t>Hill A., 1996; Jordan et al., 1993</t>
  </si>
  <si>
    <t>Georgia, USA</t>
  </si>
  <si>
    <t>Hill A., 1996; Lowrance 1992</t>
  </si>
  <si>
    <t>Pennsylvania, USA</t>
  </si>
  <si>
    <t>Hill A., 1996; Schnabel, 1986</t>
  </si>
  <si>
    <t>Brede, DK</t>
  </si>
  <si>
    <t>Hoffmann C., et al, 2011</t>
  </si>
  <si>
    <t>Egebjerg, DK</t>
  </si>
  <si>
    <t>Conneticut, US</t>
  </si>
  <si>
    <t>Hoffmann et al., 2009, Clausen, 2000</t>
  </si>
  <si>
    <t>Hoffmann et al., 2009, Hoffmann 1993</t>
  </si>
  <si>
    <t>Hoffmann et al., 2009, Mander et al 1997; Hoffmann 1991</t>
  </si>
  <si>
    <t>Canada</t>
  </si>
  <si>
    <t>Hoffmann et al., 2009; Jordan et al., 2003</t>
  </si>
  <si>
    <t>Hoffmann et al., 2009; Knox et al,. 2008</t>
  </si>
  <si>
    <t>Finland</t>
  </si>
  <si>
    <t>Koskiaho et al 2003</t>
  </si>
  <si>
    <t>Wisconsin, US</t>
  </si>
  <si>
    <t>Hoffmann et al., 2009; Novitzki 1978</t>
  </si>
  <si>
    <t>Egeskov, DK</t>
  </si>
  <si>
    <t>Hoffmann C., et al., 2012</t>
  </si>
  <si>
    <r>
      <t xml:space="preserve">Stor </t>
    </r>
    <r>
      <rPr>
        <sz val="11"/>
        <rFont val="Calibri"/>
        <family val="2"/>
      </rPr>
      <t>Å, DK</t>
    </r>
  </si>
  <si>
    <t xml:space="preserve">Hoffmann C. &amp; Baattrup-Pedersen A., 2007 </t>
  </si>
  <si>
    <t>Jeppesen E., et al., 2011</t>
  </si>
  <si>
    <t>Germany</t>
  </si>
  <si>
    <t>Pohnsdorfer Stauung Eastpolder, DE</t>
  </si>
  <si>
    <t>Kieckbusch und Schrautzer, 2007</t>
  </si>
  <si>
    <t>Koerselman et al., 1988</t>
  </si>
  <si>
    <t>Westbroek Polder, NL</t>
  </si>
  <si>
    <t>Koerselman et al., 1990</t>
  </si>
  <si>
    <t>Molenpolder, NL</t>
  </si>
  <si>
    <t>Sweden</t>
  </si>
  <si>
    <t>Constructed wet, SE</t>
  </si>
  <si>
    <t>Kynkaanniemi et al., 2013</t>
  </si>
  <si>
    <t>Lenz and Wild, 2001</t>
  </si>
  <si>
    <t>Vomb East, SE</t>
  </si>
  <si>
    <t>Leonardson et al, 1994</t>
  </si>
  <si>
    <t>Vomb West, SE</t>
  </si>
  <si>
    <t>Estonia</t>
  </si>
  <si>
    <t>Porigoji, EE</t>
  </si>
  <si>
    <t>Mander et al., 1997</t>
  </si>
  <si>
    <t>Vieratsi, EE</t>
  </si>
  <si>
    <t>Mander et al., 1997; Payer &amp; Weil, 1987</t>
  </si>
  <si>
    <t>France</t>
  </si>
  <si>
    <t>Mander et al., 1997; Pinay and Decamps, 1988</t>
  </si>
  <si>
    <t>Dummerstorf, DE</t>
  </si>
  <si>
    <t>Tiemeyer &amp; Kahle 2014</t>
  </si>
  <si>
    <t>Dommel R nat reserve, NL</t>
  </si>
  <si>
    <t>Wassen et al., 2006</t>
  </si>
  <si>
    <t>Poland</t>
  </si>
  <si>
    <t>Biebrza Nat Park, PL</t>
  </si>
  <si>
    <t>Ohio, US</t>
  </si>
  <si>
    <t>Mitsch et al., 2014; Niswander and Mitsch, 1995</t>
  </si>
  <si>
    <t>Mitsch et al., 2014; Fink and Mitsch, 2004</t>
  </si>
  <si>
    <t>Mitsch W., et al., 2014</t>
  </si>
  <si>
    <t>Pohnsdorfer Stauung Westpolder, DE</t>
  </si>
  <si>
    <t>Devito et al., 1989</t>
  </si>
  <si>
    <t>Mitsch et al., 2005</t>
  </si>
  <si>
    <t>Audet J., et al., 2019</t>
  </si>
  <si>
    <t>Organic</t>
  </si>
  <si>
    <t>Herbaceouses</t>
  </si>
  <si>
    <t>Arboraceous, mixed</t>
  </si>
  <si>
    <t>Aerenchymous</t>
  </si>
  <si>
    <t>Study site</t>
  </si>
  <si>
    <t>total nitrogen</t>
  </si>
  <si>
    <t>total phosphorus</t>
  </si>
  <si>
    <t>nitrate</t>
  </si>
  <si>
    <t>ammonium</t>
  </si>
  <si>
    <t>Organic/Mineral Soil</t>
  </si>
  <si>
    <t>Vegetation type</t>
  </si>
  <si>
    <t>Arboraceous</t>
  </si>
  <si>
    <t>dissolved organic nitrogen</t>
  </si>
  <si>
    <t>Lowrance et al., 1984; Hoffmann et al 2009; Mander et al., 1997</t>
  </si>
  <si>
    <t>Groundwater</t>
  </si>
  <si>
    <t>HLR [mm]</t>
  </si>
  <si>
    <t>Area [m²]</t>
  </si>
  <si>
    <t>Qin [m³/yr]</t>
  </si>
  <si>
    <t>Infiltration and direct surface runoff</t>
  </si>
  <si>
    <t>N/A</t>
  </si>
  <si>
    <t>Brüsch &amp; Nilsson, 1993</t>
  </si>
  <si>
    <t>Main source/flow path in</t>
  </si>
  <si>
    <t>Width [m]</t>
  </si>
  <si>
    <t>2/3 GW, 1/3 ditch</t>
  </si>
  <si>
    <t>GW</t>
  </si>
  <si>
    <t>SWU</t>
  </si>
  <si>
    <t>Main source/flow path in (simple)</t>
  </si>
  <si>
    <t>Drain discharge from upland</t>
  </si>
  <si>
    <t>Catchment area [ha]</t>
  </si>
  <si>
    <t>Shallow lateral GW</t>
  </si>
  <si>
    <t>SWR</t>
  </si>
  <si>
    <t>Deep groundwater, shallow groundwater</t>
  </si>
  <si>
    <t>Deep groundwater, shallow groundwater, overland flow</t>
  </si>
  <si>
    <t>70% shallow lateral GW, 30% surface runoff</t>
  </si>
  <si>
    <t>Deep groundwater and precipitation</t>
  </si>
  <si>
    <t>GW exfiltration =&gt; surface flow (return flow)</t>
  </si>
  <si>
    <t>Shallow lateral GW, GW exfiltration =&gt; surface flow (return flow)</t>
  </si>
  <si>
    <t>Main flow paths in buffer</t>
  </si>
  <si>
    <t>Shallow lateral GW and some exfiltration</t>
  </si>
  <si>
    <t>GW=&gt;SR</t>
  </si>
  <si>
    <t>SWU=&gt;GW</t>
  </si>
  <si>
    <t>GW=&gt;GW</t>
  </si>
  <si>
    <t>SWR=&gt;SR</t>
  </si>
  <si>
    <t>Inflow=&gt;Outflow</t>
  </si>
  <si>
    <t>Artificial surface runoff</t>
  </si>
  <si>
    <t>Direct surface runoff</t>
  </si>
  <si>
    <t>SWU=&gt;SR</t>
  </si>
  <si>
    <t>Direct surface runoff (natural)</t>
  </si>
  <si>
    <t>Direct surface runoff (channelized)</t>
  </si>
  <si>
    <t>Precipitation</t>
  </si>
  <si>
    <t>P</t>
  </si>
  <si>
    <t>Infiltration/exfiltration and direct surface runoff</t>
  </si>
  <si>
    <t>Infiltration/exfiltration</t>
  </si>
  <si>
    <t>Hoffmann C., et al, 2006</t>
  </si>
  <si>
    <t>Surface runoff from upland</t>
  </si>
  <si>
    <t>Exfiltrating and pumping to hatchery =&gt; surface runoff</t>
  </si>
  <si>
    <t>Rewetted Fen</t>
  </si>
  <si>
    <t>Riparian Wetland/Bank</t>
  </si>
  <si>
    <t>Floodplain</t>
  </si>
  <si>
    <t>WBZ-type</t>
  </si>
  <si>
    <t>Stevns Å, DK</t>
  </si>
  <si>
    <t>Natural Fen</t>
  </si>
  <si>
    <t>Drain discharge from upland and river inundation</t>
  </si>
  <si>
    <t>2/3 inundation, 1/3 Drain discharge from upland</t>
  </si>
  <si>
    <t>inundation from river and direct surface runoff</t>
  </si>
  <si>
    <t>inundation and drain discharge</t>
  </si>
  <si>
    <t>River inundation</t>
  </si>
  <si>
    <t>inundation from river =&gt; flow through wetland</t>
  </si>
  <si>
    <t>River inundation and drain discharge from upland</t>
  </si>
  <si>
    <t>Precipitation and river inundation</t>
  </si>
  <si>
    <t>River inundation and precipitation</t>
  </si>
  <si>
    <t>Precipitation and groundwater</t>
  </si>
  <si>
    <t>Direct surface runoff and groundwater</t>
  </si>
  <si>
    <t>Hjarup Bæk, DK</t>
  </si>
  <si>
    <t>Gammelby Bæk, DK</t>
  </si>
  <si>
    <t>Nagbøl Å, DK</t>
  </si>
  <si>
    <t>Langevad Å, DK</t>
  </si>
  <si>
    <t>Fensholt T31, DK</t>
  </si>
  <si>
    <t>Fensholt T32, DK</t>
  </si>
  <si>
    <t>Fensholt T33, DK</t>
  </si>
  <si>
    <t>Fensholt T34, DK</t>
  </si>
  <si>
    <t>Flyttrask, SU</t>
  </si>
  <si>
    <t>Hovi, SU</t>
  </si>
  <si>
    <t>Maryland, US</t>
  </si>
  <si>
    <t>Sierra Nevada, CA, US</t>
  </si>
  <si>
    <t>Lower Coastal Plain, North Carolina, US</t>
  </si>
  <si>
    <t>Middle Coastal Plain, North Carolina, US</t>
  </si>
  <si>
    <t>Little River, Georgia, US</t>
  </si>
  <si>
    <t>Illinois, US</t>
  </si>
  <si>
    <t>Olentangy River, Ohio US</t>
  </si>
  <si>
    <t>Stream water, groundwater, and precipitation</t>
  </si>
  <si>
    <t>Stream water</t>
  </si>
  <si>
    <t>Rabis Bæk, DK</t>
  </si>
  <si>
    <t>Groundwater, surface runoff and precipitation</t>
  </si>
  <si>
    <t>Garonne Valley, FR</t>
  </si>
  <si>
    <t>Donaumoos, Area 3, Bayern, DE</t>
  </si>
  <si>
    <t>GW exfiltration =&gt; surface flow in ditches</t>
  </si>
  <si>
    <t>Precipitation, surface water, and groundwater</t>
  </si>
  <si>
    <t>Groundwater and precipitation</t>
  </si>
  <si>
    <t>Infiltration =&gt; GW</t>
  </si>
  <si>
    <t>Wasterwater</t>
  </si>
  <si>
    <t>Direct surface runof</t>
  </si>
  <si>
    <t>Caernarvon, Louisiana, US</t>
  </si>
  <si>
    <t>Surface runoff from upland and groundwater</t>
  </si>
  <si>
    <t>SRP</t>
  </si>
  <si>
    <t>Wetland A, Ohio, US</t>
  </si>
  <si>
    <t>Wetland B, Ohio, US</t>
  </si>
  <si>
    <t>Wetland D, Ohio, US</t>
  </si>
  <si>
    <t>Direct surface runoff and infiltration to groundwater</t>
  </si>
  <si>
    <t>-</t>
  </si>
  <si>
    <t>Peterjohn and Correll, 1984; Hoffmann et al., 2009</t>
  </si>
  <si>
    <t>Peterjohn and Correll, 1984; Mander et al., 1997</t>
  </si>
  <si>
    <t>Kovacic et al., 2000; Mitsch et al., 2014</t>
  </si>
  <si>
    <t>Petersen et al., 2020a; Petersen et al., 2020b</t>
  </si>
  <si>
    <t>Hoffmann et al., 2009</t>
  </si>
  <si>
    <t>Osborne and Kovacic, 1993; Hill, 1996</t>
  </si>
  <si>
    <t>Load (kg N, P/ha/yr)</t>
  </si>
  <si>
    <t>Loss (kg N, P/ha/yr)</t>
  </si>
  <si>
    <t>Retention (kg N, P/ha/yr)</t>
  </si>
  <si>
    <t>Paint1 SF, California, US</t>
  </si>
  <si>
    <t>Ontario, CA</t>
  </si>
  <si>
    <t>Geddebækken, DK</t>
  </si>
  <si>
    <t>Grøngrøft, DK</t>
  </si>
  <si>
    <t>Lyngbygaards Å, DK</t>
  </si>
  <si>
    <t>Sandskær, DK</t>
  </si>
  <si>
    <t>Snaremose Sø, DK</t>
  </si>
  <si>
    <t>Tim Enge, DK</t>
  </si>
  <si>
    <t>Vilsted Sø, DK</t>
  </si>
  <si>
    <t>Aarlsev Engsø, DK</t>
  </si>
  <si>
    <t>Horne Mølleå, DK</t>
  </si>
  <si>
    <t>Kappel, DK</t>
  </si>
  <si>
    <t>Karlsmosen, DK</t>
  </si>
  <si>
    <t>Lindkær, DK</t>
  </si>
  <si>
    <t>Ulleruplund, DK</t>
  </si>
  <si>
    <t>Voldby Bæk, Anbæk, DK</t>
  </si>
  <si>
    <t>Hoffmann C., et al, 2011; Hoffmann et al., 2009</t>
  </si>
  <si>
    <t>Hoffmann C., et al, 2011; Hoffmann et al. 2009</t>
  </si>
  <si>
    <t>Donaumoos, Area 1, Bayern, DE</t>
  </si>
  <si>
    <t>Donaumoos, Area 2, Bayern, DE</t>
  </si>
  <si>
    <t>Vechtplassen site 1, NL</t>
  </si>
  <si>
    <t>Vechtplassen site 2, NL</t>
  </si>
  <si>
    <t>Fens, NL</t>
  </si>
  <si>
    <t>Rewetted Fens</t>
  </si>
  <si>
    <t>Scotsman Valley, NZ</t>
  </si>
  <si>
    <t>Hill A., 1996; Jacobs &amp; Gilliam, 1985, Mander et al 1997</t>
  </si>
  <si>
    <t>Rhode River basin, Maryland, US</t>
  </si>
  <si>
    <t>Ohio Wetland 1, US</t>
  </si>
  <si>
    <t>Ohio Wetland 2 , US</t>
  </si>
  <si>
    <t>Franklin County, Ohio, US</t>
  </si>
  <si>
    <t>Devito, K. J., P. J. Dillon, and B. D. Lazerte (1989), Phosphorus and nitrogen retention in five Precambrian shield wetlands, Biogeochemistry, 8(3), 185-204.</t>
  </si>
  <si>
    <t>Hoffmann, C. C., C. Kjaergaard, J. Uusi-Kämppä, H. C. B. Hansen, and B. Kronvang (2009), Phosphorus Retention in Riparian Buffers: Review of Their Efficiency, 38(5), 1942-1955.</t>
  </si>
  <si>
    <t>Abu-Zrieg et al., 2003; Hoffmann et al., 2009</t>
  </si>
  <si>
    <t>Abu-Zreig, M., R. P. Rudra, H. R. Whiteley, M. N. Lalonde, and N. K. Kaushik (2003), Phosphorus removal in vegetated filter strips, J Environ Qual, 32(2), 613-619.</t>
  </si>
  <si>
    <t>Hoffmann, C. C., B. Kronvang, and J. Audet (2011), Evaluation of nutrient retention in four restored Danish riparian wetlands, Hydrobiologia, 674(1), 5-24.</t>
  </si>
  <si>
    <t>Hoffmann, C. C., and A. Baattrup-Pedersen (2007), Re-establishing freshwater wetlands in Denmark, Ecological Engineering, 30(2), 157-166.</t>
  </si>
  <si>
    <t>Audet, J., D. Zak, J. Bidstrup, and C. C. Hoffmann (2019), Nitrogen and phosphorus retention in Danish restored wetlands, Ambio, 49(1), 324-336.</t>
  </si>
  <si>
    <t>Brüsch, W., and B. Nilsson (1993), Nitrate transformation and water movement in a wetland area, Hydrobiologia, 251, 103-111.</t>
  </si>
  <si>
    <t>Dørge, J. (1994), Modelling nitrogen transformations in freshwater wetlands. Estimating nitrogen retention and removal in natural wetlands in relation to their hydrology and nutrient loadings, Ecological Modelling, 75-76, 409-420.</t>
  </si>
  <si>
    <t>Ambus, P., and C. C. Hoffman (1990), Kvælstofomsætning og stofbalance i ånære områder, Danish Ministry of Environment, Copenhagen.</t>
  </si>
  <si>
    <t>Hefting, M. M., and J. J. M. de Klein (1998), Nitrogen removal in buffer strips along a lowland stream in the Netherlands: a pilot study, Environmental Pollution, 102(1, Supplement 1), 521-526.</t>
  </si>
  <si>
    <t>Hefting, M., B. Beltman, D. Karssenberg, K. Rebel, M. van Riessen, and M. Spijker (2006), Water quality dynamics and hydrology in nitrate loaded riparian zones in the Netherlands, Environmental Pollution, 139(1), 143-156.</t>
  </si>
  <si>
    <t>Cooper, A. B. (1990), Nitrate depletion in the riparian zone and stream channel of a small headwater catchment, Hydrobiologia, 202(1-2), 13-26.</t>
  </si>
  <si>
    <t>Hill, A. R. (1996), Nitrate removal in stream riparian zones, Journal of Environmental Quality, 25(4), 743-755.</t>
  </si>
  <si>
    <t>Haycock, N. E., and G. Pinay (1993), Groundwater nitrate dynamics in grass and poplar vegetated riparian buffer strips during the winter, Journal of Environmental Quality, 22(2), 273-278.</t>
  </si>
  <si>
    <t>Jacobs, T. C., and J. W. Gilliam (1985), Riparian Losses of Nitrate from Agricultural Drainage Waters, Journal of Environmental Quality, 14(4), 472-478.</t>
  </si>
  <si>
    <t>Mander, Ü., V. Kuusemets, K. Lõhmus, and T. Mauring (1997), Efficiency and dimensioning of riparian buffer zones in agricultural catchments, Ecological Engineering, 8(4), 299-324.</t>
  </si>
  <si>
    <t>Jordan, T. E., D. L. Correll, and D. E. Weller (1993), Nutrient Interception by a Riparian Forest Receiving Inputs from Adjacent Cropland, Journal of Environmental Quality, 22(3), 467-473.</t>
  </si>
  <si>
    <t>Lowrance, R. (1992), Groundwater Nitrate and Denitrification in a Coastal Plain Riparian Forest, Journal of Environmental Quality, 21(3), 401-405.</t>
  </si>
  <si>
    <t>Schnabel, R. R. (1986), Nitrate concentrations in a small stream as affected by chemical and hydrologic interactions in the riparian zone, in Watershed Research Perspectives, edited by D. L. Correll, pp. 263-282, Smithsonian Press, Washington DC.</t>
  </si>
  <si>
    <t>Hoffmann, C. C., P. Berg, M. Dahl, S. E. Larsen, H. E. Andersen, and B. Andersen (2006), Groundwater flow and transport of nutrients through a riparian meadow – Field data and modelling, Journal of Hydrology, 331(1), 315-335.</t>
  </si>
  <si>
    <t>Hoffmann, C. C., L. Heiberg, J. Audet, B. Schønfeldt, A. Fuglsang, B. Kronvang, N. B. Ovesen, C. Kjaergaard, H. C. B. Hansen, and H. S. Jensen (2012), Low phosphorus release but high nitrogen removal in two restored riparian wetlands inundated with agricultural drainage water, Ecological Engineering, 46, 75-87.</t>
  </si>
  <si>
    <t>Clausen, J. C., K. Guillard, C. M. Sigmund, and K. M. Dors (2000), Water Quality Changes from Riparian Buffer Restoration in Connecticut, Journal of Environmental Quality, 29(6), 1751-1761.</t>
  </si>
  <si>
    <t>Hoffmann, C. C., M. Dahl, L. Kamp-Nielsen, and H. Stryhn (1993), Vand- og stofbalance i en natureng, Miljøministeriet. Miljøstyrelsen.</t>
  </si>
  <si>
    <t>Hoffman, C. C. (1991), Water and nutrient balances for a flooded riparian wetland, in Nitrogen and Phosphorus in Fresh and Marine Water. Project Abstracts of the Danish NPo Research Programme, C-Abstracts, C13-b., edited, pp. 203–220., Ministry of the Environment, National Agency of Environmental Protection, Denmark.</t>
  </si>
  <si>
    <t>Jordan, T. E., D. F. Whigham, K. H. Hofmockel, and M. A. Pittek (2003), Nutrient and sediment removal by a restored wetland receiving agricultural runoff, Journal of Environmental Quality, 32(4), 1534-1547.</t>
  </si>
  <si>
    <t>Knox, A. K., R. A. Dahlgren, K. W. Tate, and E. R. Atwill (2008), Efficacy of Natural Wetlands to Retain Nutrient, Sediment and Microbial Pollutants, Journal of Environmental Quality, 37(5), 1837-1846.</t>
  </si>
  <si>
    <t>Novitzki, R. P. (1978), Hydrology of the Nevin Wetland near Madison, Wisconsin, U.S. Geological Survey, Water Resources Division, Madison, Wisconsin.</t>
  </si>
  <si>
    <t>Jeppesen, E., et al. (2011), Climate change effects on nitrogen loading from cultivated catchments in Europe: implications for nitrogen retention, ecological state of lakes and adaptation, Hydrobiologia, 663(1), 1-21.</t>
  </si>
  <si>
    <t>Kieckbusch, J. J., and J. Schrautzer (2007), Nitrogen and phosphorus dynamics of a re-wetted shallow-flooded peatland, Sci. Total Environ., 380(1), 3-12.</t>
  </si>
  <si>
    <t>Koerselman, W., B. Beltman, and J. T. A. Verhoeven (1988), Nutrient Budgets for Small Mesotrophic Fens Surrounded by Heavily Fertilized Grasslands, Ecological Bulletins(39), 151-153.</t>
  </si>
  <si>
    <t>Koerselman, W., S. A. Bakker, and M. Blom (1990), Nitrogen, Phosphorus and Potassium Budgets for Two Small Fens Surrounded by Heavily Fertilized Pastures, Journal of Ecology, 78(2), 428-442.</t>
  </si>
  <si>
    <t>Koskiaho, J., P. Ekholm, M. Räty, J. Riihimäki, and M. Puustinen (2003), Retaining agricultural nutrients in constructed wetlands—experiences under boreal conditions, Ecological Engineering, 20(1), 89-103.</t>
  </si>
  <si>
    <t>Kovacic, D. A., M. B. David, L. E. Gentry, K. M. Starks, and R. A. Cooke (2000), Effectiveness of Constructed Wetlands in Reducing Nitrogen and Phosphorus Export from Agricultural Tile Drainage, Journal of Environmental Quality, 29(4), 1262-1274.</t>
  </si>
  <si>
    <t>Mitsch, W. J., L. Zhang, E. Waletzko, and B. Bernal (2014), Validation of the ecosystem services of created wetlands: Two decades of plant succession, nutrient retention, and carbon sequestration in experimental riverine marshes, Ecological Engineering, 72, 11-24.</t>
  </si>
  <si>
    <t>Kynkäänniemi, P., B. Ulén, G. Torstensson, and K. S. Tonderski (2013), Phosphorus Retention in a Newly Constructed Wetland Receiving Agricultural Tile Drainage Water, Journal of Environmental Quality, 42(2), 596-605.</t>
  </si>
  <si>
    <t>Lenz, A., and U. Wild (2001), Nitrogen and phosphorus budget in rewetted fens, Water Science and Technology, 44(11-12), 143-148.</t>
  </si>
  <si>
    <t>Leonardson, L., L. Bengtsson, Torbj, xf, D. rn, P. Thomas, and E. Urban (1994), Nitrogen Retention in Artificially Flooded Meadows, Ambio, 23(6), 332-341.</t>
  </si>
  <si>
    <t>Lowrance, R., R. Todd, J. Fail, Jr., O. Hendrickson, Jr., R. Leonard, and L. Asmussen (1984), Riparian Forests as Nutrient Filters in Agricultural Watersheds, BioScience, 34(6), 374-377.</t>
  </si>
  <si>
    <t>Payer, F. S., and R. R. Weil (1987), Phosphorus Renovation of Wastewater by Overland Flow Land Application, Journal of Environmental Quality, 16(4), 391-397.</t>
  </si>
  <si>
    <t>Pinay, G., and H. Decamps (1988), The role of riparian woods in regulating nitrogen fluxes between the alluvial aquifer and surface water: A conceptual model, Regulated Rivers: Research &amp; Management, 2(4), 507-516.</t>
  </si>
  <si>
    <t>Mitsch, W. J., J. W. Day, L. Zhang, and R. R. Lane (2005), Nitrate-nitrogen retention in wetlands in the Mississippi River Basin, Ecological Engineering, 24(4), 267-278.</t>
  </si>
  <si>
    <t>Fink, D. F., and W. J. Mitsch (2004), Seasonal and storm event nutrient removal by a created wetland in an agricultural watershed, Ecological Engineering, 23(4), 313-325.</t>
  </si>
  <si>
    <t>Fink, D. F., and W. J. Mitsch (2007), Hydrology and nutrient biogeochemistry in a created river diversion oxbow wetland, Ecological Engineering, 30(2), 93-102.</t>
  </si>
  <si>
    <t>Mitsch et al., 2014; Fink and Mitsch, 2007</t>
  </si>
  <si>
    <t>Niswander, S. F., and W. J. Mitsch (1995), Functional analysis of a two-year-old created in-stream wetland: Hydrology, phosphorus retention, and vegetation survival and growth, Wetlands, 15(3), 212-225.</t>
  </si>
  <si>
    <t>Osborne, L. L., and D. A. Kovacic (1993), Riparian vegetated buffer strips in water-quality restoration and stream management, Freshwater Biology, 29(2), 243-258.</t>
  </si>
  <si>
    <t>Peterjohn, W. T., and D. L. Correll (1984), Nutrient dynamics in an agricultural watershed - observations on the role of a riparian forest, Ecology, 65(5), 1466-1475.</t>
  </si>
  <si>
    <t>Petersen, R. J., C. Prinds, B. V. Iversen, P. Engesgaard, S. Jessen, and C. Kjaergaard (2020), Riparian lowlands in clay till landscapes, Part I: Heterogeneity of flow paths and water balances, Water Resources Research.</t>
  </si>
  <si>
    <t>Petersen, R. J., C. Prinds, B. V. Iversen, S. Jessen, and C. Kjaergaard (2020), Riparian lowlands in clay till landscapes, Part II: Nitrogen reduction along variable flow pathways, Water Resources Research.</t>
  </si>
  <si>
    <t>Tiemeyer, B., and P. Kahle (2014), Nitrogen and dissolved organic carbon (DOC) losses from an artificially drained grassland on organic soils, Biogeosciences, 11(15), 4123-4137.</t>
  </si>
  <si>
    <t>Koerselman, W., and J. T. A. Verhoeven. 1992. Nutrient dynamics in mires of various trophic status: nutrient inputs and outputs and the internal nutrient cycle. Pages 397–432 in J. T. A. Verhoeven, editor. Fens and bogs in the Netherlands: vegetation, history, nutrient dynamics and conservation. Kluwer Academic, Dordrecht, The Netherlands</t>
  </si>
  <si>
    <t>Wassen, M. J., and H. Olde Venterink (2006), Comparison of nitrogen and phosphorus fluxes in some European fens and floodplains, Applied Vegetation Science, 9(2), 213-222.</t>
  </si>
  <si>
    <t>Olde Venterink, H., N. M. Pieterse, J. D. M. Belgers, M. J. Wassen, and P. C. de Ruiter (2002), N, P, and K budgets along nutrient availability and productivity gradients in wetlands, Ecol. Appl., 12(4), 1010-1026.</t>
  </si>
  <si>
    <t>Olde Venterink et al., 2002; Koerselman und Verhoeven, 1992</t>
  </si>
  <si>
    <t>Hazelbeek, NL</t>
  </si>
  <si>
    <t>Dørge J., 1994, Ambus &amp; Hoffmann 1990</t>
  </si>
  <si>
    <t>Syvbæk DK</t>
  </si>
  <si>
    <t>Rewetted fen</t>
  </si>
  <si>
    <t>ID</t>
  </si>
  <si>
    <t>important_comment</t>
  </si>
  <si>
    <t>reference</t>
  </si>
  <si>
    <t>Location</t>
  </si>
  <si>
    <t>country</t>
  </si>
  <si>
    <t>climate_zone</t>
  </si>
  <si>
    <t>wetland_type</t>
  </si>
  <si>
    <t>wetland_general</t>
  </si>
  <si>
    <t>water_type</t>
  </si>
  <si>
    <t>experiment_type</t>
  </si>
  <si>
    <t>soil_type</t>
  </si>
  <si>
    <t>soil_type_30%OM</t>
  </si>
  <si>
    <t>soil_type_5%OM</t>
  </si>
  <si>
    <t>species</t>
  </si>
  <si>
    <t>growth_form</t>
  </si>
  <si>
    <t>variable</t>
  </si>
  <si>
    <t>unit</t>
  </si>
  <si>
    <t>mean</t>
  </si>
  <si>
    <t>mean_g_N_m-2_h-1</t>
  </si>
  <si>
    <t>SD</t>
  </si>
  <si>
    <t>measurement_method</t>
  </si>
  <si>
    <t>enrichment_technique</t>
  </si>
  <si>
    <t>N</t>
  </si>
  <si>
    <t>water_level</t>
  </si>
  <si>
    <t>comment</t>
  </si>
  <si>
    <t>comment2</t>
  </si>
  <si>
    <t>NA</t>
  </si>
  <si>
    <t>Bodelier et al 1996</t>
  </si>
  <si>
    <t>Elberg</t>
  </si>
  <si>
    <t>Cfb</t>
  </si>
  <si>
    <t>riparian wetland</t>
  </si>
  <si>
    <t>freshwater</t>
  </si>
  <si>
    <t>natural</t>
  </si>
  <si>
    <t>mineral (organic matter most below 6%, one 12.5%)</t>
  </si>
  <si>
    <t>mineral</t>
  </si>
  <si>
    <t>Glyceria maxima</t>
  </si>
  <si>
    <t>potential Denitrification</t>
  </si>
  <si>
    <t>g N m-2 h-1</t>
  </si>
  <si>
    <t>DEA</t>
  </si>
  <si>
    <t>review Alldred et al., 2015</t>
  </si>
  <si>
    <t>none</t>
  </si>
  <si>
    <t>Davis et al 2004</t>
  </si>
  <si>
    <t>Narragansett Bay, RI</t>
  </si>
  <si>
    <t>Dfa</t>
  </si>
  <si>
    <t>salt marsh</t>
  </si>
  <si>
    <t>saltwater</t>
  </si>
  <si>
    <t>OM 2.2%</t>
  </si>
  <si>
    <t>Schoenoplectus pungens</t>
  </si>
  <si>
    <t>Denitrification</t>
  </si>
  <si>
    <t>N2 flux</t>
  </si>
  <si>
    <t>OM 3-29% (only one below 10)</t>
  </si>
  <si>
    <t>organic</t>
  </si>
  <si>
    <t>Spartina patens</t>
  </si>
  <si>
    <t>Findlay et al 2003</t>
  </si>
  <si>
    <t>Connecticut River, CT</t>
  </si>
  <si>
    <t>tidal freshwater marsh</t>
  </si>
  <si>
    <t>mineral (organic matter 11-17%)</t>
  </si>
  <si>
    <t>Phragmites australis</t>
  </si>
  <si>
    <t>Connecticut River</t>
  </si>
  <si>
    <t>Typha angustifolia</t>
  </si>
  <si>
    <t>Groffman et al 1992</t>
  </si>
  <si>
    <t>Kingston, RI</t>
  </si>
  <si>
    <t>inceptisol, entisol, glaciofluvial deposits, glacial drift</t>
  </si>
  <si>
    <t>Acer rubrum</t>
  </si>
  <si>
    <t>Quercus spp</t>
  </si>
  <si>
    <t>Hanson et al 1994</t>
  </si>
  <si>
    <t>stratified glaciofluvial deposits with variable amounts of alluvial material, coarse-textured inceptisols and entisols</t>
  </si>
  <si>
    <t>Kaplan et al 1979</t>
  </si>
  <si>
    <t>Great Sippewissett Marsh</t>
  </si>
  <si>
    <t>low salt marsh; landward of tall S. alterniflora part</t>
  </si>
  <si>
    <t>peaty, containing up to 80% organic matter</t>
  </si>
  <si>
    <t>Spartina alterniflora (short)</t>
  </si>
  <si>
    <t>N2:Ar</t>
  </si>
  <si>
    <t>measured whole year</t>
  </si>
  <si>
    <t>creek bottom or pannes or algal mats</t>
  </si>
  <si>
    <t>tall low marsh; sediments near creek banks</t>
  </si>
  <si>
    <t>Spartina alterniflora (tall)</t>
  </si>
  <si>
    <t>high marsh</t>
  </si>
  <si>
    <t>Lusby et al 1998</t>
  </si>
  <si>
    <t>Lake Okareka</t>
  </si>
  <si>
    <t>10 to 15 cm surface layer of humus-enriched sandy loam and black pumiceous ash (Rotomahana mud, Tarawera formation; Healy et al., 1964) over a subsoil of graded fine pumice sands (Rotomahana mud). The surface layer was organically rich (12%) compared with the lower sandy layer that had only 1% organic content.</t>
  </si>
  <si>
    <t>Salix cineria</t>
  </si>
  <si>
    <t>Typha orientalis</t>
  </si>
  <si>
    <t>Olde Venterink et al 2006</t>
  </si>
  <si>
    <t>Waal &amp; IJssel Rivers</t>
  </si>
  <si>
    <t>Acetylene inhibition</t>
  </si>
  <si>
    <t>Salix spp</t>
  </si>
  <si>
    <t>Otto et al 1999</t>
  </si>
  <si>
    <t>Tivoli Bay, NY</t>
  </si>
  <si>
    <t>silt loam, Hydraquents and medisaprists, with approximately 20% organic matter</t>
  </si>
  <si>
    <t>Lythrum salicaria</t>
  </si>
  <si>
    <t>Tidal oscillation in the marsh ranges from 1 to 2 m.</t>
  </si>
  <si>
    <t>Ottosen et al 1999</t>
  </si>
  <si>
    <t>Lake Hampen</t>
  </si>
  <si>
    <t>Dfb</t>
  </si>
  <si>
    <t>sandy, oxidized sediment; high organic content within the upper 3 cm (1-3%)</t>
  </si>
  <si>
    <t>Littorella uniflora</t>
  </si>
  <si>
    <t>15N-NH4 addition</t>
  </si>
  <si>
    <t>Lake Stigsholm</t>
  </si>
  <si>
    <t>shallow lake (acc. To publ)</t>
  </si>
  <si>
    <t>Potamogeton pectinatus</t>
  </si>
  <si>
    <t>Limfjorden &amp; Aarhus</t>
  </si>
  <si>
    <t>shallow water estuary</t>
  </si>
  <si>
    <t>sandy marine sediment</t>
  </si>
  <si>
    <t>Zostera marina</t>
  </si>
  <si>
    <t>Verhoeven et al 2001</t>
  </si>
  <si>
    <t>NTF, Oude Maas</t>
  </si>
  <si>
    <t>0.35 g OM</t>
  </si>
  <si>
    <t>Alnus glutinosa</t>
  </si>
  <si>
    <t>BTH, Schelde River near Hingene</t>
  </si>
  <si>
    <t>Belgium</t>
  </si>
  <si>
    <t>0.22 g OM</t>
  </si>
  <si>
    <t>NRH, Waal River</t>
  </si>
  <si>
    <t>abandoned clay pits, areas on the floodplain where clay had been extracted at least 50 year ago. 0.16 g OM</t>
  </si>
  <si>
    <t>NRF, Waal River</t>
  </si>
  <si>
    <t>abandoned clay pits, areas on the floodplain where clay had been extracted at least 50 year ago. 0.15 g OM</t>
  </si>
  <si>
    <t>NTH, Oude Maas</t>
  </si>
  <si>
    <t>0.06 g OM</t>
  </si>
  <si>
    <t>Scirpus spp</t>
  </si>
  <si>
    <t>exceptionally high</t>
  </si>
  <si>
    <t>Wigand et al 2004</t>
  </si>
  <si>
    <t>sand 54-61%, moisture 60-64%, organic matter 21-30%, bulk density 0.44-0.56 g cm-3</t>
  </si>
  <si>
    <t>Spartina alterniflora</t>
  </si>
  <si>
    <t>Windham and Ehrenfeld 2003</t>
  </si>
  <si>
    <t>Mullica River Great Bay, NJ</t>
  </si>
  <si>
    <t>brackish tidal marsh</t>
  </si>
  <si>
    <t>brackish water</t>
  </si>
  <si>
    <t>organic matter 75-83%</t>
  </si>
  <si>
    <t>NO3 removal</t>
  </si>
  <si>
    <t>organic matter 82-86%</t>
  </si>
  <si>
    <t>Windham and Meyerson 2003</t>
  </si>
  <si>
    <t>Antheunisse et al., 2007</t>
  </si>
  <si>
    <t>Haringvliet estuary</t>
  </si>
  <si>
    <t>protected freshwater marsh; semi-natural grassland</t>
  </si>
  <si>
    <t>mesocosm</t>
  </si>
  <si>
    <t>14.7% SOM; 1.25 bulk</t>
  </si>
  <si>
    <t>mix of helophyte and semi-natural grassland vegetation (freshwater, e.g. A. stolonifera, Mentha aquatica L., Myosotis scorpioides L., P. trivialis, and Potentilla anserina L.)</t>
  </si>
  <si>
    <t>Aerenchymous/Herbaceous</t>
  </si>
  <si>
    <t>g N m-2 day -1</t>
  </si>
  <si>
    <t>0.4 M KClextraction</t>
  </si>
  <si>
    <t>from Zhou et al., 2017 meta analysis, they used comparing experiments fresh vs saltwater</t>
  </si>
  <si>
    <t>Hitsertse Kade</t>
  </si>
  <si>
    <t>agricultural grassland</t>
  </si>
  <si>
    <t>10.4% SOM; 1.27 bulk</t>
  </si>
  <si>
    <t>pasture polder - forage grasses Agrostis stolonifera and Poa trivialis</t>
  </si>
  <si>
    <t>KNO3, more info available</t>
  </si>
  <si>
    <t>Haringvliet estuary/Hitsertse Kade/University Nijmegen</t>
  </si>
  <si>
    <t>protected freshwater marsh; semi-natural grassland, tidal</t>
  </si>
  <si>
    <t>agricultural grassland, tidal</t>
  </si>
  <si>
    <t>Thomas et al., 2001</t>
  </si>
  <si>
    <t>Great Sippewissett, Creekbank</t>
  </si>
  <si>
    <t>creekbank</t>
  </si>
  <si>
    <t>network analysis</t>
  </si>
  <si>
    <t>glacial moraine and sand dunes</t>
  </si>
  <si>
    <t>Bell jar/gas partition</t>
  </si>
  <si>
    <t>15N loss</t>
  </si>
  <si>
    <t>Great Sippewissett, low</t>
  </si>
  <si>
    <t>low marsh</t>
  </si>
  <si>
    <t>Great Sippewissett, high</t>
  </si>
  <si>
    <t>Distichlis spicata, Spartina patens, Juncus ssp.</t>
  </si>
  <si>
    <t>HLR</t>
  </si>
  <si>
    <t>Area [m2]</t>
  </si>
  <si>
    <t>Qin [m3/yr]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</si>
</sst>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3" fillId="0" borderId="0" xfId="0" applyFont="1"/>
    <xf numFmtId="49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49" fontId="0" fillId="0" borderId="0" xfId="0" applyNumberFormat="1"/>
    <xf numFmtId="0" fontId="0" fillId="0" borderId="0" xfId="0" applyAlignment="1">
      <alignment vertical="top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left"/>
    </xf>
    <xf numFmtId="1" fontId="1" fillId="2" borderId="3" xfId="0" applyNumberFormat="1" applyFont="1" applyFill="1" applyBorder="1" applyAlignment="1">
      <alignment horizontal="right"/>
    </xf>
    <xf numFmtId="2" fontId="4" fillId="0" borderId="4" xfId="0" applyNumberFormat="1" applyFont="1" applyBorder="1" applyAlignment="1">
      <alignment horizontal="left" wrapText="1"/>
    </xf>
    <xf numFmtId="2" fontId="4" fillId="0" borderId="5" xfId="0" applyNumberFormat="1" applyFont="1" applyBorder="1" applyAlignment="1">
      <alignment horizontal="left" wrapText="1"/>
    </xf>
    <xf numFmtId="1" fontId="4" fillId="0" borderId="5" xfId="0" applyNumberFormat="1" applyFont="1" applyBorder="1" applyAlignment="1">
      <alignment horizontal="left" wrapText="1"/>
    </xf>
    <xf numFmtId="2" fontId="4" fillId="2" borderId="5" xfId="0" applyNumberFormat="1" applyFont="1" applyFill="1" applyBorder="1" applyAlignment="1">
      <alignment horizontal="left" wrapText="1"/>
    </xf>
    <xf numFmtId="1" fontId="4" fillId="2" borderId="5" xfId="0" applyNumberFormat="1" applyFont="1" applyFill="1" applyBorder="1" applyAlignment="1">
      <alignment horizontal="left" wrapText="1"/>
    </xf>
    <xf numFmtId="1" fontId="4" fillId="2" borderId="6" xfId="0" applyNumberFormat="1" applyFont="1" applyFill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" fontId="1" fillId="0" borderId="8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" fontId="1" fillId="2" borderId="8" xfId="0" applyNumberFormat="1" applyFont="1" applyFill="1" applyBorder="1" applyAlignment="1">
      <alignment horizontal="right"/>
    </xf>
    <xf numFmtId="0" fontId="1" fillId="2" borderId="8" xfId="0" applyFont="1" applyFill="1" applyBorder="1"/>
    <xf numFmtId="1" fontId="1" fillId="2" borderId="9" xfId="0" applyNumberFormat="1" applyFont="1" applyFill="1" applyBorder="1" applyAlignment="1">
      <alignment horizontal="right"/>
    </xf>
    <xf numFmtId="2" fontId="4" fillId="4" borderId="1" xfId="0" applyNumberFormat="1" applyFont="1" applyFill="1" applyBorder="1" applyAlignment="1">
      <alignment horizontal="left" wrapText="1"/>
    </xf>
    <xf numFmtId="1" fontId="4" fillId="4" borderId="1" xfId="0" applyNumberFormat="1" applyFont="1" applyFill="1" applyBorder="1" applyAlignment="1">
      <alignment horizontal="left" wrapText="1"/>
    </xf>
    <xf numFmtId="164" fontId="1" fillId="5" borderId="1" xfId="0" applyNumberFormat="1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2" fontId="1" fillId="5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D9E1F2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76082677165355"/>
          <c:y val="0.17978620019436345"/>
          <c:w val="0.75428778433945753"/>
          <c:h val="0.71341107871720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582704505686789"/>
                  <c:y val="-0.74627777777777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TN!$G$2:$G$60</c:f>
              <c:numCache>
                <c:formatCode>General</c:formatCode>
                <c:ptCount val="59"/>
                <c:pt idx="0">
                  <c:v>105</c:v>
                </c:pt>
                <c:pt idx="1">
                  <c:v>#N/A</c:v>
                </c:pt>
                <c:pt idx="2">
                  <c:v>78.873239436619727</c:v>
                </c:pt>
                <c:pt idx="3">
                  <c:v>159.5</c:v>
                </c:pt>
                <c:pt idx="4">
                  <c:v>80.685862835029837</c:v>
                </c:pt>
                <c:pt idx="5">
                  <c:v>1170</c:v>
                </c:pt>
                <c:pt idx="6">
                  <c:v>515</c:v>
                </c:pt>
                <c:pt idx="7">
                  <c:v>445</c:v>
                </c:pt>
                <c:pt idx="8">
                  <c:v>#N/A</c:v>
                </c:pt>
                <c:pt idx="9">
                  <c:v>230</c:v>
                </c:pt>
                <c:pt idx="10">
                  <c:v>2210</c:v>
                </c:pt>
                <c:pt idx="11">
                  <c:v>243.7</c:v>
                </c:pt>
                <c:pt idx="12">
                  <c:v>#N/A</c:v>
                </c:pt>
                <c:pt idx="13">
                  <c:v>310</c:v>
                </c:pt>
                <c:pt idx="14">
                  <c:v>39</c:v>
                </c:pt>
                <c:pt idx="15">
                  <c:v>674</c:v>
                </c:pt>
                <c:pt idx="16">
                  <c:v>668</c:v>
                </c:pt>
                <c:pt idx="17">
                  <c:v>297</c:v>
                </c:pt>
                <c:pt idx="18">
                  <c:v>2631.3</c:v>
                </c:pt>
                <c:pt idx="19">
                  <c:v>#N/A</c:v>
                </c:pt>
                <c:pt idx="20">
                  <c:v>421.7</c:v>
                </c:pt>
                <c:pt idx="21">
                  <c:v>496.3</c:v>
                </c:pt>
                <c:pt idx="22">
                  <c:v>812</c:v>
                </c:pt>
                <c:pt idx="23">
                  <c:v>60</c:v>
                </c:pt>
                <c:pt idx="24">
                  <c:v>672.5</c:v>
                </c:pt>
                <c:pt idx="25">
                  <c:v>#N/A</c:v>
                </c:pt>
                <c:pt idx="26">
                  <c:v>1337</c:v>
                </c:pt>
                <c:pt idx="27">
                  <c:v>198</c:v>
                </c:pt>
                <c:pt idx="28">
                  <c:v>305</c:v>
                </c:pt>
                <c:pt idx="29">
                  <c:v>1701.3</c:v>
                </c:pt>
                <c:pt idx="30">
                  <c:v>110.4</c:v>
                </c:pt>
                <c:pt idx="31">
                  <c:v>72.900000000000006</c:v>
                </c:pt>
                <c:pt idx="32">
                  <c:v>518.18181818181824</c:v>
                </c:pt>
                <c:pt idx="33">
                  <c:v>540</c:v>
                </c:pt>
                <c:pt idx="34">
                  <c:v>777.77777777777771</c:v>
                </c:pt>
                <c:pt idx="35">
                  <c:v>930.95238095238096</c:v>
                </c:pt>
                <c:pt idx="36">
                  <c:v>1334.1463414634145</c:v>
                </c:pt>
                <c:pt idx="37">
                  <c:v>642.85714285714289</c:v>
                </c:pt>
                <c:pt idx="38">
                  <c:v>51.5</c:v>
                </c:pt>
                <c:pt idx="39">
                  <c:v>511</c:v>
                </c:pt>
                <c:pt idx="40">
                  <c:v>21.2</c:v>
                </c:pt>
                <c:pt idx="41">
                  <c:v>46.9</c:v>
                </c:pt>
                <c:pt idx="42">
                  <c:v>65</c:v>
                </c:pt>
                <c:pt idx="43">
                  <c:v>53.1</c:v>
                </c:pt>
                <c:pt idx="44">
                  <c:v>41.18</c:v>
                </c:pt>
                <c:pt idx="45">
                  <c:v>42.59</c:v>
                </c:pt>
                <c:pt idx="46">
                  <c:v>75.599999999999994</c:v>
                </c:pt>
                <c:pt idx="47">
                  <c:v>9.8000000000000007</c:v>
                </c:pt>
                <c:pt idx="48">
                  <c:v>480</c:v>
                </c:pt>
                <c:pt idx="49">
                  <c:v>702</c:v>
                </c:pt>
                <c:pt idx="50">
                  <c:v>1066.5</c:v>
                </c:pt>
                <c:pt idx="51">
                  <c:v>51.8</c:v>
                </c:pt>
                <c:pt idx="52">
                  <c:v>17</c:v>
                </c:pt>
                <c:pt idx="53">
                  <c:v>645</c:v>
                </c:pt>
                <c:pt idx="54">
                  <c:v>1216.3009404388715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1120</c:v>
                </c:pt>
              </c:numCache>
            </c:numRef>
          </c:xVal>
          <c:yVal>
            <c:numRef>
              <c:f>TN!$I$2:$I$60</c:f>
              <c:numCache>
                <c:formatCode>General</c:formatCode>
                <c:ptCount val="59"/>
                <c:pt idx="0">
                  <c:v>5</c:v>
                </c:pt>
                <c:pt idx="1">
                  <c:v>#N/A</c:v>
                </c:pt>
                <c:pt idx="2">
                  <c:v>71</c:v>
                </c:pt>
                <c:pt idx="3">
                  <c:v>46.708463949843257</c:v>
                </c:pt>
                <c:pt idx="4">
                  <c:v>39</c:v>
                </c:pt>
                <c:pt idx="5">
                  <c:v>1</c:v>
                </c:pt>
                <c:pt idx="6">
                  <c:v>56</c:v>
                </c:pt>
                <c:pt idx="7">
                  <c:v>40</c:v>
                </c:pt>
                <c:pt idx="8">
                  <c:v>#N/A</c:v>
                </c:pt>
                <c:pt idx="9">
                  <c:v>39.1</c:v>
                </c:pt>
                <c:pt idx="10">
                  <c:v>2</c:v>
                </c:pt>
                <c:pt idx="11">
                  <c:v>40</c:v>
                </c:pt>
                <c:pt idx="12">
                  <c:v>#N/A</c:v>
                </c:pt>
                <c:pt idx="13">
                  <c:v>71</c:v>
                </c:pt>
                <c:pt idx="14">
                  <c:v>35.9</c:v>
                </c:pt>
                <c:pt idx="15">
                  <c:v>50</c:v>
                </c:pt>
                <c:pt idx="16">
                  <c:v>50.4</c:v>
                </c:pt>
                <c:pt idx="17">
                  <c:v>64.3</c:v>
                </c:pt>
                <c:pt idx="18">
                  <c:v>11.7</c:v>
                </c:pt>
                <c:pt idx="19">
                  <c:v>#N/A</c:v>
                </c:pt>
                <c:pt idx="20">
                  <c:v>41.8</c:v>
                </c:pt>
                <c:pt idx="21">
                  <c:v>38.6</c:v>
                </c:pt>
                <c:pt idx="22">
                  <c:v>28.1</c:v>
                </c:pt>
                <c:pt idx="23">
                  <c:v>95</c:v>
                </c:pt>
                <c:pt idx="24">
                  <c:v>28.698884758364311</c:v>
                </c:pt>
                <c:pt idx="25">
                  <c:v>#N/A</c:v>
                </c:pt>
                <c:pt idx="26">
                  <c:v>5.2</c:v>
                </c:pt>
                <c:pt idx="27">
                  <c:v>67.2</c:v>
                </c:pt>
                <c:pt idx="28">
                  <c:v>23.3</c:v>
                </c:pt>
                <c:pt idx="29">
                  <c:v>15.3</c:v>
                </c:pt>
                <c:pt idx="30">
                  <c:v>88.043478260869563</c:v>
                </c:pt>
                <c:pt idx="31">
                  <c:v>87.654320987654316</c:v>
                </c:pt>
                <c:pt idx="32">
                  <c:v>11</c:v>
                </c:pt>
                <c:pt idx="33">
                  <c:v>5</c:v>
                </c:pt>
                <c:pt idx="34">
                  <c:v>36</c:v>
                </c:pt>
                <c:pt idx="35">
                  <c:v>42</c:v>
                </c:pt>
                <c:pt idx="36">
                  <c:v>41</c:v>
                </c:pt>
                <c:pt idx="37">
                  <c:v>7</c:v>
                </c:pt>
                <c:pt idx="38">
                  <c:v>29.126213592233007</c:v>
                </c:pt>
                <c:pt idx="39">
                  <c:v>8.9367253750815383</c:v>
                </c:pt>
                <c:pt idx="40">
                  <c:v>#N/A</c:v>
                </c:pt>
                <c:pt idx="41">
                  <c:v>96.588486140724939</c:v>
                </c:pt>
                <c:pt idx="42">
                  <c:v>74.92307692307692</c:v>
                </c:pt>
                <c:pt idx="43">
                  <c:v>80.602636534839917</c:v>
                </c:pt>
                <c:pt idx="44">
                  <c:v>92.617775619232631</c:v>
                </c:pt>
                <c:pt idx="45">
                  <c:v>98.520779525710253</c:v>
                </c:pt>
                <c:pt idx="46">
                  <c:v>71.957671957671948</c:v>
                </c:pt>
                <c:pt idx="47">
                  <c:v>95.918367346938766</c:v>
                </c:pt>
                <c:pt idx="48">
                  <c:v>#N/A</c:v>
                </c:pt>
                <c:pt idx="49">
                  <c:v>12.820512820512819</c:v>
                </c:pt>
                <c:pt idx="50">
                  <c:v>33.473980309423347</c:v>
                </c:pt>
                <c:pt idx="51">
                  <c:v>74.900000000000006</c:v>
                </c:pt>
                <c:pt idx="52">
                  <c:v>14</c:v>
                </c:pt>
                <c:pt idx="53">
                  <c:v>50</c:v>
                </c:pt>
                <c:pt idx="54">
                  <c:v>31.9</c:v>
                </c:pt>
                <c:pt idx="55">
                  <c:v>88.915662650602414</c:v>
                </c:pt>
                <c:pt idx="56">
                  <c:v>40.799999999999997</c:v>
                </c:pt>
                <c:pt idx="57">
                  <c:v>3.2</c:v>
                </c:pt>
                <c:pt idx="58">
                  <c:v>40.327380952380956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7-4DDF-A2B9-3F5855D0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TN Remvoal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2304516622922133E-2"/>
                  <c:y val="-0.50097375328083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8081255468066493E-3"/>
                  <c:y val="-0.44627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'NO3'!$G$2:$G$60</c:f>
              <c:numCache>
                <c:formatCode>General</c:formatCode>
                <c:ptCount val="59"/>
                <c:pt idx="0">
                  <c:v>35.700000000000003</c:v>
                </c:pt>
                <c:pt idx="1">
                  <c:v>91.578947368421055</c:v>
                </c:pt>
                <c:pt idx="2">
                  <c:v>54.736842105263158</c:v>
                </c:pt>
                <c:pt idx="3">
                  <c:v>138.5</c:v>
                </c:pt>
                <c:pt idx="4">
                  <c:v>68.400000000000006</c:v>
                </c:pt>
                <c:pt idx="5">
                  <c:v>1045</c:v>
                </c:pt>
                <c:pt idx="6">
                  <c:v>397</c:v>
                </c:pt>
                <c:pt idx="7">
                  <c:v>282</c:v>
                </c:pt>
                <c:pt idx="8">
                  <c:v>2000</c:v>
                </c:pt>
                <c:pt idx="9">
                  <c:v>178.64702076872402</c:v>
                </c:pt>
                <c:pt idx="10">
                  <c:v>682.55000000000007</c:v>
                </c:pt>
                <c:pt idx="11">
                  <c:v>2379.0626935917812</c:v>
                </c:pt>
                <c:pt idx="12">
                  <c:v>709.02</c:v>
                </c:pt>
                <c:pt idx="13">
                  <c:v>372.94009390488242</c:v>
                </c:pt>
                <c:pt idx="14">
                  <c:v>456.46047203932778</c:v>
                </c:pt>
                <c:pt idx="15">
                  <c:v>637</c:v>
                </c:pt>
                <c:pt idx="16">
                  <c:v>1502</c:v>
                </c:pt>
                <c:pt idx="17">
                  <c:v>910.3341261631183</c:v>
                </c:pt>
                <c:pt idx="18">
                  <c:v>274.51637921110159</c:v>
                </c:pt>
                <c:pt idx="19">
                  <c:v>86.566666666666663</c:v>
                </c:pt>
                <c:pt idx="20">
                  <c:v>1431.0074153481862</c:v>
                </c:pt>
                <c:pt idx="21">
                  <c:v>#N/A</c:v>
                </c:pt>
                <c:pt idx="22">
                  <c:v>#N/A</c:v>
                </c:pt>
                <c:pt idx="23">
                  <c:v>342.85714285714289</c:v>
                </c:pt>
                <c:pt idx="24">
                  <c:v>466.66666666666669</c:v>
                </c:pt>
                <c:pt idx="25">
                  <c:v>628.57142857142856</c:v>
                </c:pt>
                <c:pt idx="26">
                  <c:v>547.5</c:v>
                </c:pt>
                <c:pt idx="27">
                  <c:v>377.41935483870964</c:v>
                </c:pt>
                <c:pt idx="28">
                  <c:v>540.81632653061229</c:v>
                </c:pt>
                <c:pt idx="29">
                  <c:v>234.61538461538461</c:v>
                </c:pt>
                <c:pt idx="30">
                  <c:v>#N/A</c:v>
                </c:pt>
                <c:pt idx="31">
                  <c:v>366.66666666666669</c:v>
                </c:pt>
                <c:pt idx="32">
                  <c:v>9.8000000000000007</c:v>
                </c:pt>
                <c:pt idx="33">
                  <c:v>#N/A</c:v>
                </c:pt>
                <c:pt idx="34">
                  <c:v>870</c:v>
                </c:pt>
                <c:pt idx="35">
                  <c:v>150</c:v>
                </c:pt>
                <c:pt idx="36">
                  <c:v>#N/A</c:v>
                </c:pt>
                <c:pt idx="37">
                  <c:v>#N/A</c:v>
                </c:pt>
                <c:pt idx="38">
                  <c:v>324</c:v>
                </c:pt>
                <c:pt idx="39">
                  <c:v>504</c:v>
                </c:pt>
                <c:pt idx="40">
                  <c:v>85.3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8.02</c:v>
                </c:pt>
                <c:pt idx="46">
                  <c:v>12</c:v>
                </c:pt>
                <c:pt idx="47">
                  <c:v>#N/A</c:v>
                </c:pt>
                <c:pt idx="48">
                  <c:v>21.5</c:v>
                </c:pt>
                <c:pt idx="49">
                  <c:v>1081.5999999999999</c:v>
                </c:pt>
                <c:pt idx="50">
                  <c:v>1078.2222222222222</c:v>
                </c:pt>
                <c:pt idx="51">
                  <c:v>322</c:v>
                </c:pt>
                <c:pt idx="52">
                  <c:v>1006.4516129032257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1038.8888888888889</c:v>
                </c:pt>
                <c:pt idx="57">
                  <c:v>546.66666666666674</c:v>
                </c:pt>
                <c:pt idx="58">
                  <c:v>867.91666666666674</c:v>
                </c:pt>
              </c:numCache>
            </c:numRef>
          </c:xVal>
          <c:yVal>
            <c:numRef>
              <c:f>'NO3'!$I$2:$I$60</c:f>
              <c:numCache>
                <c:formatCode>General</c:formatCode>
                <c:ptCount val="59"/>
                <c:pt idx="0">
                  <c:v>24</c:v>
                </c:pt>
                <c:pt idx="1">
                  <c:v>95</c:v>
                </c:pt>
                <c:pt idx="2">
                  <c:v>95</c:v>
                </c:pt>
                <c:pt idx="3">
                  <c:v>45.848375451263543</c:v>
                </c:pt>
                <c:pt idx="4">
                  <c:v>71</c:v>
                </c:pt>
                <c:pt idx="5">
                  <c:v>25</c:v>
                </c:pt>
                <c:pt idx="6">
                  <c:v>94</c:v>
                </c:pt>
                <c:pt idx="7">
                  <c:v>92.269503546099287</c:v>
                </c:pt>
                <c:pt idx="8">
                  <c:v>2.8000000000000003</c:v>
                </c:pt>
                <c:pt idx="9">
                  <c:v>48.991261999999999</c:v>
                </c:pt>
                <c:pt idx="10">
                  <c:v>72</c:v>
                </c:pt>
                <c:pt idx="11">
                  <c:v>12.779790999999999</c:v>
                </c:pt>
                <c:pt idx="12">
                  <c:v>55</c:v>
                </c:pt>
                <c:pt idx="13">
                  <c:v>54.483855000000005</c:v>
                </c:pt>
                <c:pt idx="14">
                  <c:v>41.7211</c:v>
                </c:pt>
                <c:pt idx="15">
                  <c:v>28.963893249607537</c:v>
                </c:pt>
                <c:pt idx="16">
                  <c:v>#N/A</c:v>
                </c:pt>
                <c:pt idx="17">
                  <c:v>3.7797100000000001</c:v>
                </c:pt>
                <c:pt idx="18">
                  <c:v>40.791463999999998</c:v>
                </c:pt>
                <c:pt idx="19">
                  <c:v>65.036580670003858</c:v>
                </c:pt>
                <c:pt idx="20">
                  <c:v>20.893556999999998</c:v>
                </c:pt>
                <c:pt idx="21">
                  <c:v>99</c:v>
                </c:pt>
                <c:pt idx="22">
                  <c:v>84</c:v>
                </c:pt>
                <c:pt idx="23">
                  <c:v>14</c:v>
                </c:pt>
                <c:pt idx="24">
                  <c:v>6</c:v>
                </c:pt>
                <c:pt idx="25">
                  <c:v>35</c:v>
                </c:pt>
                <c:pt idx="26">
                  <c:v>33</c:v>
                </c:pt>
                <c:pt idx="27">
                  <c:v>62</c:v>
                </c:pt>
                <c:pt idx="28">
                  <c:v>49</c:v>
                </c:pt>
                <c:pt idx="29">
                  <c:v>26</c:v>
                </c:pt>
                <c:pt idx="30">
                  <c:v>#N/A</c:v>
                </c:pt>
                <c:pt idx="31">
                  <c:v>27.727272727272727</c:v>
                </c:pt>
                <c:pt idx="32">
                  <c:v>61.224489795918359</c:v>
                </c:pt>
                <c:pt idx="33">
                  <c:v>95</c:v>
                </c:pt>
                <c:pt idx="34">
                  <c:v>38</c:v>
                </c:pt>
                <c:pt idx="35">
                  <c:v>63</c:v>
                </c:pt>
                <c:pt idx="36">
                  <c:v>91</c:v>
                </c:pt>
                <c:pt idx="37">
                  <c:v>30</c:v>
                </c:pt>
                <c:pt idx="38">
                  <c:v>27.777777777777779</c:v>
                </c:pt>
                <c:pt idx="39">
                  <c:v>35.714285714285715</c:v>
                </c:pt>
                <c:pt idx="40">
                  <c:v>76.905041031652985</c:v>
                </c:pt>
                <c:pt idx="41">
                  <c:v>94</c:v>
                </c:pt>
                <c:pt idx="42">
                  <c:v>#N/A</c:v>
                </c:pt>
                <c:pt idx="43">
                  <c:v>93</c:v>
                </c:pt>
                <c:pt idx="44">
                  <c:v>83</c:v>
                </c:pt>
                <c:pt idx="45">
                  <c:v>99</c:v>
                </c:pt>
                <c:pt idx="46">
                  <c:v>52</c:v>
                </c:pt>
                <c:pt idx="47">
                  <c:v>96</c:v>
                </c:pt>
                <c:pt idx="48">
                  <c:v>91</c:v>
                </c:pt>
                <c:pt idx="49">
                  <c:v>34.504437869822482</c:v>
                </c:pt>
                <c:pt idx="50">
                  <c:v>37.860676009892828</c:v>
                </c:pt>
                <c:pt idx="51">
                  <c:v>48</c:v>
                </c:pt>
                <c:pt idx="52">
                  <c:v>15.5</c:v>
                </c:pt>
                <c:pt idx="53">
                  <c:v>40</c:v>
                </c:pt>
                <c:pt idx="54">
                  <c:v>60</c:v>
                </c:pt>
                <c:pt idx="55">
                  <c:v>#N/A</c:v>
                </c:pt>
                <c:pt idx="56">
                  <c:v>40.64171122994653</c:v>
                </c:pt>
                <c:pt idx="57">
                  <c:v>44.918699186991887</c:v>
                </c:pt>
                <c:pt idx="58">
                  <c:v>34.325492078732609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A-4065-A96A-F9138588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182797462817148E-2"/>
                  <c:y val="-0.58358311461067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TN!$F$2:$F$60</c:f>
              <c:numCache>
                <c:formatCode>General</c:formatCode>
                <c:ptCount val="59"/>
                <c:pt idx="0">
                  <c:v>9.4729637234770708E-2</c:v>
                </c:pt>
                <c:pt idx="1">
                  <c:v>3.3532153450017921E-2</c:v>
                </c:pt>
                <c:pt idx="2">
                  <c:v>3.3237428030760559E-3</c:v>
                </c:pt>
                <c:pt idx="3">
                  <c:v>7.7782340862422999E-3</c:v>
                </c:pt>
                <c:pt idx="4">
                  <c:v>3.7371663244353186E-4</c:v>
                </c:pt>
                <c:pt idx="5">
                  <c:v>3.8535249828884326E-3</c:v>
                </c:pt>
                <c:pt idx="6">
                  <c:v>1.2971937029431896E-3</c:v>
                </c:pt>
                <c:pt idx="7">
                  <c:v>1.4403832991101986E-3</c:v>
                </c:pt>
                <c:pt idx="8">
                  <c:v>#N/A</c:v>
                </c:pt>
                <c:pt idx="9">
                  <c:v>#N/A</c:v>
                </c:pt>
                <c:pt idx="10">
                  <c:v>6.741957563312799E-2</c:v>
                </c:pt>
                <c:pt idx="11">
                  <c:v>1.5140314852840521E-2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0.15504449007529089</c:v>
                </c:pt>
                <c:pt idx="19">
                  <c:v>#N/A</c:v>
                </c:pt>
                <c:pt idx="20">
                  <c:v>2.1793292265571525E-2</c:v>
                </c:pt>
                <c:pt idx="21">
                  <c:v>1.5249828884325805E-2</c:v>
                </c:pt>
                <c:pt idx="22">
                  <c:v>#N/A</c:v>
                </c:pt>
                <c:pt idx="23">
                  <c:v>4.8733744010951404E-3</c:v>
                </c:pt>
                <c:pt idx="24">
                  <c:v>1.2083504449007529E-2</c:v>
                </c:pt>
                <c:pt idx="25">
                  <c:v>4.366946440793977E-2</c:v>
                </c:pt>
                <c:pt idx="26">
                  <c:v>0.13930184804928133</c:v>
                </c:pt>
                <c:pt idx="27">
                  <c:v>#N/A</c:v>
                </c:pt>
                <c:pt idx="28">
                  <c:v>1.3251197809719371E-2</c:v>
                </c:pt>
                <c:pt idx="29">
                  <c:v>0.13128489316609351</c:v>
                </c:pt>
                <c:pt idx="30">
                  <c:v>#N/A</c:v>
                </c:pt>
                <c:pt idx="31">
                  <c:v>#N/A</c:v>
                </c:pt>
                <c:pt idx="32">
                  <c:v>1.2260402464065708E-3</c:v>
                </c:pt>
                <c:pt idx="33">
                  <c:v>1.0447244353182755E-3</c:v>
                </c:pt>
                <c:pt idx="34">
                  <c:v>9.3248131416837803E-4</c:v>
                </c:pt>
                <c:pt idx="35">
                  <c:v>2.9979466119096507E-2</c:v>
                </c:pt>
                <c:pt idx="36">
                  <c:v>3.5975359342915812E-2</c:v>
                </c:pt>
                <c:pt idx="37">
                  <c:v>2.4982888432580425E-2</c:v>
                </c:pt>
                <c:pt idx="38">
                  <c:v>1.2320328542094457E-3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1.8124572210814511E-3</c:v>
                </c:pt>
                <c:pt idx="44">
                  <c:v>#N/A</c:v>
                </c:pt>
                <c:pt idx="45">
                  <c:v>#N/A</c:v>
                </c:pt>
                <c:pt idx="46">
                  <c:v>3.8822724161533192E-3</c:v>
                </c:pt>
                <c:pt idx="47">
                  <c:v>#N/A</c:v>
                </c:pt>
                <c:pt idx="48">
                  <c:v>6.7351129363449697E-2</c:v>
                </c:pt>
                <c:pt idx="49">
                  <c:v>0.10184804928131418</c:v>
                </c:pt>
                <c:pt idx="50">
                  <c:v>#N/A</c:v>
                </c:pt>
                <c:pt idx="51">
                  <c:v>#N/A</c:v>
                </c:pt>
                <c:pt idx="52">
                  <c:v>1.4321381561627969E-2</c:v>
                </c:pt>
                <c:pt idx="53">
                  <c:v>5.4757015742642023E-2</c:v>
                </c:pt>
                <c:pt idx="54">
                  <c:v>0.10883778234086243</c:v>
                </c:pt>
                <c:pt idx="55">
                  <c:v>1.7466541375189971E-3</c:v>
                </c:pt>
                <c:pt idx="56">
                  <c:v>#N/A</c:v>
                </c:pt>
                <c:pt idx="57">
                  <c:v>#N/A</c:v>
                </c:pt>
                <c:pt idx="58">
                  <c:v>2.1552969807589931E-2</c:v>
                </c:pt>
              </c:numCache>
            </c:numRef>
          </c:xVal>
          <c:yVal>
            <c:numRef>
              <c:f>TN!$I$2:$I$60</c:f>
              <c:numCache>
                <c:formatCode>General</c:formatCode>
                <c:ptCount val="59"/>
                <c:pt idx="0">
                  <c:v>5</c:v>
                </c:pt>
                <c:pt idx="1">
                  <c:v>#N/A</c:v>
                </c:pt>
                <c:pt idx="2">
                  <c:v>71</c:v>
                </c:pt>
                <c:pt idx="3">
                  <c:v>46.708463949843257</c:v>
                </c:pt>
                <c:pt idx="4">
                  <c:v>39</c:v>
                </c:pt>
                <c:pt idx="5">
                  <c:v>1</c:v>
                </c:pt>
                <c:pt idx="6">
                  <c:v>56</c:v>
                </c:pt>
                <c:pt idx="7">
                  <c:v>40</c:v>
                </c:pt>
                <c:pt idx="8">
                  <c:v>#N/A</c:v>
                </c:pt>
                <c:pt idx="9">
                  <c:v>39.1</c:v>
                </c:pt>
                <c:pt idx="10">
                  <c:v>2</c:v>
                </c:pt>
                <c:pt idx="11">
                  <c:v>40</c:v>
                </c:pt>
                <c:pt idx="12">
                  <c:v>#N/A</c:v>
                </c:pt>
                <c:pt idx="13">
                  <c:v>71</c:v>
                </c:pt>
                <c:pt idx="14">
                  <c:v>35.9</c:v>
                </c:pt>
                <c:pt idx="15">
                  <c:v>50</c:v>
                </c:pt>
                <c:pt idx="16">
                  <c:v>50.4</c:v>
                </c:pt>
                <c:pt idx="17">
                  <c:v>64.3</c:v>
                </c:pt>
                <c:pt idx="18">
                  <c:v>11.7</c:v>
                </c:pt>
                <c:pt idx="19">
                  <c:v>#N/A</c:v>
                </c:pt>
                <c:pt idx="20">
                  <c:v>41.8</c:v>
                </c:pt>
                <c:pt idx="21">
                  <c:v>38.6</c:v>
                </c:pt>
                <c:pt idx="22">
                  <c:v>28.1</c:v>
                </c:pt>
                <c:pt idx="23">
                  <c:v>95</c:v>
                </c:pt>
                <c:pt idx="24">
                  <c:v>28.698884758364311</c:v>
                </c:pt>
                <c:pt idx="25">
                  <c:v>#N/A</c:v>
                </c:pt>
                <c:pt idx="26">
                  <c:v>5.2</c:v>
                </c:pt>
                <c:pt idx="27">
                  <c:v>67.2</c:v>
                </c:pt>
                <c:pt idx="28">
                  <c:v>23.3</c:v>
                </c:pt>
                <c:pt idx="29">
                  <c:v>15.3</c:v>
                </c:pt>
                <c:pt idx="30">
                  <c:v>88.043478260869563</c:v>
                </c:pt>
                <c:pt idx="31">
                  <c:v>87.654320987654316</c:v>
                </c:pt>
                <c:pt idx="32">
                  <c:v>11</c:v>
                </c:pt>
                <c:pt idx="33">
                  <c:v>5</c:v>
                </c:pt>
                <c:pt idx="34">
                  <c:v>36</c:v>
                </c:pt>
                <c:pt idx="35">
                  <c:v>42</c:v>
                </c:pt>
                <c:pt idx="36">
                  <c:v>41</c:v>
                </c:pt>
                <c:pt idx="37">
                  <c:v>7</c:v>
                </c:pt>
                <c:pt idx="38">
                  <c:v>29.126213592233007</c:v>
                </c:pt>
                <c:pt idx="39">
                  <c:v>8.9367253750815383</c:v>
                </c:pt>
                <c:pt idx="40">
                  <c:v>#N/A</c:v>
                </c:pt>
                <c:pt idx="41">
                  <c:v>96.588486140724939</c:v>
                </c:pt>
                <c:pt idx="42">
                  <c:v>74.92307692307692</c:v>
                </c:pt>
                <c:pt idx="43">
                  <c:v>80.602636534839917</c:v>
                </c:pt>
                <c:pt idx="44">
                  <c:v>92.617775619232631</c:v>
                </c:pt>
                <c:pt idx="45">
                  <c:v>98.520779525710253</c:v>
                </c:pt>
                <c:pt idx="46">
                  <c:v>71.957671957671948</c:v>
                </c:pt>
                <c:pt idx="47">
                  <c:v>95.918367346938766</c:v>
                </c:pt>
                <c:pt idx="48">
                  <c:v>#N/A</c:v>
                </c:pt>
                <c:pt idx="49">
                  <c:v>12.820512820512819</c:v>
                </c:pt>
                <c:pt idx="50">
                  <c:v>33.473980309423347</c:v>
                </c:pt>
                <c:pt idx="51">
                  <c:v>74.900000000000006</c:v>
                </c:pt>
                <c:pt idx="52">
                  <c:v>14</c:v>
                </c:pt>
                <c:pt idx="53">
                  <c:v>50</c:v>
                </c:pt>
                <c:pt idx="54">
                  <c:v>31.9</c:v>
                </c:pt>
                <c:pt idx="55">
                  <c:v>88.915662650602414</c:v>
                </c:pt>
                <c:pt idx="56">
                  <c:v>40.799999999999997</c:v>
                </c:pt>
                <c:pt idx="57">
                  <c:v>3.2</c:v>
                </c:pt>
                <c:pt idx="58">
                  <c:v>40.327380952380956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7-4DDF-A2B9-3F5855D0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TN Remvoal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12193788276466"/>
          <c:y val="6.2333346421700034E-2"/>
          <c:w val="0.75428778433945753"/>
          <c:h val="0.81311329409203026"/>
        </c:manualLayout>
      </c:layout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101213910761154E-2"/>
                  <c:y val="-0.62318941382327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660378390201223E-2"/>
                  <c:y val="-0.45183333333333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dash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9906769466316709E-2"/>
                  <c:y val="-0.24070122484689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TN!$G$2:$G$60</c:f>
              <c:numCache>
                <c:formatCode>General</c:formatCode>
                <c:ptCount val="59"/>
                <c:pt idx="0">
                  <c:v>105</c:v>
                </c:pt>
                <c:pt idx="1">
                  <c:v>#N/A</c:v>
                </c:pt>
                <c:pt idx="2">
                  <c:v>78.873239436619727</c:v>
                </c:pt>
                <c:pt idx="3">
                  <c:v>159.5</c:v>
                </c:pt>
                <c:pt idx="4">
                  <c:v>80.685862835029837</c:v>
                </c:pt>
                <c:pt idx="5">
                  <c:v>1170</c:v>
                </c:pt>
                <c:pt idx="6">
                  <c:v>515</c:v>
                </c:pt>
                <c:pt idx="7">
                  <c:v>445</c:v>
                </c:pt>
                <c:pt idx="8">
                  <c:v>#N/A</c:v>
                </c:pt>
                <c:pt idx="9">
                  <c:v>230</c:v>
                </c:pt>
                <c:pt idx="10">
                  <c:v>2210</c:v>
                </c:pt>
                <c:pt idx="11">
                  <c:v>243.7</c:v>
                </c:pt>
                <c:pt idx="12">
                  <c:v>#N/A</c:v>
                </c:pt>
                <c:pt idx="13">
                  <c:v>310</c:v>
                </c:pt>
                <c:pt idx="14">
                  <c:v>39</c:v>
                </c:pt>
                <c:pt idx="15">
                  <c:v>674</c:v>
                </c:pt>
                <c:pt idx="16">
                  <c:v>668</c:v>
                </c:pt>
                <c:pt idx="17">
                  <c:v>297</c:v>
                </c:pt>
                <c:pt idx="18">
                  <c:v>2631.3</c:v>
                </c:pt>
                <c:pt idx="19">
                  <c:v>#N/A</c:v>
                </c:pt>
                <c:pt idx="20">
                  <c:v>421.7</c:v>
                </c:pt>
                <c:pt idx="21">
                  <c:v>496.3</c:v>
                </c:pt>
                <c:pt idx="22">
                  <c:v>812</c:v>
                </c:pt>
                <c:pt idx="23">
                  <c:v>60</c:v>
                </c:pt>
                <c:pt idx="24">
                  <c:v>672.5</c:v>
                </c:pt>
                <c:pt idx="25">
                  <c:v>#N/A</c:v>
                </c:pt>
                <c:pt idx="26">
                  <c:v>1337</c:v>
                </c:pt>
                <c:pt idx="27">
                  <c:v>198</c:v>
                </c:pt>
                <c:pt idx="28">
                  <c:v>305</c:v>
                </c:pt>
                <c:pt idx="29">
                  <c:v>1701.3</c:v>
                </c:pt>
                <c:pt idx="30">
                  <c:v>110.4</c:v>
                </c:pt>
                <c:pt idx="31">
                  <c:v>72.900000000000006</c:v>
                </c:pt>
                <c:pt idx="32">
                  <c:v>518.18181818181824</c:v>
                </c:pt>
                <c:pt idx="33">
                  <c:v>540</c:v>
                </c:pt>
                <c:pt idx="34">
                  <c:v>777.77777777777771</c:v>
                </c:pt>
                <c:pt idx="35">
                  <c:v>930.95238095238096</c:v>
                </c:pt>
                <c:pt idx="36">
                  <c:v>1334.1463414634145</c:v>
                </c:pt>
                <c:pt idx="37">
                  <c:v>642.85714285714289</c:v>
                </c:pt>
                <c:pt idx="38">
                  <c:v>51.5</c:v>
                </c:pt>
                <c:pt idx="39">
                  <c:v>511</c:v>
                </c:pt>
                <c:pt idx="40">
                  <c:v>21.2</c:v>
                </c:pt>
                <c:pt idx="41">
                  <c:v>46.9</c:v>
                </c:pt>
                <c:pt idx="42">
                  <c:v>65</c:v>
                </c:pt>
                <c:pt idx="43">
                  <c:v>53.1</c:v>
                </c:pt>
                <c:pt idx="44">
                  <c:v>41.18</c:v>
                </c:pt>
                <c:pt idx="45">
                  <c:v>42.59</c:v>
                </c:pt>
                <c:pt idx="46">
                  <c:v>75.599999999999994</c:v>
                </c:pt>
                <c:pt idx="47">
                  <c:v>9.8000000000000007</c:v>
                </c:pt>
                <c:pt idx="48">
                  <c:v>480</c:v>
                </c:pt>
                <c:pt idx="49">
                  <c:v>702</c:v>
                </c:pt>
                <c:pt idx="50">
                  <c:v>1066.5</c:v>
                </c:pt>
                <c:pt idx="51">
                  <c:v>51.8</c:v>
                </c:pt>
                <c:pt idx="52">
                  <c:v>17</c:v>
                </c:pt>
                <c:pt idx="53">
                  <c:v>645</c:v>
                </c:pt>
                <c:pt idx="54">
                  <c:v>1216.3009404388715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1120</c:v>
                </c:pt>
              </c:numCache>
            </c:numRef>
          </c:xVal>
          <c:yVal>
            <c:numRef>
              <c:f>TN!$I$2:$I$60</c:f>
              <c:numCache>
                <c:formatCode>General</c:formatCode>
                <c:ptCount val="59"/>
                <c:pt idx="0">
                  <c:v>5</c:v>
                </c:pt>
                <c:pt idx="1">
                  <c:v>#N/A</c:v>
                </c:pt>
                <c:pt idx="2">
                  <c:v>71</c:v>
                </c:pt>
                <c:pt idx="3">
                  <c:v>46.708463949843257</c:v>
                </c:pt>
                <c:pt idx="4">
                  <c:v>39</c:v>
                </c:pt>
                <c:pt idx="5">
                  <c:v>1</c:v>
                </c:pt>
                <c:pt idx="6">
                  <c:v>56</c:v>
                </c:pt>
                <c:pt idx="7">
                  <c:v>40</c:v>
                </c:pt>
                <c:pt idx="8">
                  <c:v>#N/A</c:v>
                </c:pt>
                <c:pt idx="9">
                  <c:v>39.1</c:v>
                </c:pt>
                <c:pt idx="10">
                  <c:v>2</c:v>
                </c:pt>
                <c:pt idx="11">
                  <c:v>40</c:v>
                </c:pt>
                <c:pt idx="12">
                  <c:v>#N/A</c:v>
                </c:pt>
                <c:pt idx="13">
                  <c:v>71</c:v>
                </c:pt>
                <c:pt idx="14">
                  <c:v>35.9</c:v>
                </c:pt>
                <c:pt idx="15">
                  <c:v>50</c:v>
                </c:pt>
                <c:pt idx="16">
                  <c:v>50.4</c:v>
                </c:pt>
                <c:pt idx="17">
                  <c:v>64.3</c:v>
                </c:pt>
                <c:pt idx="18">
                  <c:v>11.7</c:v>
                </c:pt>
                <c:pt idx="19">
                  <c:v>#N/A</c:v>
                </c:pt>
                <c:pt idx="20">
                  <c:v>41.8</c:v>
                </c:pt>
                <c:pt idx="21">
                  <c:v>38.6</c:v>
                </c:pt>
                <c:pt idx="22">
                  <c:v>28.1</c:v>
                </c:pt>
                <c:pt idx="23">
                  <c:v>95</c:v>
                </c:pt>
                <c:pt idx="24">
                  <c:v>28.698884758364311</c:v>
                </c:pt>
                <c:pt idx="25">
                  <c:v>#N/A</c:v>
                </c:pt>
                <c:pt idx="26">
                  <c:v>5.2</c:v>
                </c:pt>
                <c:pt idx="27">
                  <c:v>67.2</c:v>
                </c:pt>
                <c:pt idx="28">
                  <c:v>23.3</c:v>
                </c:pt>
                <c:pt idx="29">
                  <c:v>15.3</c:v>
                </c:pt>
                <c:pt idx="30">
                  <c:v>88.043478260869563</c:v>
                </c:pt>
                <c:pt idx="31">
                  <c:v>87.654320987654316</c:v>
                </c:pt>
                <c:pt idx="32">
                  <c:v>11</c:v>
                </c:pt>
                <c:pt idx="33">
                  <c:v>5</c:v>
                </c:pt>
                <c:pt idx="34">
                  <c:v>36</c:v>
                </c:pt>
                <c:pt idx="35">
                  <c:v>42</c:v>
                </c:pt>
                <c:pt idx="36">
                  <c:v>41</c:v>
                </c:pt>
                <c:pt idx="37">
                  <c:v>7</c:v>
                </c:pt>
                <c:pt idx="38">
                  <c:v>29.126213592233007</c:v>
                </c:pt>
                <c:pt idx="39">
                  <c:v>8.9367253750815383</c:v>
                </c:pt>
                <c:pt idx="40">
                  <c:v>#N/A</c:v>
                </c:pt>
                <c:pt idx="41">
                  <c:v>96.588486140724939</c:v>
                </c:pt>
                <c:pt idx="42">
                  <c:v>74.92307692307692</c:v>
                </c:pt>
                <c:pt idx="43">
                  <c:v>80.602636534839917</c:v>
                </c:pt>
                <c:pt idx="44">
                  <c:v>92.617775619232631</c:v>
                </c:pt>
                <c:pt idx="45">
                  <c:v>98.520779525710253</c:v>
                </c:pt>
                <c:pt idx="46">
                  <c:v>71.957671957671948</c:v>
                </c:pt>
                <c:pt idx="47">
                  <c:v>95.918367346938766</c:v>
                </c:pt>
                <c:pt idx="48">
                  <c:v>#N/A</c:v>
                </c:pt>
                <c:pt idx="49">
                  <c:v>12.820512820512819</c:v>
                </c:pt>
                <c:pt idx="50">
                  <c:v>33.473980309423347</c:v>
                </c:pt>
                <c:pt idx="51">
                  <c:v>74.900000000000006</c:v>
                </c:pt>
                <c:pt idx="52">
                  <c:v>14</c:v>
                </c:pt>
                <c:pt idx="53">
                  <c:v>50</c:v>
                </c:pt>
                <c:pt idx="54">
                  <c:v>31.9</c:v>
                </c:pt>
                <c:pt idx="55">
                  <c:v>88.915662650602414</c:v>
                </c:pt>
                <c:pt idx="56">
                  <c:v>40.799999999999997</c:v>
                </c:pt>
                <c:pt idx="57">
                  <c:v>3.2</c:v>
                </c:pt>
                <c:pt idx="58">
                  <c:v>40.327380952380956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0-4E2A-B066-7DF58EB4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TN Reduction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11493875765536"/>
                  <c:y val="-0.5125791776027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TN!$F$2:$F$60</c:f>
              <c:numCache>
                <c:formatCode>General</c:formatCode>
                <c:ptCount val="59"/>
                <c:pt idx="0">
                  <c:v>9.4729637234770708E-2</c:v>
                </c:pt>
                <c:pt idx="1">
                  <c:v>3.3532153450017921E-2</c:v>
                </c:pt>
                <c:pt idx="2">
                  <c:v>3.3237428030760559E-3</c:v>
                </c:pt>
                <c:pt idx="3">
                  <c:v>7.7782340862422999E-3</c:v>
                </c:pt>
                <c:pt idx="4">
                  <c:v>3.7371663244353186E-4</c:v>
                </c:pt>
                <c:pt idx="5">
                  <c:v>3.8535249828884326E-3</c:v>
                </c:pt>
                <c:pt idx="6">
                  <c:v>1.2971937029431896E-3</c:v>
                </c:pt>
                <c:pt idx="7">
                  <c:v>1.4403832991101986E-3</c:v>
                </c:pt>
                <c:pt idx="8">
                  <c:v>#N/A</c:v>
                </c:pt>
                <c:pt idx="9">
                  <c:v>#N/A</c:v>
                </c:pt>
                <c:pt idx="10">
                  <c:v>6.741957563312799E-2</c:v>
                </c:pt>
                <c:pt idx="11">
                  <c:v>1.5140314852840521E-2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0.15504449007529089</c:v>
                </c:pt>
                <c:pt idx="19">
                  <c:v>#N/A</c:v>
                </c:pt>
                <c:pt idx="20">
                  <c:v>2.1793292265571525E-2</c:v>
                </c:pt>
                <c:pt idx="21">
                  <c:v>1.5249828884325805E-2</c:v>
                </c:pt>
                <c:pt idx="22">
                  <c:v>#N/A</c:v>
                </c:pt>
                <c:pt idx="23">
                  <c:v>4.8733744010951404E-3</c:v>
                </c:pt>
                <c:pt idx="24">
                  <c:v>1.2083504449007529E-2</c:v>
                </c:pt>
                <c:pt idx="25">
                  <c:v>4.366946440793977E-2</c:v>
                </c:pt>
                <c:pt idx="26">
                  <c:v>0.13930184804928133</c:v>
                </c:pt>
                <c:pt idx="27">
                  <c:v>#N/A</c:v>
                </c:pt>
                <c:pt idx="28">
                  <c:v>1.3251197809719371E-2</c:v>
                </c:pt>
                <c:pt idx="29">
                  <c:v>0.13128489316609351</c:v>
                </c:pt>
                <c:pt idx="30">
                  <c:v>#N/A</c:v>
                </c:pt>
                <c:pt idx="31">
                  <c:v>#N/A</c:v>
                </c:pt>
                <c:pt idx="32">
                  <c:v>1.2260402464065708E-3</c:v>
                </c:pt>
                <c:pt idx="33">
                  <c:v>1.0447244353182755E-3</c:v>
                </c:pt>
                <c:pt idx="34">
                  <c:v>9.3248131416837803E-4</c:v>
                </c:pt>
                <c:pt idx="35">
                  <c:v>2.9979466119096507E-2</c:v>
                </c:pt>
                <c:pt idx="36">
                  <c:v>3.5975359342915812E-2</c:v>
                </c:pt>
                <c:pt idx="37">
                  <c:v>2.4982888432580425E-2</c:v>
                </c:pt>
                <c:pt idx="38">
                  <c:v>1.2320328542094457E-3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1.8124572210814511E-3</c:v>
                </c:pt>
                <c:pt idx="44">
                  <c:v>#N/A</c:v>
                </c:pt>
                <c:pt idx="45">
                  <c:v>#N/A</c:v>
                </c:pt>
                <c:pt idx="46">
                  <c:v>3.8822724161533192E-3</c:v>
                </c:pt>
                <c:pt idx="47">
                  <c:v>#N/A</c:v>
                </c:pt>
                <c:pt idx="48">
                  <c:v>6.7351129363449697E-2</c:v>
                </c:pt>
                <c:pt idx="49">
                  <c:v>0.10184804928131418</c:v>
                </c:pt>
                <c:pt idx="50">
                  <c:v>#N/A</c:v>
                </c:pt>
                <c:pt idx="51">
                  <c:v>#N/A</c:v>
                </c:pt>
                <c:pt idx="52">
                  <c:v>1.4321381561627969E-2</c:v>
                </c:pt>
                <c:pt idx="53">
                  <c:v>5.4757015742642023E-2</c:v>
                </c:pt>
                <c:pt idx="54">
                  <c:v>0.10883778234086243</c:v>
                </c:pt>
                <c:pt idx="55">
                  <c:v>1.7466541375189971E-3</c:v>
                </c:pt>
                <c:pt idx="56">
                  <c:v>#N/A</c:v>
                </c:pt>
                <c:pt idx="57">
                  <c:v>#N/A</c:v>
                </c:pt>
                <c:pt idx="58">
                  <c:v>2.1552969807589931E-2</c:v>
                </c:pt>
              </c:numCache>
            </c:numRef>
          </c:xVal>
          <c:yVal>
            <c:numRef>
              <c:f>TN!$I$2:$I$60</c:f>
              <c:numCache>
                <c:formatCode>General</c:formatCode>
                <c:ptCount val="59"/>
                <c:pt idx="0">
                  <c:v>5</c:v>
                </c:pt>
                <c:pt idx="1">
                  <c:v>#N/A</c:v>
                </c:pt>
                <c:pt idx="2">
                  <c:v>71</c:v>
                </c:pt>
                <c:pt idx="3">
                  <c:v>46.708463949843257</c:v>
                </c:pt>
                <c:pt idx="4">
                  <c:v>39</c:v>
                </c:pt>
                <c:pt idx="5">
                  <c:v>1</c:v>
                </c:pt>
                <c:pt idx="6">
                  <c:v>56</c:v>
                </c:pt>
                <c:pt idx="7">
                  <c:v>40</c:v>
                </c:pt>
                <c:pt idx="8">
                  <c:v>#N/A</c:v>
                </c:pt>
                <c:pt idx="9">
                  <c:v>39.1</c:v>
                </c:pt>
                <c:pt idx="10">
                  <c:v>2</c:v>
                </c:pt>
                <c:pt idx="11">
                  <c:v>40</c:v>
                </c:pt>
                <c:pt idx="12">
                  <c:v>#N/A</c:v>
                </c:pt>
                <c:pt idx="13">
                  <c:v>71</c:v>
                </c:pt>
                <c:pt idx="14">
                  <c:v>35.9</c:v>
                </c:pt>
                <c:pt idx="15">
                  <c:v>50</c:v>
                </c:pt>
                <c:pt idx="16">
                  <c:v>50.4</c:v>
                </c:pt>
                <c:pt idx="17">
                  <c:v>64.3</c:v>
                </c:pt>
                <c:pt idx="18">
                  <c:v>11.7</c:v>
                </c:pt>
                <c:pt idx="19">
                  <c:v>#N/A</c:v>
                </c:pt>
                <c:pt idx="20">
                  <c:v>41.8</c:v>
                </c:pt>
                <c:pt idx="21">
                  <c:v>38.6</c:v>
                </c:pt>
                <c:pt idx="22">
                  <c:v>28.1</c:v>
                </c:pt>
                <c:pt idx="23">
                  <c:v>95</c:v>
                </c:pt>
                <c:pt idx="24">
                  <c:v>28.698884758364311</c:v>
                </c:pt>
                <c:pt idx="25">
                  <c:v>#N/A</c:v>
                </c:pt>
                <c:pt idx="26">
                  <c:v>5.2</c:v>
                </c:pt>
                <c:pt idx="27">
                  <c:v>67.2</c:v>
                </c:pt>
                <c:pt idx="28">
                  <c:v>23.3</c:v>
                </c:pt>
                <c:pt idx="29">
                  <c:v>15.3</c:v>
                </c:pt>
                <c:pt idx="30">
                  <c:v>88.043478260869563</c:v>
                </c:pt>
                <c:pt idx="31">
                  <c:v>87.654320987654316</c:v>
                </c:pt>
                <c:pt idx="32">
                  <c:v>11</c:v>
                </c:pt>
                <c:pt idx="33">
                  <c:v>5</c:v>
                </c:pt>
                <c:pt idx="34">
                  <c:v>36</c:v>
                </c:pt>
                <c:pt idx="35">
                  <c:v>42</c:v>
                </c:pt>
                <c:pt idx="36">
                  <c:v>41</c:v>
                </c:pt>
                <c:pt idx="37">
                  <c:v>7</c:v>
                </c:pt>
                <c:pt idx="38">
                  <c:v>29.126213592233007</c:v>
                </c:pt>
                <c:pt idx="39">
                  <c:v>8.9367253750815383</c:v>
                </c:pt>
                <c:pt idx="40">
                  <c:v>#N/A</c:v>
                </c:pt>
                <c:pt idx="41">
                  <c:v>96.588486140724939</c:v>
                </c:pt>
                <c:pt idx="42">
                  <c:v>74.92307692307692</c:v>
                </c:pt>
                <c:pt idx="43">
                  <c:v>80.602636534839917</c:v>
                </c:pt>
                <c:pt idx="44">
                  <c:v>92.617775619232631</c:v>
                </c:pt>
                <c:pt idx="45">
                  <c:v>98.520779525710253</c:v>
                </c:pt>
                <c:pt idx="46">
                  <c:v>71.957671957671948</c:v>
                </c:pt>
                <c:pt idx="47">
                  <c:v>95.918367346938766</c:v>
                </c:pt>
                <c:pt idx="48">
                  <c:v>#N/A</c:v>
                </c:pt>
                <c:pt idx="49">
                  <c:v>12.820512820512819</c:v>
                </c:pt>
                <c:pt idx="50">
                  <c:v>33.473980309423347</c:v>
                </c:pt>
                <c:pt idx="51">
                  <c:v>74.900000000000006</c:v>
                </c:pt>
                <c:pt idx="52">
                  <c:v>14</c:v>
                </c:pt>
                <c:pt idx="53">
                  <c:v>50</c:v>
                </c:pt>
                <c:pt idx="54">
                  <c:v>31.9</c:v>
                </c:pt>
                <c:pt idx="55">
                  <c:v>88.915662650602414</c:v>
                </c:pt>
                <c:pt idx="56">
                  <c:v>40.799999999999997</c:v>
                </c:pt>
                <c:pt idx="57">
                  <c:v>3.2</c:v>
                </c:pt>
                <c:pt idx="58">
                  <c:v>40.327380952380956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7-4DDF-A2B9-3F5855D0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TN Remvoal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1463692038495188"/>
                  <c:y val="0.30525038151001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TN!$G$2:$G$60</c:f>
              <c:numCache>
                <c:formatCode>General</c:formatCode>
                <c:ptCount val="59"/>
                <c:pt idx="0">
                  <c:v>105</c:v>
                </c:pt>
                <c:pt idx="1">
                  <c:v>#N/A</c:v>
                </c:pt>
                <c:pt idx="2">
                  <c:v>78.873239436619727</c:v>
                </c:pt>
                <c:pt idx="3">
                  <c:v>159.5</c:v>
                </c:pt>
                <c:pt idx="4">
                  <c:v>80.685862835029837</c:v>
                </c:pt>
                <c:pt idx="5">
                  <c:v>1170</c:v>
                </c:pt>
                <c:pt idx="6">
                  <c:v>515</c:v>
                </c:pt>
                <c:pt idx="7">
                  <c:v>445</c:v>
                </c:pt>
                <c:pt idx="8">
                  <c:v>#N/A</c:v>
                </c:pt>
                <c:pt idx="9">
                  <c:v>230</c:v>
                </c:pt>
                <c:pt idx="10">
                  <c:v>2210</c:v>
                </c:pt>
                <c:pt idx="11">
                  <c:v>243.7</c:v>
                </c:pt>
                <c:pt idx="12">
                  <c:v>#N/A</c:v>
                </c:pt>
                <c:pt idx="13">
                  <c:v>310</c:v>
                </c:pt>
                <c:pt idx="14">
                  <c:v>39</c:v>
                </c:pt>
                <c:pt idx="15">
                  <c:v>674</c:v>
                </c:pt>
                <c:pt idx="16">
                  <c:v>668</c:v>
                </c:pt>
                <c:pt idx="17">
                  <c:v>297</c:v>
                </c:pt>
                <c:pt idx="18">
                  <c:v>2631.3</c:v>
                </c:pt>
                <c:pt idx="19">
                  <c:v>#N/A</c:v>
                </c:pt>
                <c:pt idx="20">
                  <c:v>421.7</c:v>
                </c:pt>
                <c:pt idx="21">
                  <c:v>496.3</c:v>
                </c:pt>
                <c:pt idx="22">
                  <c:v>812</c:v>
                </c:pt>
                <c:pt idx="23">
                  <c:v>60</c:v>
                </c:pt>
                <c:pt idx="24">
                  <c:v>672.5</c:v>
                </c:pt>
                <c:pt idx="25">
                  <c:v>#N/A</c:v>
                </c:pt>
                <c:pt idx="26">
                  <c:v>1337</c:v>
                </c:pt>
                <c:pt idx="27">
                  <c:v>198</c:v>
                </c:pt>
                <c:pt idx="28">
                  <c:v>305</c:v>
                </c:pt>
                <c:pt idx="29">
                  <c:v>1701.3</c:v>
                </c:pt>
                <c:pt idx="30">
                  <c:v>110.4</c:v>
                </c:pt>
                <c:pt idx="31">
                  <c:v>72.900000000000006</c:v>
                </c:pt>
                <c:pt idx="32">
                  <c:v>518.18181818181824</c:v>
                </c:pt>
                <c:pt idx="33">
                  <c:v>540</c:v>
                </c:pt>
                <c:pt idx="34">
                  <c:v>777.77777777777771</c:v>
                </c:pt>
                <c:pt idx="35">
                  <c:v>930.95238095238096</c:v>
                </c:pt>
                <c:pt idx="36">
                  <c:v>1334.1463414634145</c:v>
                </c:pt>
                <c:pt idx="37">
                  <c:v>642.85714285714289</c:v>
                </c:pt>
                <c:pt idx="38">
                  <c:v>51.5</c:v>
                </c:pt>
                <c:pt idx="39">
                  <c:v>511</c:v>
                </c:pt>
                <c:pt idx="40">
                  <c:v>21.2</c:v>
                </c:pt>
                <c:pt idx="41">
                  <c:v>46.9</c:v>
                </c:pt>
                <c:pt idx="42">
                  <c:v>65</c:v>
                </c:pt>
                <c:pt idx="43">
                  <c:v>53.1</c:v>
                </c:pt>
                <c:pt idx="44">
                  <c:v>41.18</c:v>
                </c:pt>
                <c:pt idx="45">
                  <c:v>42.59</c:v>
                </c:pt>
                <c:pt idx="46">
                  <c:v>75.599999999999994</c:v>
                </c:pt>
                <c:pt idx="47">
                  <c:v>9.8000000000000007</c:v>
                </c:pt>
                <c:pt idx="48">
                  <c:v>480</c:v>
                </c:pt>
                <c:pt idx="49">
                  <c:v>702</c:v>
                </c:pt>
                <c:pt idx="50">
                  <c:v>1066.5</c:v>
                </c:pt>
                <c:pt idx="51">
                  <c:v>51.8</c:v>
                </c:pt>
                <c:pt idx="52">
                  <c:v>17</c:v>
                </c:pt>
                <c:pt idx="53">
                  <c:v>645</c:v>
                </c:pt>
                <c:pt idx="54">
                  <c:v>1216.3009404388715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1120</c:v>
                </c:pt>
              </c:numCache>
            </c:numRef>
          </c:xVal>
          <c:yVal>
            <c:numRef>
              <c:f>TN!$I$2:$I$60</c:f>
              <c:numCache>
                <c:formatCode>General</c:formatCode>
                <c:ptCount val="59"/>
                <c:pt idx="0">
                  <c:v>5</c:v>
                </c:pt>
                <c:pt idx="1">
                  <c:v>#N/A</c:v>
                </c:pt>
                <c:pt idx="2">
                  <c:v>71</c:v>
                </c:pt>
                <c:pt idx="3">
                  <c:v>46.708463949843257</c:v>
                </c:pt>
                <c:pt idx="4">
                  <c:v>39</c:v>
                </c:pt>
                <c:pt idx="5">
                  <c:v>1</c:v>
                </c:pt>
                <c:pt idx="6">
                  <c:v>56</c:v>
                </c:pt>
                <c:pt idx="7">
                  <c:v>40</c:v>
                </c:pt>
                <c:pt idx="8">
                  <c:v>#N/A</c:v>
                </c:pt>
                <c:pt idx="9">
                  <c:v>39.1</c:v>
                </c:pt>
                <c:pt idx="10">
                  <c:v>2</c:v>
                </c:pt>
                <c:pt idx="11">
                  <c:v>40</c:v>
                </c:pt>
                <c:pt idx="12">
                  <c:v>#N/A</c:v>
                </c:pt>
                <c:pt idx="13">
                  <c:v>71</c:v>
                </c:pt>
                <c:pt idx="14">
                  <c:v>35.9</c:v>
                </c:pt>
                <c:pt idx="15">
                  <c:v>50</c:v>
                </c:pt>
                <c:pt idx="16">
                  <c:v>50.4</c:v>
                </c:pt>
                <c:pt idx="17">
                  <c:v>64.3</c:v>
                </c:pt>
                <c:pt idx="18">
                  <c:v>11.7</c:v>
                </c:pt>
                <c:pt idx="19">
                  <c:v>#N/A</c:v>
                </c:pt>
                <c:pt idx="20">
                  <c:v>41.8</c:v>
                </c:pt>
                <c:pt idx="21">
                  <c:v>38.6</c:v>
                </c:pt>
                <c:pt idx="22">
                  <c:v>28.1</c:v>
                </c:pt>
                <c:pt idx="23">
                  <c:v>95</c:v>
                </c:pt>
                <c:pt idx="24">
                  <c:v>28.698884758364311</c:v>
                </c:pt>
                <c:pt idx="25">
                  <c:v>#N/A</c:v>
                </c:pt>
                <c:pt idx="26">
                  <c:v>5.2</c:v>
                </c:pt>
                <c:pt idx="27">
                  <c:v>67.2</c:v>
                </c:pt>
                <c:pt idx="28">
                  <c:v>23.3</c:v>
                </c:pt>
                <c:pt idx="29">
                  <c:v>15.3</c:v>
                </c:pt>
                <c:pt idx="30">
                  <c:v>88.043478260869563</c:v>
                </c:pt>
                <c:pt idx="31">
                  <c:v>87.654320987654316</c:v>
                </c:pt>
                <c:pt idx="32">
                  <c:v>11</c:v>
                </c:pt>
                <c:pt idx="33">
                  <c:v>5</c:v>
                </c:pt>
                <c:pt idx="34">
                  <c:v>36</c:v>
                </c:pt>
                <c:pt idx="35">
                  <c:v>42</c:v>
                </c:pt>
                <c:pt idx="36">
                  <c:v>41</c:v>
                </c:pt>
                <c:pt idx="37">
                  <c:v>7</c:v>
                </c:pt>
                <c:pt idx="38">
                  <c:v>29.126213592233007</c:v>
                </c:pt>
                <c:pt idx="39">
                  <c:v>8.9367253750815383</c:v>
                </c:pt>
                <c:pt idx="40">
                  <c:v>#N/A</c:v>
                </c:pt>
                <c:pt idx="41">
                  <c:v>96.588486140724939</c:v>
                </c:pt>
                <c:pt idx="42">
                  <c:v>74.92307692307692</c:v>
                </c:pt>
                <c:pt idx="43">
                  <c:v>80.602636534839917</c:v>
                </c:pt>
                <c:pt idx="44">
                  <c:v>92.617775619232631</c:v>
                </c:pt>
                <c:pt idx="45">
                  <c:v>98.520779525710253</c:v>
                </c:pt>
                <c:pt idx="46">
                  <c:v>71.957671957671948</c:v>
                </c:pt>
                <c:pt idx="47">
                  <c:v>95.918367346938766</c:v>
                </c:pt>
                <c:pt idx="48">
                  <c:v>#N/A</c:v>
                </c:pt>
                <c:pt idx="49">
                  <c:v>12.820512820512819</c:v>
                </c:pt>
                <c:pt idx="50">
                  <c:v>33.473980309423347</c:v>
                </c:pt>
                <c:pt idx="51">
                  <c:v>74.900000000000006</c:v>
                </c:pt>
                <c:pt idx="52">
                  <c:v>14</c:v>
                </c:pt>
                <c:pt idx="53">
                  <c:v>50</c:v>
                </c:pt>
                <c:pt idx="54">
                  <c:v>31.9</c:v>
                </c:pt>
                <c:pt idx="55">
                  <c:v>88.915662650602414</c:v>
                </c:pt>
                <c:pt idx="56">
                  <c:v>40.799999999999997</c:v>
                </c:pt>
                <c:pt idx="57">
                  <c:v>3.2</c:v>
                </c:pt>
                <c:pt idx="58">
                  <c:v>40.327380952380956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7-4DDF-A2B9-3F5855D0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logBase val="10"/>
          <c:orientation val="minMax"/>
          <c:max val="1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TN Remvoal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2304516622922133E-2"/>
                  <c:y val="-0.50097375328083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8081255468066493E-3"/>
                  <c:y val="-0.44627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'NO3'!$G$2:$G$60</c:f>
              <c:numCache>
                <c:formatCode>General</c:formatCode>
                <c:ptCount val="59"/>
                <c:pt idx="0">
                  <c:v>35.700000000000003</c:v>
                </c:pt>
                <c:pt idx="1">
                  <c:v>91.578947368421055</c:v>
                </c:pt>
                <c:pt idx="2">
                  <c:v>54.736842105263158</c:v>
                </c:pt>
                <c:pt idx="3">
                  <c:v>138.5</c:v>
                </c:pt>
                <c:pt idx="4">
                  <c:v>68.400000000000006</c:v>
                </c:pt>
                <c:pt idx="5">
                  <c:v>1045</c:v>
                </c:pt>
                <c:pt idx="6">
                  <c:v>397</c:v>
                </c:pt>
                <c:pt idx="7">
                  <c:v>282</c:v>
                </c:pt>
                <c:pt idx="8">
                  <c:v>2000</c:v>
                </c:pt>
                <c:pt idx="9">
                  <c:v>178.64702076872402</c:v>
                </c:pt>
                <c:pt idx="10">
                  <c:v>682.55000000000007</c:v>
                </c:pt>
                <c:pt idx="11">
                  <c:v>2379.0626935917812</c:v>
                </c:pt>
                <c:pt idx="12">
                  <c:v>709.02</c:v>
                </c:pt>
                <c:pt idx="13">
                  <c:v>372.94009390488242</c:v>
                </c:pt>
                <c:pt idx="14">
                  <c:v>456.46047203932778</c:v>
                </c:pt>
                <c:pt idx="15">
                  <c:v>637</c:v>
                </c:pt>
                <c:pt idx="16">
                  <c:v>1502</c:v>
                </c:pt>
                <c:pt idx="17">
                  <c:v>910.3341261631183</c:v>
                </c:pt>
                <c:pt idx="18">
                  <c:v>274.51637921110159</c:v>
                </c:pt>
                <c:pt idx="19">
                  <c:v>86.566666666666663</c:v>
                </c:pt>
                <c:pt idx="20">
                  <c:v>1431.0074153481862</c:v>
                </c:pt>
                <c:pt idx="21">
                  <c:v>#N/A</c:v>
                </c:pt>
                <c:pt idx="22">
                  <c:v>#N/A</c:v>
                </c:pt>
                <c:pt idx="23">
                  <c:v>342.85714285714289</c:v>
                </c:pt>
                <c:pt idx="24">
                  <c:v>466.66666666666669</c:v>
                </c:pt>
                <c:pt idx="25">
                  <c:v>628.57142857142856</c:v>
                </c:pt>
                <c:pt idx="26">
                  <c:v>547.5</c:v>
                </c:pt>
                <c:pt idx="27">
                  <c:v>377.41935483870964</c:v>
                </c:pt>
                <c:pt idx="28">
                  <c:v>540.81632653061229</c:v>
                </c:pt>
                <c:pt idx="29">
                  <c:v>234.61538461538461</c:v>
                </c:pt>
                <c:pt idx="30">
                  <c:v>#N/A</c:v>
                </c:pt>
                <c:pt idx="31">
                  <c:v>366.66666666666669</c:v>
                </c:pt>
                <c:pt idx="32">
                  <c:v>9.8000000000000007</c:v>
                </c:pt>
                <c:pt idx="33">
                  <c:v>#N/A</c:v>
                </c:pt>
                <c:pt idx="34">
                  <c:v>870</c:v>
                </c:pt>
                <c:pt idx="35">
                  <c:v>150</c:v>
                </c:pt>
                <c:pt idx="36">
                  <c:v>#N/A</c:v>
                </c:pt>
                <c:pt idx="37">
                  <c:v>#N/A</c:v>
                </c:pt>
                <c:pt idx="38">
                  <c:v>324</c:v>
                </c:pt>
                <c:pt idx="39">
                  <c:v>504</c:v>
                </c:pt>
                <c:pt idx="40">
                  <c:v>85.3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8.02</c:v>
                </c:pt>
                <c:pt idx="46">
                  <c:v>12</c:v>
                </c:pt>
                <c:pt idx="47">
                  <c:v>#N/A</c:v>
                </c:pt>
                <c:pt idx="48">
                  <c:v>21.5</c:v>
                </c:pt>
                <c:pt idx="49">
                  <c:v>1081.5999999999999</c:v>
                </c:pt>
                <c:pt idx="50">
                  <c:v>1078.2222222222222</c:v>
                </c:pt>
                <c:pt idx="51">
                  <c:v>322</c:v>
                </c:pt>
                <c:pt idx="52">
                  <c:v>1006.4516129032257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1038.8888888888889</c:v>
                </c:pt>
                <c:pt idx="57">
                  <c:v>546.66666666666674</c:v>
                </c:pt>
                <c:pt idx="58">
                  <c:v>867.91666666666674</c:v>
                </c:pt>
              </c:numCache>
            </c:numRef>
          </c:xVal>
          <c:yVal>
            <c:numRef>
              <c:f>'NO3'!$I$2:$I$60</c:f>
              <c:numCache>
                <c:formatCode>General</c:formatCode>
                <c:ptCount val="59"/>
                <c:pt idx="0">
                  <c:v>24</c:v>
                </c:pt>
                <c:pt idx="1">
                  <c:v>95</c:v>
                </c:pt>
                <c:pt idx="2">
                  <c:v>95</c:v>
                </c:pt>
                <c:pt idx="3">
                  <c:v>45.848375451263543</c:v>
                </c:pt>
                <c:pt idx="4">
                  <c:v>71</c:v>
                </c:pt>
                <c:pt idx="5">
                  <c:v>25</c:v>
                </c:pt>
                <c:pt idx="6">
                  <c:v>94</c:v>
                </c:pt>
                <c:pt idx="7">
                  <c:v>92.269503546099287</c:v>
                </c:pt>
                <c:pt idx="8">
                  <c:v>2.8000000000000003</c:v>
                </c:pt>
                <c:pt idx="9">
                  <c:v>48.991261999999999</c:v>
                </c:pt>
                <c:pt idx="10">
                  <c:v>72</c:v>
                </c:pt>
                <c:pt idx="11">
                  <c:v>12.779790999999999</c:v>
                </c:pt>
                <c:pt idx="12">
                  <c:v>55</c:v>
                </c:pt>
                <c:pt idx="13">
                  <c:v>54.483855000000005</c:v>
                </c:pt>
                <c:pt idx="14">
                  <c:v>41.7211</c:v>
                </c:pt>
                <c:pt idx="15">
                  <c:v>28.963893249607537</c:v>
                </c:pt>
                <c:pt idx="16">
                  <c:v>#N/A</c:v>
                </c:pt>
                <c:pt idx="17">
                  <c:v>3.7797100000000001</c:v>
                </c:pt>
                <c:pt idx="18">
                  <c:v>40.791463999999998</c:v>
                </c:pt>
                <c:pt idx="19">
                  <c:v>65.036580670003858</c:v>
                </c:pt>
                <c:pt idx="20">
                  <c:v>20.893556999999998</c:v>
                </c:pt>
                <c:pt idx="21">
                  <c:v>99</c:v>
                </c:pt>
                <c:pt idx="22">
                  <c:v>84</c:v>
                </c:pt>
                <c:pt idx="23">
                  <c:v>14</c:v>
                </c:pt>
                <c:pt idx="24">
                  <c:v>6</c:v>
                </c:pt>
                <c:pt idx="25">
                  <c:v>35</c:v>
                </c:pt>
                <c:pt idx="26">
                  <c:v>33</c:v>
                </c:pt>
                <c:pt idx="27">
                  <c:v>62</c:v>
                </c:pt>
                <c:pt idx="28">
                  <c:v>49</c:v>
                </c:pt>
                <c:pt idx="29">
                  <c:v>26</c:v>
                </c:pt>
                <c:pt idx="30">
                  <c:v>#N/A</c:v>
                </c:pt>
                <c:pt idx="31">
                  <c:v>27.727272727272727</c:v>
                </c:pt>
                <c:pt idx="32">
                  <c:v>61.224489795918359</c:v>
                </c:pt>
                <c:pt idx="33">
                  <c:v>95</c:v>
                </c:pt>
                <c:pt idx="34">
                  <c:v>38</c:v>
                </c:pt>
                <c:pt idx="35">
                  <c:v>63</c:v>
                </c:pt>
                <c:pt idx="36">
                  <c:v>91</c:v>
                </c:pt>
                <c:pt idx="37">
                  <c:v>30</c:v>
                </c:pt>
                <c:pt idx="38">
                  <c:v>27.777777777777779</c:v>
                </c:pt>
                <c:pt idx="39">
                  <c:v>35.714285714285715</c:v>
                </c:pt>
                <c:pt idx="40">
                  <c:v>76.905041031652985</c:v>
                </c:pt>
                <c:pt idx="41">
                  <c:v>94</c:v>
                </c:pt>
                <c:pt idx="42">
                  <c:v>#N/A</c:v>
                </c:pt>
                <c:pt idx="43">
                  <c:v>93</c:v>
                </c:pt>
                <c:pt idx="44">
                  <c:v>83</c:v>
                </c:pt>
                <c:pt idx="45">
                  <c:v>99</c:v>
                </c:pt>
                <c:pt idx="46">
                  <c:v>52</c:v>
                </c:pt>
                <c:pt idx="47">
                  <c:v>96</c:v>
                </c:pt>
                <c:pt idx="48">
                  <c:v>91</c:v>
                </c:pt>
                <c:pt idx="49">
                  <c:v>34.504437869822482</c:v>
                </c:pt>
                <c:pt idx="50">
                  <c:v>37.860676009892828</c:v>
                </c:pt>
                <c:pt idx="51">
                  <c:v>48</c:v>
                </c:pt>
                <c:pt idx="52">
                  <c:v>15.5</c:v>
                </c:pt>
                <c:pt idx="53">
                  <c:v>40</c:v>
                </c:pt>
                <c:pt idx="54">
                  <c:v>60</c:v>
                </c:pt>
                <c:pt idx="55">
                  <c:v>#N/A</c:v>
                </c:pt>
                <c:pt idx="56">
                  <c:v>40.64171122994653</c:v>
                </c:pt>
                <c:pt idx="57">
                  <c:v>44.918699186991887</c:v>
                </c:pt>
                <c:pt idx="58">
                  <c:v>34.325492078732609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A-4065-A96A-F9138588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20133420822398"/>
                  <c:y val="0.11740507436570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3583688757655294"/>
                  <c:y val="2.3233158355205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'NO3'!$G$2:$G$60</c:f>
              <c:numCache>
                <c:formatCode>General</c:formatCode>
                <c:ptCount val="59"/>
                <c:pt idx="0">
                  <c:v>35.700000000000003</c:v>
                </c:pt>
                <c:pt idx="1">
                  <c:v>91.578947368421055</c:v>
                </c:pt>
                <c:pt idx="2">
                  <c:v>54.736842105263158</c:v>
                </c:pt>
                <c:pt idx="3">
                  <c:v>138.5</c:v>
                </c:pt>
                <c:pt idx="4">
                  <c:v>68.400000000000006</c:v>
                </c:pt>
                <c:pt idx="5">
                  <c:v>1045</c:v>
                </c:pt>
                <c:pt idx="6">
                  <c:v>397</c:v>
                </c:pt>
                <c:pt idx="7">
                  <c:v>282</c:v>
                </c:pt>
                <c:pt idx="8">
                  <c:v>2000</c:v>
                </c:pt>
                <c:pt idx="9">
                  <c:v>178.64702076872402</c:v>
                </c:pt>
                <c:pt idx="10">
                  <c:v>682.55000000000007</c:v>
                </c:pt>
                <c:pt idx="11">
                  <c:v>2379.0626935917812</c:v>
                </c:pt>
                <c:pt idx="12">
                  <c:v>709.02</c:v>
                </c:pt>
                <c:pt idx="13">
                  <c:v>372.94009390488242</c:v>
                </c:pt>
                <c:pt idx="14">
                  <c:v>456.46047203932778</c:v>
                </c:pt>
                <c:pt idx="15">
                  <c:v>637</c:v>
                </c:pt>
                <c:pt idx="16">
                  <c:v>1502</c:v>
                </c:pt>
                <c:pt idx="17">
                  <c:v>910.3341261631183</c:v>
                </c:pt>
                <c:pt idx="18">
                  <c:v>274.51637921110159</c:v>
                </c:pt>
                <c:pt idx="19">
                  <c:v>86.566666666666663</c:v>
                </c:pt>
                <c:pt idx="20">
                  <c:v>1431.0074153481862</c:v>
                </c:pt>
                <c:pt idx="21">
                  <c:v>#N/A</c:v>
                </c:pt>
                <c:pt idx="22">
                  <c:v>#N/A</c:v>
                </c:pt>
                <c:pt idx="23">
                  <c:v>342.85714285714289</c:v>
                </c:pt>
                <c:pt idx="24">
                  <c:v>466.66666666666669</c:v>
                </c:pt>
                <c:pt idx="25">
                  <c:v>628.57142857142856</c:v>
                </c:pt>
                <c:pt idx="26">
                  <c:v>547.5</c:v>
                </c:pt>
                <c:pt idx="27">
                  <c:v>377.41935483870964</c:v>
                </c:pt>
                <c:pt idx="28">
                  <c:v>540.81632653061229</c:v>
                </c:pt>
                <c:pt idx="29">
                  <c:v>234.61538461538461</c:v>
                </c:pt>
                <c:pt idx="30">
                  <c:v>#N/A</c:v>
                </c:pt>
                <c:pt idx="31">
                  <c:v>366.66666666666669</c:v>
                </c:pt>
                <c:pt idx="32">
                  <c:v>9.8000000000000007</c:v>
                </c:pt>
                <c:pt idx="33">
                  <c:v>#N/A</c:v>
                </c:pt>
                <c:pt idx="34">
                  <c:v>870</c:v>
                </c:pt>
                <c:pt idx="35">
                  <c:v>150</c:v>
                </c:pt>
                <c:pt idx="36">
                  <c:v>#N/A</c:v>
                </c:pt>
                <c:pt idx="37">
                  <c:v>#N/A</c:v>
                </c:pt>
                <c:pt idx="38">
                  <c:v>324</c:v>
                </c:pt>
                <c:pt idx="39">
                  <c:v>504</c:v>
                </c:pt>
                <c:pt idx="40">
                  <c:v>85.3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8.02</c:v>
                </c:pt>
                <c:pt idx="46">
                  <c:v>12</c:v>
                </c:pt>
                <c:pt idx="47">
                  <c:v>#N/A</c:v>
                </c:pt>
                <c:pt idx="48">
                  <c:v>21.5</c:v>
                </c:pt>
                <c:pt idx="49">
                  <c:v>1081.5999999999999</c:v>
                </c:pt>
                <c:pt idx="50">
                  <c:v>1078.2222222222222</c:v>
                </c:pt>
                <c:pt idx="51">
                  <c:v>322</c:v>
                </c:pt>
                <c:pt idx="52">
                  <c:v>1006.4516129032257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1038.8888888888889</c:v>
                </c:pt>
                <c:pt idx="57">
                  <c:v>546.66666666666674</c:v>
                </c:pt>
                <c:pt idx="58">
                  <c:v>867.91666666666674</c:v>
                </c:pt>
              </c:numCache>
            </c:numRef>
          </c:xVal>
          <c:yVal>
            <c:numRef>
              <c:f>'NO3'!$I$2:$I$60</c:f>
              <c:numCache>
                <c:formatCode>General</c:formatCode>
                <c:ptCount val="59"/>
                <c:pt idx="0">
                  <c:v>24</c:v>
                </c:pt>
                <c:pt idx="1">
                  <c:v>95</c:v>
                </c:pt>
                <c:pt idx="2">
                  <c:v>95</c:v>
                </c:pt>
                <c:pt idx="3">
                  <c:v>45.848375451263543</c:v>
                </c:pt>
                <c:pt idx="4">
                  <c:v>71</c:v>
                </c:pt>
                <c:pt idx="5">
                  <c:v>25</c:v>
                </c:pt>
                <c:pt idx="6">
                  <c:v>94</c:v>
                </c:pt>
                <c:pt idx="7">
                  <c:v>92.269503546099287</c:v>
                </c:pt>
                <c:pt idx="8">
                  <c:v>2.8000000000000003</c:v>
                </c:pt>
                <c:pt idx="9">
                  <c:v>48.991261999999999</c:v>
                </c:pt>
                <c:pt idx="10">
                  <c:v>72</c:v>
                </c:pt>
                <c:pt idx="11">
                  <c:v>12.779790999999999</c:v>
                </c:pt>
                <c:pt idx="12">
                  <c:v>55</c:v>
                </c:pt>
                <c:pt idx="13">
                  <c:v>54.483855000000005</c:v>
                </c:pt>
                <c:pt idx="14">
                  <c:v>41.7211</c:v>
                </c:pt>
                <c:pt idx="15">
                  <c:v>28.963893249607537</c:v>
                </c:pt>
                <c:pt idx="16">
                  <c:v>#N/A</c:v>
                </c:pt>
                <c:pt idx="17">
                  <c:v>3.7797100000000001</c:v>
                </c:pt>
                <c:pt idx="18">
                  <c:v>40.791463999999998</c:v>
                </c:pt>
                <c:pt idx="19">
                  <c:v>65.036580670003858</c:v>
                </c:pt>
                <c:pt idx="20">
                  <c:v>20.893556999999998</c:v>
                </c:pt>
                <c:pt idx="21">
                  <c:v>99</c:v>
                </c:pt>
                <c:pt idx="22">
                  <c:v>84</c:v>
                </c:pt>
                <c:pt idx="23">
                  <c:v>14</c:v>
                </c:pt>
                <c:pt idx="24">
                  <c:v>6</c:v>
                </c:pt>
                <c:pt idx="25">
                  <c:v>35</c:v>
                </c:pt>
                <c:pt idx="26">
                  <c:v>33</c:v>
                </c:pt>
                <c:pt idx="27">
                  <c:v>62</c:v>
                </c:pt>
                <c:pt idx="28">
                  <c:v>49</c:v>
                </c:pt>
                <c:pt idx="29">
                  <c:v>26</c:v>
                </c:pt>
                <c:pt idx="30">
                  <c:v>#N/A</c:v>
                </c:pt>
                <c:pt idx="31">
                  <c:v>27.727272727272727</c:v>
                </c:pt>
                <c:pt idx="32">
                  <c:v>61.224489795918359</c:v>
                </c:pt>
                <c:pt idx="33">
                  <c:v>95</c:v>
                </c:pt>
                <c:pt idx="34">
                  <c:v>38</c:v>
                </c:pt>
                <c:pt idx="35">
                  <c:v>63</c:v>
                </c:pt>
                <c:pt idx="36">
                  <c:v>91</c:v>
                </c:pt>
                <c:pt idx="37">
                  <c:v>30</c:v>
                </c:pt>
                <c:pt idx="38">
                  <c:v>27.777777777777779</c:v>
                </c:pt>
                <c:pt idx="39">
                  <c:v>35.714285714285715</c:v>
                </c:pt>
                <c:pt idx="40">
                  <c:v>76.905041031652985</c:v>
                </c:pt>
                <c:pt idx="41">
                  <c:v>94</c:v>
                </c:pt>
                <c:pt idx="42">
                  <c:v>#N/A</c:v>
                </c:pt>
                <c:pt idx="43">
                  <c:v>93</c:v>
                </c:pt>
                <c:pt idx="44">
                  <c:v>83</c:v>
                </c:pt>
                <c:pt idx="45">
                  <c:v>99</c:v>
                </c:pt>
                <c:pt idx="46">
                  <c:v>52</c:v>
                </c:pt>
                <c:pt idx="47">
                  <c:v>96</c:v>
                </c:pt>
                <c:pt idx="48">
                  <c:v>91</c:v>
                </c:pt>
                <c:pt idx="49">
                  <c:v>34.504437869822482</c:v>
                </c:pt>
                <c:pt idx="50">
                  <c:v>37.860676009892828</c:v>
                </c:pt>
                <c:pt idx="51">
                  <c:v>48</c:v>
                </c:pt>
                <c:pt idx="52">
                  <c:v>15.5</c:v>
                </c:pt>
                <c:pt idx="53">
                  <c:v>40</c:v>
                </c:pt>
                <c:pt idx="54">
                  <c:v>60</c:v>
                </c:pt>
                <c:pt idx="55">
                  <c:v>#N/A</c:v>
                </c:pt>
                <c:pt idx="56">
                  <c:v>40.64171122994653</c:v>
                </c:pt>
                <c:pt idx="57">
                  <c:v>44.918699186991887</c:v>
                </c:pt>
                <c:pt idx="58">
                  <c:v>34.325492078732609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A-4065-A96A-F9138588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logBase val="10"/>
          <c:orientation val="minMax"/>
          <c:max val="1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494340551181109E-2"/>
                  <c:y val="-0.37998436514202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002569991251091E-2"/>
                  <c:y val="-0.66247625466718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'NO3'!$G$2:$G$60</c:f>
              <c:numCache>
                <c:formatCode>General</c:formatCode>
                <c:ptCount val="59"/>
                <c:pt idx="0">
                  <c:v>35.700000000000003</c:v>
                </c:pt>
                <c:pt idx="1">
                  <c:v>91.578947368421055</c:v>
                </c:pt>
                <c:pt idx="2">
                  <c:v>54.736842105263158</c:v>
                </c:pt>
                <c:pt idx="3">
                  <c:v>138.5</c:v>
                </c:pt>
                <c:pt idx="4">
                  <c:v>68.400000000000006</c:v>
                </c:pt>
                <c:pt idx="5">
                  <c:v>1045</c:v>
                </c:pt>
                <c:pt idx="6">
                  <c:v>397</c:v>
                </c:pt>
                <c:pt idx="7">
                  <c:v>282</c:v>
                </c:pt>
                <c:pt idx="8">
                  <c:v>2000</c:v>
                </c:pt>
                <c:pt idx="9">
                  <c:v>178.64702076872402</c:v>
                </c:pt>
                <c:pt idx="10">
                  <c:v>682.55000000000007</c:v>
                </c:pt>
                <c:pt idx="11">
                  <c:v>2379.0626935917812</c:v>
                </c:pt>
                <c:pt idx="12">
                  <c:v>709.02</c:v>
                </c:pt>
                <c:pt idx="13">
                  <c:v>372.94009390488242</c:v>
                </c:pt>
                <c:pt idx="14">
                  <c:v>456.46047203932778</c:v>
                </c:pt>
                <c:pt idx="15">
                  <c:v>637</c:v>
                </c:pt>
                <c:pt idx="16">
                  <c:v>1502</c:v>
                </c:pt>
                <c:pt idx="17">
                  <c:v>910.3341261631183</c:v>
                </c:pt>
                <c:pt idx="18">
                  <c:v>274.51637921110159</c:v>
                </c:pt>
                <c:pt idx="19">
                  <c:v>86.566666666666663</c:v>
                </c:pt>
                <c:pt idx="20">
                  <c:v>1431.0074153481862</c:v>
                </c:pt>
                <c:pt idx="21">
                  <c:v>#N/A</c:v>
                </c:pt>
                <c:pt idx="22">
                  <c:v>#N/A</c:v>
                </c:pt>
                <c:pt idx="23">
                  <c:v>342.85714285714289</c:v>
                </c:pt>
                <c:pt idx="24">
                  <c:v>466.66666666666669</c:v>
                </c:pt>
                <c:pt idx="25">
                  <c:v>628.57142857142856</c:v>
                </c:pt>
                <c:pt idx="26">
                  <c:v>547.5</c:v>
                </c:pt>
                <c:pt idx="27">
                  <c:v>377.41935483870964</c:v>
                </c:pt>
                <c:pt idx="28">
                  <c:v>540.81632653061229</c:v>
                </c:pt>
                <c:pt idx="29">
                  <c:v>234.61538461538461</c:v>
                </c:pt>
                <c:pt idx="30">
                  <c:v>#N/A</c:v>
                </c:pt>
                <c:pt idx="31">
                  <c:v>366.66666666666669</c:v>
                </c:pt>
                <c:pt idx="32">
                  <c:v>9.8000000000000007</c:v>
                </c:pt>
                <c:pt idx="33">
                  <c:v>#N/A</c:v>
                </c:pt>
                <c:pt idx="34">
                  <c:v>870</c:v>
                </c:pt>
                <c:pt idx="35">
                  <c:v>150</c:v>
                </c:pt>
                <c:pt idx="36">
                  <c:v>#N/A</c:v>
                </c:pt>
                <c:pt idx="37">
                  <c:v>#N/A</c:v>
                </c:pt>
                <c:pt idx="38">
                  <c:v>324</c:v>
                </c:pt>
                <c:pt idx="39">
                  <c:v>504</c:v>
                </c:pt>
                <c:pt idx="40">
                  <c:v>85.3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8.02</c:v>
                </c:pt>
                <c:pt idx="46">
                  <c:v>12</c:v>
                </c:pt>
                <c:pt idx="47">
                  <c:v>#N/A</c:v>
                </c:pt>
                <c:pt idx="48">
                  <c:v>21.5</c:v>
                </c:pt>
                <c:pt idx="49">
                  <c:v>1081.5999999999999</c:v>
                </c:pt>
                <c:pt idx="50">
                  <c:v>1078.2222222222222</c:v>
                </c:pt>
                <c:pt idx="51">
                  <c:v>322</c:v>
                </c:pt>
                <c:pt idx="52">
                  <c:v>1006.4516129032257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1038.8888888888889</c:v>
                </c:pt>
                <c:pt idx="57">
                  <c:v>546.66666666666674</c:v>
                </c:pt>
                <c:pt idx="58">
                  <c:v>867.91666666666674</c:v>
                </c:pt>
              </c:numCache>
            </c:numRef>
          </c:xVal>
          <c:yVal>
            <c:numRef>
              <c:f>'NO3'!$I$2:$I$60</c:f>
              <c:numCache>
                <c:formatCode>General</c:formatCode>
                <c:ptCount val="59"/>
                <c:pt idx="0">
                  <c:v>24</c:v>
                </c:pt>
                <c:pt idx="1">
                  <c:v>95</c:v>
                </c:pt>
                <c:pt idx="2">
                  <c:v>95</c:v>
                </c:pt>
                <c:pt idx="3">
                  <c:v>45.848375451263543</c:v>
                </c:pt>
                <c:pt idx="4">
                  <c:v>71</c:v>
                </c:pt>
                <c:pt idx="5">
                  <c:v>25</c:v>
                </c:pt>
                <c:pt idx="6">
                  <c:v>94</c:v>
                </c:pt>
                <c:pt idx="7">
                  <c:v>92.269503546099287</c:v>
                </c:pt>
                <c:pt idx="8">
                  <c:v>2.8000000000000003</c:v>
                </c:pt>
                <c:pt idx="9">
                  <c:v>48.991261999999999</c:v>
                </c:pt>
                <c:pt idx="10">
                  <c:v>72</c:v>
                </c:pt>
                <c:pt idx="11">
                  <c:v>12.779790999999999</c:v>
                </c:pt>
                <c:pt idx="12">
                  <c:v>55</c:v>
                </c:pt>
                <c:pt idx="13">
                  <c:v>54.483855000000005</c:v>
                </c:pt>
                <c:pt idx="14">
                  <c:v>41.7211</c:v>
                </c:pt>
                <c:pt idx="15">
                  <c:v>28.963893249607537</c:v>
                </c:pt>
                <c:pt idx="16">
                  <c:v>#N/A</c:v>
                </c:pt>
                <c:pt idx="17">
                  <c:v>3.7797100000000001</c:v>
                </c:pt>
                <c:pt idx="18">
                  <c:v>40.791463999999998</c:v>
                </c:pt>
                <c:pt idx="19">
                  <c:v>65.036580670003858</c:v>
                </c:pt>
                <c:pt idx="20">
                  <c:v>20.893556999999998</c:v>
                </c:pt>
                <c:pt idx="21">
                  <c:v>99</c:v>
                </c:pt>
                <c:pt idx="22">
                  <c:v>84</c:v>
                </c:pt>
                <c:pt idx="23">
                  <c:v>14</c:v>
                </c:pt>
                <c:pt idx="24">
                  <c:v>6</c:v>
                </c:pt>
                <c:pt idx="25">
                  <c:v>35</c:v>
                </c:pt>
                <c:pt idx="26">
                  <c:v>33</c:v>
                </c:pt>
                <c:pt idx="27">
                  <c:v>62</c:v>
                </c:pt>
                <c:pt idx="28">
                  <c:v>49</c:v>
                </c:pt>
                <c:pt idx="29">
                  <c:v>26</c:v>
                </c:pt>
                <c:pt idx="30">
                  <c:v>#N/A</c:v>
                </c:pt>
                <c:pt idx="31">
                  <c:v>27.727272727272727</c:v>
                </c:pt>
                <c:pt idx="32">
                  <c:v>61.224489795918359</c:v>
                </c:pt>
                <c:pt idx="33">
                  <c:v>95</c:v>
                </c:pt>
                <c:pt idx="34">
                  <c:v>38</c:v>
                </c:pt>
                <c:pt idx="35">
                  <c:v>63</c:v>
                </c:pt>
                <c:pt idx="36">
                  <c:v>91</c:v>
                </c:pt>
                <c:pt idx="37">
                  <c:v>30</c:v>
                </c:pt>
                <c:pt idx="38">
                  <c:v>27.777777777777779</c:v>
                </c:pt>
                <c:pt idx="39">
                  <c:v>35.714285714285715</c:v>
                </c:pt>
                <c:pt idx="40">
                  <c:v>76.905041031652985</c:v>
                </c:pt>
                <c:pt idx="41">
                  <c:v>94</c:v>
                </c:pt>
                <c:pt idx="42">
                  <c:v>#N/A</c:v>
                </c:pt>
                <c:pt idx="43">
                  <c:v>93</c:v>
                </c:pt>
                <c:pt idx="44">
                  <c:v>83</c:v>
                </c:pt>
                <c:pt idx="45">
                  <c:v>99</c:v>
                </c:pt>
                <c:pt idx="46">
                  <c:v>52</c:v>
                </c:pt>
                <c:pt idx="47">
                  <c:v>96</c:v>
                </c:pt>
                <c:pt idx="48">
                  <c:v>91</c:v>
                </c:pt>
                <c:pt idx="49">
                  <c:v>34.504437869822482</c:v>
                </c:pt>
                <c:pt idx="50">
                  <c:v>37.860676009892828</c:v>
                </c:pt>
                <c:pt idx="51">
                  <c:v>48</c:v>
                </c:pt>
                <c:pt idx="52">
                  <c:v>15.5</c:v>
                </c:pt>
                <c:pt idx="53">
                  <c:v>40</c:v>
                </c:pt>
                <c:pt idx="54">
                  <c:v>60</c:v>
                </c:pt>
                <c:pt idx="55">
                  <c:v>#N/A</c:v>
                </c:pt>
                <c:pt idx="56">
                  <c:v>40.64171122994653</c:v>
                </c:pt>
                <c:pt idx="57">
                  <c:v>44.918699186991887</c:v>
                </c:pt>
                <c:pt idx="58">
                  <c:v>34.325492078732609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A-4065-A96A-F9138588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2304516622922133E-2"/>
                  <c:y val="-0.50097375328083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8081255468066493E-3"/>
                  <c:y val="-0.44627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'NO3'!$F$2:$F$60</c:f>
              <c:numCache>
                <c:formatCode>General</c:formatCode>
                <c:ptCount val="59"/>
                <c:pt idx="0">
                  <c:v>9.4729637234770708E-2</c:v>
                </c:pt>
                <c:pt idx="1">
                  <c:v>3.3532153450017921E-2</c:v>
                </c:pt>
                <c:pt idx="2">
                  <c:v>3.3237428030760559E-3</c:v>
                </c:pt>
                <c:pt idx="3">
                  <c:v>7.7782340862422999E-3</c:v>
                </c:pt>
                <c:pt idx="4">
                  <c:v>3.7371663244353186E-4</c:v>
                </c:pt>
                <c:pt idx="5">
                  <c:v>3.8535249828884326E-3</c:v>
                </c:pt>
                <c:pt idx="6">
                  <c:v>1.2971937029431896E-3</c:v>
                </c:pt>
                <c:pt idx="7">
                  <c:v>1.4403832991101986E-3</c:v>
                </c:pt>
                <c:pt idx="8">
                  <c:v>6.741957563312799E-2</c:v>
                </c:pt>
                <c:pt idx="9">
                  <c:v>1.5140314852840521E-2</c:v>
                </c:pt>
                <c:pt idx="10">
                  <c:v>4.8966461327857633E-2</c:v>
                </c:pt>
                <c:pt idx="11">
                  <c:v>0.15504449007529089</c:v>
                </c:pt>
                <c:pt idx="12">
                  <c:v>1.4134154688569472E-2</c:v>
                </c:pt>
                <c:pt idx="13">
                  <c:v>2.1793292265571525E-2</c:v>
                </c:pt>
                <c:pt idx="14">
                  <c:v>1.5249828884325805E-2</c:v>
                </c:pt>
                <c:pt idx="15">
                  <c:v>1.2083504449007529E-2</c:v>
                </c:pt>
                <c:pt idx="16">
                  <c:v>4.366946440793977E-2</c:v>
                </c:pt>
                <c:pt idx="17">
                  <c:v>0.13930184804928133</c:v>
                </c:pt>
                <c:pt idx="18">
                  <c:v>1.3251197809719371E-2</c:v>
                </c:pt>
                <c:pt idx="19">
                  <c:v>3.9685799028714837E-2</c:v>
                </c:pt>
                <c:pt idx="20">
                  <c:v>0.13128489316609351</c:v>
                </c:pt>
                <c:pt idx="21">
                  <c:v>4.4200494919180745E-2</c:v>
                </c:pt>
                <c:pt idx="22">
                  <c:v>8.357911766535997E-2</c:v>
                </c:pt>
                <c:pt idx="23">
                  <c:v>1.2260402464065708E-3</c:v>
                </c:pt>
                <c:pt idx="24">
                  <c:v>1.0447244353182755E-3</c:v>
                </c:pt>
                <c:pt idx="25">
                  <c:v>9.3248131416837803E-4</c:v>
                </c:pt>
                <c:pt idx="26">
                  <c:v>5.995893223819302E-3</c:v>
                </c:pt>
                <c:pt idx="27">
                  <c:v>2.9979466119096507E-2</c:v>
                </c:pt>
                <c:pt idx="28">
                  <c:v>3.5975359342915812E-2</c:v>
                </c:pt>
                <c:pt idx="29">
                  <c:v>2.4982888432580425E-2</c:v>
                </c:pt>
                <c:pt idx="30">
                  <c:v>1.2320328542094457E-3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6.7351129363449697E-2</c:v>
                </c:pt>
                <c:pt idx="39">
                  <c:v>0.10184804928131418</c:v>
                </c:pt>
                <c:pt idx="40">
                  <c:v>0</c:v>
                </c:pt>
                <c:pt idx="41">
                  <c:v>0</c:v>
                </c:pt>
                <c:pt idx="42">
                  <c:v>1.7686516084873375E-2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1.4321381561627969E-2</c:v>
                </c:pt>
                <c:pt idx="47">
                  <c:v>0</c:v>
                </c:pt>
                <c:pt idx="48">
                  <c:v>0</c:v>
                </c:pt>
                <c:pt idx="49">
                  <c:v>6.8446269678302529E-3</c:v>
                </c:pt>
                <c:pt idx="50">
                  <c:v>6.8446269678302529E-3</c:v>
                </c:pt>
                <c:pt idx="51">
                  <c:v>5.4757015742642023E-2</c:v>
                </c:pt>
                <c:pt idx="52">
                  <c:v>0.10883778234086243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2.1552969807589931E-2</c:v>
                </c:pt>
                <c:pt idx="57">
                  <c:v>1.4145562400182525E-2</c:v>
                </c:pt>
                <c:pt idx="58">
                  <c:v>1.6780743782797172E-2</c:v>
                </c:pt>
              </c:numCache>
            </c:numRef>
          </c:xVal>
          <c:yVal>
            <c:numRef>
              <c:f>'NO3'!$I$2:$I$60</c:f>
              <c:numCache>
                <c:formatCode>General</c:formatCode>
                <c:ptCount val="59"/>
                <c:pt idx="0">
                  <c:v>24</c:v>
                </c:pt>
                <c:pt idx="1">
                  <c:v>95</c:v>
                </c:pt>
                <c:pt idx="2">
                  <c:v>95</c:v>
                </c:pt>
                <c:pt idx="3">
                  <c:v>45.848375451263543</c:v>
                </c:pt>
                <c:pt idx="4">
                  <c:v>71</c:v>
                </c:pt>
                <c:pt idx="5">
                  <c:v>25</c:v>
                </c:pt>
                <c:pt idx="6">
                  <c:v>94</c:v>
                </c:pt>
                <c:pt idx="7">
                  <c:v>92.269503546099287</c:v>
                </c:pt>
                <c:pt idx="8">
                  <c:v>2.8000000000000003</c:v>
                </c:pt>
                <c:pt idx="9">
                  <c:v>48.991261999999999</c:v>
                </c:pt>
                <c:pt idx="10">
                  <c:v>72</c:v>
                </c:pt>
                <c:pt idx="11">
                  <c:v>12.779790999999999</c:v>
                </c:pt>
                <c:pt idx="12">
                  <c:v>55</c:v>
                </c:pt>
                <c:pt idx="13">
                  <c:v>54.483855000000005</c:v>
                </c:pt>
                <c:pt idx="14">
                  <c:v>41.7211</c:v>
                </c:pt>
                <c:pt idx="15">
                  <c:v>28.963893249607537</c:v>
                </c:pt>
                <c:pt idx="16">
                  <c:v>#N/A</c:v>
                </c:pt>
                <c:pt idx="17">
                  <c:v>3.7797100000000001</c:v>
                </c:pt>
                <c:pt idx="18">
                  <c:v>40.791463999999998</c:v>
                </c:pt>
                <c:pt idx="19">
                  <c:v>65.036580670003858</c:v>
                </c:pt>
                <c:pt idx="20">
                  <c:v>20.893556999999998</c:v>
                </c:pt>
                <c:pt idx="21">
                  <c:v>99</c:v>
                </c:pt>
                <c:pt idx="22">
                  <c:v>84</c:v>
                </c:pt>
                <c:pt idx="23">
                  <c:v>14</c:v>
                </c:pt>
                <c:pt idx="24">
                  <c:v>6</c:v>
                </c:pt>
                <c:pt idx="25">
                  <c:v>35</c:v>
                </c:pt>
                <c:pt idx="26">
                  <c:v>33</c:v>
                </c:pt>
                <c:pt idx="27">
                  <c:v>62</c:v>
                </c:pt>
                <c:pt idx="28">
                  <c:v>49</c:v>
                </c:pt>
                <c:pt idx="29">
                  <c:v>26</c:v>
                </c:pt>
                <c:pt idx="30">
                  <c:v>#N/A</c:v>
                </c:pt>
                <c:pt idx="31">
                  <c:v>27.727272727272727</c:v>
                </c:pt>
                <c:pt idx="32">
                  <c:v>61.224489795918359</c:v>
                </c:pt>
                <c:pt idx="33">
                  <c:v>95</c:v>
                </c:pt>
                <c:pt idx="34">
                  <c:v>38</c:v>
                </c:pt>
                <c:pt idx="35">
                  <c:v>63</c:v>
                </c:pt>
                <c:pt idx="36">
                  <c:v>91</c:v>
                </c:pt>
                <c:pt idx="37">
                  <c:v>30</c:v>
                </c:pt>
                <c:pt idx="38">
                  <c:v>27.777777777777779</c:v>
                </c:pt>
                <c:pt idx="39">
                  <c:v>35.714285714285715</c:v>
                </c:pt>
                <c:pt idx="40">
                  <c:v>76.905041031652985</c:v>
                </c:pt>
                <c:pt idx="41">
                  <c:v>94</c:v>
                </c:pt>
                <c:pt idx="42">
                  <c:v>#N/A</c:v>
                </c:pt>
                <c:pt idx="43">
                  <c:v>93</c:v>
                </c:pt>
                <c:pt idx="44">
                  <c:v>83</c:v>
                </c:pt>
                <c:pt idx="45">
                  <c:v>99</c:v>
                </c:pt>
                <c:pt idx="46">
                  <c:v>52</c:v>
                </c:pt>
                <c:pt idx="47">
                  <c:v>96</c:v>
                </c:pt>
                <c:pt idx="48">
                  <c:v>91</c:v>
                </c:pt>
                <c:pt idx="49">
                  <c:v>34.504437869822482</c:v>
                </c:pt>
                <c:pt idx="50">
                  <c:v>37.860676009892828</c:v>
                </c:pt>
                <c:pt idx="51">
                  <c:v>48</c:v>
                </c:pt>
                <c:pt idx="52">
                  <c:v>15.5</c:v>
                </c:pt>
                <c:pt idx="53">
                  <c:v>40</c:v>
                </c:pt>
                <c:pt idx="54">
                  <c:v>60</c:v>
                </c:pt>
                <c:pt idx="55">
                  <c:v>#N/A</c:v>
                </c:pt>
                <c:pt idx="56">
                  <c:v>40.64171122994653</c:v>
                </c:pt>
                <c:pt idx="57">
                  <c:v>44.918699186991887</c:v>
                </c:pt>
                <c:pt idx="58">
                  <c:v>34.325492078732609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A-4065-A96A-F9138588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15240</xdr:rowOff>
    </xdr:from>
    <xdr:to>
      <xdr:col>16</xdr:col>
      <xdr:colOff>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7FC96-3B82-4D8F-9687-9D6BBFB1A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0</xdr:row>
      <xdr:rowOff>484094</xdr:rowOff>
    </xdr:from>
    <xdr:to>
      <xdr:col>16</xdr:col>
      <xdr:colOff>60960</xdr:colOff>
      <xdr:row>13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B313C-367D-65FF-CAB6-F6A163372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246978</xdr:colOff>
      <xdr:row>1</xdr:row>
      <xdr:rowOff>11205</xdr:rowOff>
    </xdr:from>
    <xdr:to>
      <xdr:col>27</xdr:col>
      <xdr:colOff>246978</xdr:colOff>
      <xdr:row>13</xdr:row>
      <xdr:rowOff>100852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8CC54-F8F6-463E-9ADC-C94B644E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121920</xdr:colOff>
      <xdr:row>14</xdr:row>
      <xdr:rowOff>68580</xdr:rowOff>
    </xdr:from>
    <xdr:to>
      <xdr:col>22</xdr:col>
      <xdr:colOff>121920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4F3B9-C12A-4FEE-BB21-6C672C8FC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519505</xdr:colOff>
      <xdr:row>0</xdr:row>
      <xdr:rowOff>486337</xdr:rowOff>
    </xdr:from>
    <xdr:to>
      <xdr:col>21</xdr:col>
      <xdr:colOff>519505</xdr:colOff>
      <xdr:row>13</xdr:row>
      <xdr:rowOff>32723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A9E306-E0ED-EF28-7D17-400D054E2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0</xdr:row>
      <xdr:rowOff>396240</xdr:rowOff>
    </xdr:from>
    <xdr:to>
      <xdr:col>15</xdr:col>
      <xdr:colOff>510540</xdr:colOff>
      <xdr:row>12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4EE6EF-C97F-4EA7-86F2-BDB3D4EA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439309</xdr:colOff>
      <xdr:row>0</xdr:row>
      <xdr:rowOff>373712</xdr:rowOff>
    </xdr:from>
    <xdr:to>
      <xdr:col>21</xdr:col>
      <xdr:colOff>439309</xdr:colOff>
      <xdr:row>12</xdr:row>
      <xdr:rowOff>103368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6279E-728F-C159-68C8-0236AC76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445937</xdr:colOff>
      <xdr:row>0</xdr:row>
      <xdr:rowOff>380337</xdr:rowOff>
    </xdr:from>
    <xdr:to>
      <xdr:col>27</xdr:col>
      <xdr:colOff>445937</xdr:colOff>
      <xdr:row>12</xdr:row>
      <xdr:rowOff>109993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8B3B1-D047-4B15-80F5-6F0BD3D22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</xdr:colOff>
      <xdr:row>0</xdr:row>
      <xdr:rowOff>548640</xdr:rowOff>
    </xdr:from>
    <xdr:to>
      <xdr:col>16</xdr:col>
      <xdr:colOff>53340</xdr:colOff>
      <xdr:row>13</xdr:row>
      <xdr:rowOff>88790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A850E-69E8-1C48-4520-7E995D77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258748</xdr:colOff>
      <xdr:row>13</xdr:row>
      <xdr:rowOff>58310</xdr:rowOff>
    </xdr:from>
    <xdr:to>
      <xdr:col>16</xdr:col>
      <xdr:colOff>258748</xdr:colOff>
      <xdr:row>25</xdr:row>
      <xdr:rowOff>148424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2E7CA1-D534-99E3-3DA3-17376B93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7948B-2B24-421D-874C-7D174C906847}" name="Table13" displayName="Table13" ref="A1:T252" totalsRowShown="0" headerRowDxfId="49" dataDxfId="47" headerRowBorderDxfId="48" tableBorderDxfId="46" totalsRowBorderDxfId="45">
  <autoFilter ref="A1:T252" xr:uid="{43298935-69BB-408A-A547-29A6B3E0B228}">
    <filterColumn colId="3">
      <filters>
        <filter val="total nitrogen"/>
      </filters>
    </filterColumn>
  </autoFilter>
  <sortState xmlns:xlrd2="http://schemas.microsoft.com/office/spreadsheetml/2017/richdata2" ref="A9:T252">
    <sortCondition descending="1" ref="E1:E252"/>
  </sortState>
  <tableColumns count="20">
    <tableColumn id="1" xr3:uid="{61B878A4-175E-4D9B-819C-DFC2276DE7B1}" name="Country" dataDxfId="44">
      <calculatedColumnFormula>IF(Table1[[#This Row],[Country]]="N/A","",Table1[[#This Row],[Country]])</calculatedColumnFormula>
    </tableColumn>
    <tableColumn id="2" xr3:uid="{FB390118-DEA6-401C-80D1-4352A1A01F1C}" name="Study site" dataDxfId="43">
      <calculatedColumnFormula>IF(Table1[[#This Row],[Study site]]="N/A","",Table1[[#This Row],[Study site]])</calculatedColumnFormula>
    </tableColumn>
    <tableColumn id="3" xr3:uid="{06C8F983-4B89-4402-ACDA-622E98D4FA58}" name="WBZ-type" dataDxfId="42">
      <calculatedColumnFormula>IF(Table1[[#This Row],[WBZ-type]]="N/A","",Table1[[#This Row],[WBZ-type]])</calculatedColumnFormula>
    </tableColumn>
    <tableColumn id="4" xr3:uid="{04BD6C25-D270-498A-94D5-AF6D488BF032}" name="Nutrient" dataDxfId="41">
      <calculatedColumnFormula>IF(Table1[[#This Row],[Nutrient]]="N/A","",Table1[[#This Row],[Nutrient]])</calculatedColumnFormula>
    </tableColumn>
    <tableColumn id="5" xr3:uid="{349ACB93-EB9C-4E8C-9196-A766491484F4}" name="Load (kg N, P/ha/yr)" dataDxfId="40">
      <calculatedColumnFormula>IF(Table1[[#This Row],[Load (kg N, P/ha/yr)]]="N/A","",Table1[[#This Row],[Load (kg N, P/ha/yr)]])</calculatedColumnFormula>
    </tableColumn>
    <tableColumn id="6" xr3:uid="{759C9458-0127-4D56-A145-FB3D2ED74F02}" name="Loss (kg N, P/ha/yr)" dataDxfId="39">
      <calculatedColumnFormula>IF(Table1[[#This Row],[Loss (kg N, P/ha/yr)]]="N/A","",Table1[[#This Row],[Loss (kg N, P/ha/yr)]])</calculatedColumnFormula>
    </tableColumn>
    <tableColumn id="7" xr3:uid="{386A563B-21B0-49B7-873D-EAD8C5882491}" name="Retention (kg N, P/ha/yr)" dataDxfId="38">
      <calculatedColumnFormula>IF(Table1[[#This Row],[Retention (kg N, P/ha/yr)]]="N/A","",Table1[[#This Row],[Retention (kg N, P/ha/yr)]])</calculatedColumnFormula>
    </tableColumn>
    <tableColumn id="8" xr3:uid="{8A58C47F-EB19-409D-9691-4D186B7D65D8}" name="Efficiency (%)" dataDxfId="37">
      <calculatedColumnFormula>IF(Table1[[#This Row],[Efficiency (%)]]="N/A","",Table1[[#This Row],[Efficiency (%)]])</calculatedColumnFormula>
    </tableColumn>
    <tableColumn id="9" xr3:uid="{A454A3BE-F600-44CA-87A8-11F3D11A9002}" name="Organic/Mineral Soil" dataDxfId="36">
      <calculatedColumnFormula>IF(Table1[[#This Row],[Organic/Mineral Soil]]="N/A","",Table1[[#This Row],[Organic/Mineral Soil]])</calculatedColumnFormula>
    </tableColumn>
    <tableColumn id="10" xr3:uid="{9DBB2004-EA1A-45E8-BFA3-2223BD194731}" name="Vegetation type" dataDxfId="35">
      <calculatedColumnFormula>IF(Table1[[#This Row],[Vegetation type]]="N/A","",Table1[[#This Row],[Vegetation type]])</calculatedColumnFormula>
    </tableColumn>
    <tableColumn id="11" xr3:uid="{D794B103-E9FE-4766-9BEA-A1D394A66744}" name="Reference" dataDxfId="34">
      <calculatedColumnFormula>IF(Table1[[#This Row],[Reference]]="N/A","",Table1[[#This Row],[Reference]])</calculatedColumnFormula>
    </tableColumn>
    <tableColumn id="12" xr3:uid="{E3082469-346D-47BF-A00D-AEEA58B14720}" name="Main source/flow path in" dataDxfId="33">
      <calculatedColumnFormula>IF(Table1[[#This Row],[Main source/flow path in]]="N/A","",Table1[[#This Row],[Main source/flow path in]])</calculatedColumnFormula>
    </tableColumn>
    <tableColumn id="13" xr3:uid="{8A1D7F7A-7372-418B-B530-4EF24310DEBC}" name="Main source/flow path in (simple)" dataDxfId="32">
      <calculatedColumnFormula>IF(Table1[[#This Row],[Main source/flow path in (simple)]]="N/A","",Table1[[#This Row],[Main source/flow path in (simple)]])</calculatedColumnFormula>
    </tableColumn>
    <tableColumn id="14" xr3:uid="{BB2B530A-89B9-4060-82B1-047577061E32}" name="Main flow paths in buffer" dataDxfId="31">
      <calculatedColumnFormula>IF(Table1[[#This Row],[Main flow paths in buffer]]="N/A","",Table1[[#This Row],[Main flow paths in buffer]])</calculatedColumnFormula>
    </tableColumn>
    <tableColumn id="15" xr3:uid="{6778761D-17E5-4078-AE86-C07F5A29BCA8}" name="Inflow=&gt;Outflow" dataDxfId="30">
      <calculatedColumnFormula>IF(Table1[[#This Row],[Inflow=&gt;Outflow]]="N/A","",Table1[[#This Row],[Inflow=&gt;Outflow]])</calculatedColumnFormula>
    </tableColumn>
    <tableColumn id="16" xr3:uid="{9FA5A574-9306-41AE-A7A9-1BE99D0ACB8E}" name="Width [m]" dataDxfId="29">
      <calculatedColumnFormula>IF(Table1[[#This Row],[Width '[m']]]="N/A","",Table1[[#This Row],[Width '[m']]])</calculatedColumnFormula>
    </tableColumn>
    <tableColumn id="17" xr3:uid="{76221B9D-49D3-4CBD-B126-7D82507F781A}" name="Area [m2]" dataDxfId="28">
      <calculatedColumnFormula>IF(Table1[[#This Row],[Area '[m²']]]="N/A","",Table1[[#This Row],[Area '[m²']]])</calculatedColumnFormula>
    </tableColumn>
    <tableColumn id="18" xr3:uid="{AB0D5015-46F7-4795-B02F-153DDCA1EE39}" name="Qin [m3/yr]" dataDxfId="27">
      <calculatedColumnFormula>IF(Table1[[#This Row],[Qin '[m³/yr']]]="N/A","",Table1[[#This Row],[Qin '[m³/yr']]])</calculatedColumnFormula>
    </tableColumn>
    <tableColumn id="19" xr3:uid="{D2D027B5-9F2E-40E0-98D7-B9E846678381}" name="Catchment area [ha]" dataDxfId="26">
      <calculatedColumnFormula>IF(Table1[[#This Row],[Catchment area '[ha']]]="N/A","",Table1[[#This Row],[Catchment area '[ha']]])</calculatedColumnFormula>
    </tableColumn>
    <tableColumn id="20" xr3:uid="{E7CF3324-1FB3-45E1-945E-BBD8EC2F7A1C}" name="HLR [mm]" dataDxfId="25">
      <calculatedColumnFormula>IF(Table1[[#This Row],[HLR '[mm']]]="N/A","",Table1[[#This Row],[HLR '[mm']]])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98935-69BB-408A-A547-29A6B3E0B228}" name="Table1" displayName="Table1" ref="A1:T252" totalsRowShown="0" headerRowDxfId="24" dataDxfId="22" headerRowBorderDxfId="23" tableBorderDxfId="21" totalsRowBorderDxfId="20">
  <autoFilter ref="A1:T252" xr:uid="{43298935-69BB-408A-A547-29A6B3E0B228}"/>
  <sortState xmlns:xlrd2="http://schemas.microsoft.com/office/spreadsheetml/2017/richdata2" ref="A6:T245">
    <sortCondition ref="D1:D252"/>
  </sortState>
  <tableColumns count="20">
    <tableColumn id="1" xr3:uid="{AC07B874-2048-4CDB-874D-9562A22B1109}" name="Country" dataDxfId="19"/>
    <tableColumn id="2" xr3:uid="{D7F2BD65-A8AB-4B9E-84A9-9C9C4C3C149E}" name="Study site" dataDxfId="18"/>
    <tableColumn id="3" xr3:uid="{E9D4F84C-B25F-4A7E-8CBA-FBE82183C8C6}" name="WBZ-type" dataDxfId="17"/>
    <tableColumn id="4" xr3:uid="{3DCE7D9C-EBC1-4FC0-993E-51265B3E3AD2}" name="Nutrient" dataDxfId="16"/>
    <tableColumn id="5" xr3:uid="{C6D542FD-BA08-4EB5-B725-6B85F6E66F34}" name="Load (kg N, P/ha/yr)" dataDxfId="15"/>
    <tableColumn id="6" xr3:uid="{CFA26349-3102-401A-81C2-601C085DFB32}" name="Loss (kg N, P/ha/yr)" dataDxfId="14"/>
    <tableColumn id="7" xr3:uid="{A7D7B5E0-B11F-4451-970F-BE3E333545CC}" name="Retention (kg N, P/ha/yr)" dataDxfId="13"/>
    <tableColumn id="8" xr3:uid="{92628457-5074-4F5D-B378-62A7E91BCB0C}" name="Efficiency (%)" dataDxfId="12"/>
    <tableColumn id="9" xr3:uid="{67602D1F-A581-4ACE-BB2F-39B3DBE9B208}" name="Organic/Mineral Soil" dataDxfId="11"/>
    <tableColumn id="10" xr3:uid="{89C8BEC4-C4FF-4684-8F7B-B0DCC186D12B}" name="Vegetation type" dataDxfId="10"/>
    <tableColumn id="11" xr3:uid="{718F6593-7244-4FF5-801E-61BFAAB5DB11}" name="Reference" dataDxfId="9"/>
    <tableColumn id="12" xr3:uid="{0573A3F5-851F-4DF6-960D-2DCC9E63B872}" name="Main source/flow path in" dataDxfId="8"/>
    <tableColumn id="13" xr3:uid="{7A68AAD2-4A9A-4D25-81FF-F8A7DAE0992C}" name="Main source/flow path in (simple)" dataDxfId="7"/>
    <tableColumn id="14" xr3:uid="{DCEB9F99-D52D-44A4-B0EA-1FBBECDC57BB}" name="Main flow paths in buffer" dataDxfId="6"/>
    <tableColumn id="15" xr3:uid="{93BDDA43-78FC-4F7E-9294-6306F53BDEA2}" name="Inflow=&gt;Outflow" dataDxfId="5"/>
    <tableColumn id="16" xr3:uid="{C5937DD1-6BD9-4739-869C-AFA07FA59517}" name="Width [m]" dataDxfId="4"/>
    <tableColumn id="17" xr3:uid="{EBBA29CF-5323-4F3B-BD45-80448CEA1C53}" name="Area [m²]" dataDxfId="3"/>
    <tableColumn id="18" xr3:uid="{5FBFE7DE-1C39-4AFB-BFB4-244318CF6A3C}" name="Qin [m³/yr]" dataDxfId="2"/>
    <tableColumn id="19" xr3:uid="{7C7629DE-4454-475C-9DE3-33B704373AD6}" name="Catchment area [ha]" dataDxfId="1"/>
    <tableColumn id="20" xr3:uid="{6AAA5E90-864D-43A3-A01D-4E2BB931FAD3}" name="HLR [m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644C-172F-4277-8F9E-E28B531FB4C3}">
  <dimension ref="A1:T252"/>
  <sheetViews>
    <sheetView workbookViewId="0">
      <selection activeCell="Q43" sqref="Q43"/>
    </sheetView>
  </sheetViews>
  <sheetFormatPr defaultColWidth="45.44140625" defaultRowHeight="14.4" x14ac:dyDescent="0.3"/>
  <cols>
    <col min="1" max="1" width="12.44140625" bestFit="1" customWidth="1"/>
    <col min="2" max="2" width="37" bestFit="1" customWidth="1"/>
    <col min="3" max="3" width="21.77734375" bestFit="1" customWidth="1"/>
    <col min="4" max="4" width="24.6640625" bestFit="1" customWidth="1"/>
    <col min="5" max="5" width="20.21875" customWidth="1"/>
    <col min="6" max="6" width="19.6640625" customWidth="1"/>
    <col min="7" max="7" width="24.33203125" customWidth="1"/>
    <col min="8" max="8" width="14.21875" customWidth="1"/>
    <col min="9" max="9" width="20.109375" customWidth="1"/>
    <col min="10" max="10" width="19" bestFit="1" customWidth="1"/>
    <col min="11" max="11" width="57.109375" bestFit="1" customWidth="1"/>
    <col min="12" max="12" width="45.6640625" bestFit="1" customWidth="1"/>
    <col min="13" max="13" width="31.77734375" bestFit="1" customWidth="1"/>
    <col min="14" max="14" width="59.44140625" bestFit="1" customWidth="1"/>
    <col min="15" max="15" width="17" customWidth="1"/>
    <col min="16" max="16" width="11.44140625" customWidth="1"/>
    <col min="17" max="17" width="10.88671875" customWidth="1"/>
    <col min="18" max="18" width="12.44140625" customWidth="1"/>
    <col min="19" max="19" width="20.109375" customWidth="1"/>
    <col min="20" max="20" width="11.21875" customWidth="1"/>
  </cols>
  <sheetData>
    <row r="1" spans="1:20" s="13" customFormat="1" x14ac:dyDescent="0.3">
      <c r="A1" s="24" t="s">
        <v>0</v>
      </c>
      <c r="B1" s="25" t="s">
        <v>81</v>
      </c>
      <c r="C1" s="25" t="s">
        <v>136</v>
      </c>
      <c r="D1" s="25" t="s">
        <v>2</v>
      </c>
      <c r="E1" s="25" t="s">
        <v>193</v>
      </c>
      <c r="F1" s="25" t="s">
        <v>194</v>
      </c>
      <c r="G1" s="25" t="s">
        <v>195</v>
      </c>
      <c r="H1" s="26" t="s">
        <v>3</v>
      </c>
      <c r="I1" s="25" t="s">
        <v>86</v>
      </c>
      <c r="J1" s="25" t="s">
        <v>87</v>
      </c>
      <c r="K1" s="25" t="s">
        <v>1</v>
      </c>
      <c r="L1" s="27" t="s">
        <v>98</v>
      </c>
      <c r="M1" s="27" t="s">
        <v>103</v>
      </c>
      <c r="N1" s="27" t="s">
        <v>114</v>
      </c>
      <c r="O1" s="27" t="s">
        <v>120</v>
      </c>
      <c r="P1" s="28" t="s">
        <v>99</v>
      </c>
      <c r="Q1" s="28" t="s">
        <v>446</v>
      </c>
      <c r="R1" s="28" t="s">
        <v>447</v>
      </c>
      <c r="S1" s="28" t="s">
        <v>105</v>
      </c>
      <c r="T1" s="29" t="s">
        <v>92</v>
      </c>
    </row>
    <row r="2" spans="1:20" hidden="1" x14ac:dyDescent="0.3">
      <c r="A2" s="22" t="str">
        <f>IF(Table1[[#This Row],[Country]]="N/A","",Table1[[#This Row],[Country]])</f>
        <v>Canada</v>
      </c>
      <c r="B2" s="22" t="str">
        <f>IF(Table1[[#This Row],[Study site]]="N/A","",Table1[[#This Row],[Study site]])</f>
        <v>Ontario, CA</v>
      </c>
      <c r="C2" s="22" t="str">
        <f>IF(Table1[[#This Row],[WBZ-type]]="N/A","",Table1[[#This Row],[WBZ-type]])</f>
        <v>Riparian Wetland/Bank</v>
      </c>
      <c r="D2" s="22" t="str">
        <f>IF(Table1[[#This Row],[Nutrient]]="N/A","",Table1[[#This Row],[Nutrient]])</f>
        <v>total phosphorus</v>
      </c>
      <c r="E2" s="22">
        <f>IF(Table1[[#This Row],[Load (kg N, P/ha/yr)]]="N/A","",Table1[[#This Row],[Load (kg N, P/ha/yr)]])</f>
        <v>0</v>
      </c>
      <c r="F2" s="22">
        <f>IF(Table1[[#This Row],[Loss (kg N, P/ha/yr)]]="N/A","",Table1[[#This Row],[Loss (kg N, P/ha/yr)]])</f>
        <v>0</v>
      </c>
      <c r="G2" s="22">
        <f>IF(Table1[[#This Row],[Retention (kg N, P/ha/yr)]]="N/A","",Table1[[#This Row],[Retention (kg N, P/ha/yr)]])</f>
        <v>0</v>
      </c>
      <c r="H2" s="22">
        <f>IF(Table1[[#This Row],[Efficiency (%)]]="N/A","",Table1[[#This Row],[Efficiency (%)]])</f>
        <v>32</v>
      </c>
      <c r="I2" s="22" t="str">
        <f>IF(Table1[[#This Row],[Organic/Mineral Soil]]="N/A","",Table1[[#This Row],[Organic/Mineral Soil]])</f>
        <v>Mineral</v>
      </c>
      <c r="J2" s="22" t="str">
        <f>IF(Table1[[#This Row],[Vegetation type]]="N/A","",Table1[[#This Row],[Vegetation type]])</f>
        <v>Herbaceous</v>
      </c>
      <c r="K2" s="22" t="str">
        <f>IF(Table1[[#This Row],[Reference]]="N/A","",Table1[[#This Row],[Reference]])</f>
        <v>Abu-Zrieg et al., 2003; Hoffmann et al., 2009</v>
      </c>
      <c r="L2" s="22" t="str">
        <f>IF(Table1[[#This Row],[Main source/flow path in]]="N/A","",Table1[[#This Row],[Main source/flow path in]])</f>
        <v>Artificial surface runoff</v>
      </c>
      <c r="M2" s="22" t="str">
        <f>IF(Table1[[#This Row],[Main source/flow path in (simple)]]="N/A","",Table1[[#This Row],[Main source/flow path in (simple)]])</f>
        <v>SWU</v>
      </c>
      <c r="N2" s="22" t="str">
        <f>IF(Table1[[#This Row],[Main flow paths in buffer]]="N/A","",Table1[[#This Row],[Main flow paths in buffer]])</f>
        <v>Direct surface runoff</v>
      </c>
      <c r="O2" s="22" t="str">
        <f>IF(Table1[[#This Row],[Inflow=&gt;Outflow]]="N/A","",Table1[[#This Row],[Inflow=&gt;Outflow]])</f>
        <v>SWU=&gt;SR</v>
      </c>
      <c r="P2" s="22">
        <f>IF(Table1[[#This Row],[Width '[m']]]="N/A","",Table1[[#This Row],[Width '[m']]])</f>
        <v>2</v>
      </c>
      <c r="Q2" s="22">
        <f>IF(Table1[[#This Row],[Area '[m²']]]="N/A","",Table1[[#This Row],[Area '[m²']]])</f>
        <v>2.4</v>
      </c>
      <c r="R2" s="22">
        <f>IF(Table1[[#This Row],[Qin '[m³/yr']]]="N/A","",Table1[[#This Row],[Qin '[m³/yr']]])</f>
        <v>23272.400000000001</v>
      </c>
      <c r="S2" s="22" t="str">
        <f>IF(Table1[[#This Row],[Catchment area '[ha']]]="N/A","",Table1[[#This Row],[Catchment area '[ha']]])</f>
        <v/>
      </c>
      <c r="T2" s="22">
        <f>IF(Table1[[#This Row],[HLR '[mm']]]="N/A","",Table1[[#This Row],[HLR '[mm']]])</f>
        <v>9696833.333333334</v>
      </c>
    </row>
    <row r="3" spans="1:20" hidden="1" x14ac:dyDescent="0.3">
      <c r="A3" s="22" t="str">
        <f>IF(Table1[[#This Row],[Country]]="N/A","",Table1[[#This Row],[Country]])</f>
        <v>Canada</v>
      </c>
      <c r="B3" s="22" t="str">
        <f>IF(Table1[[#This Row],[Study site]]="N/A","",Table1[[#This Row],[Study site]])</f>
        <v>Ontario, CA</v>
      </c>
      <c r="C3" s="22" t="str">
        <f>IF(Table1[[#This Row],[WBZ-type]]="N/A","",Table1[[#This Row],[WBZ-type]])</f>
        <v>Riparian Wetland/Bank</v>
      </c>
      <c r="D3" s="22" t="str">
        <f>IF(Table1[[#This Row],[Nutrient]]="N/A","",Table1[[#This Row],[Nutrient]])</f>
        <v>total phosphorus</v>
      </c>
      <c r="E3" s="22">
        <f>IF(Table1[[#This Row],[Load (kg N, P/ha/yr)]]="N/A","",Table1[[#This Row],[Load (kg N, P/ha/yr)]])</f>
        <v>0</v>
      </c>
      <c r="F3" s="22">
        <f>IF(Table1[[#This Row],[Loss (kg N, P/ha/yr)]]="N/A","",Table1[[#This Row],[Loss (kg N, P/ha/yr)]])</f>
        <v>0</v>
      </c>
      <c r="G3" s="22">
        <f>IF(Table1[[#This Row],[Retention (kg N, P/ha/yr)]]="N/A","",Table1[[#This Row],[Retention (kg N, P/ha/yr)]])</f>
        <v>0</v>
      </c>
      <c r="H3" s="22">
        <f>IF(Table1[[#This Row],[Efficiency (%)]]="N/A","",Table1[[#This Row],[Efficiency (%)]])</f>
        <v>54</v>
      </c>
      <c r="I3" s="22" t="str">
        <f>IF(Table1[[#This Row],[Organic/Mineral Soil]]="N/A","",Table1[[#This Row],[Organic/Mineral Soil]])</f>
        <v>Mineral</v>
      </c>
      <c r="J3" s="22" t="str">
        <f>IF(Table1[[#This Row],[Vegetation type]]="N/A","",Table1[[#This Row],[Vegetation type]])</f>
        <v>Herbaceous</v>
      </c>
      <c r="K3" s="22" t="str">
        <f>IF(Table1[[#This Row],[Reference]]="N/A","",Table1[[#This Row],[Reference]])</f>
        <v>Abu-Zrieg et al., 2003; Hoffmann et al., 2009</v>
      </c>
      <c r="L3" s="22" t="str">
        <f>IF(Table1[[#This Row],[Main source/flow path in]]="N/A","",Table1[[#This Row],[Main source/flow path in]])</f>
        <v>Artificial surface runoff</v>
      </c>
      <c r="M3" s="22" t="str">
        <f>IF(Table1[[#This Row],[Main source/flow path in (simple)]]="N/A","",Table1[[#This Row],[Main source/flow path in (simple)]])</f>
        <v>SWU</v>
      </c>
      <c r="N3" s="22" t="str">
        <f>IF(Table1[[#This Row],[Main flow paths in buffer]]="N/A","",Table1[[#This Row],[Main flow paths in buffer]])</f>
        <v>Direct surface runoff</v>
      </c>
      <c r="O3" s="22" t="str">
        <f>IF(Table1[[#This Row],[Inflow=&gt;Outflow]]="N/A","",Table1[[#This Row],[Inflow=&gt;Outflow]])</f>
        <v>SWU=&gt;SR</v>
      </c>
      <c r="P3" s="22">
        <f>IF(Table1[[#This Row],[Width '[m']]]="N/A","",Table1[[#This Row],[Width '[m']]])</f>
        <v>5</v>
      </c>
      <c r="Q3" s="22">
        <f>IF(Table1[[#This Row],[Area '[m²']]]="N/A","",Table1[[#This Row],[Area '[m²']]])</f>
        <v>6</v>
      </c>
      <c r="R3" s="22">
        <f>IF(Table1[[#This Row],[Qin '[m³/yr']]]="N/A","",Table1[[#This Row],[Qin '[m³/yr']]])</f>
        <v>25087.194174757278</v>
      </c>
      <c r="S3" s="22" t="str">
        <f>IF(Table1[[#This Row],[Catchment area '[ha']]]="N/A","",Table1[[#This Row],[Catchment area '[ha']]])</f>
        <v/>
      </c>
      <c r="T3" s="22">
        <f>IF(Table1[[#This Row],[HLR '[mm']]]="N/A","",Table1[[#This Row],[HLR '[mm']]])</f>
        <v>4181199.0291262129</v>
      </c>
    </row>
    <row r="4" spans="1:20" hidden="1" x14ac:dyDescent="0.3">
      <c r="A4" s="22" t="str">
        <f>IF(Table1[[#This Row],[Country]]="N/A","",Table1[[#This Row],[Country]])</f>
        <v>Canada</v>
      </c>
      <c r="B4" s="22" t="str">
        <f>IF(Table1[[#This Row],[Study site]]="N/A","",Table1[[#This Row],[Study site]])</f>
        <v>Ontario, CA</v>
      </c>
      <c r="C4" s="22" t="str">
        <f>IF(Table1[[#This Row],[WBZ-type]]="N/A","",Table1[[#This Row],[WBZ-type]])</f>
        <v>Riparian Wetland/Bank</v>
      </c>
      <c r="D4" s="22" t="str">
        <f>IF(Table1[[#This Row],[Nutrient]]="N/A","",Table1[[#This Row],[Nutrient]])</f>
        <v>total phosphorus</v>
      </c>
      <c r="E4" s="22">
        <f>IF(Table1[[#This Row],[Load (kg N, P/ha/yr)]]="N/A","",Table1[[#This Row],[Load (kg N, P/ha/yr)]])</f>
        <v>0</v>
      </c>
      <c r="F4" s="22">
        <f>IF(Table1[[#This Row],[Loss (kg N, P/ha/yr)]]="N/A","",Table1[[#This Row],[Loss (kg N, P/ha/yr)]])</f>
        <v>0</v>
      </c>
      <c r="G4" s="22">
        <f>IF(Table1[[#This Row],[Retention (kg N, P/ha/yr)]]="N/A","",Table1[[#This Row],[Retention (kg N, P/ha/yr)]])</f>
        <v>0</v>
      </c>
      <c r="H4" s="22">
        <f>IF(Table1[[#This Row],[Efficiency (%)]]="N/A","",Table1[[#This Row],[Efficiency (%)]])</f>
        <v>67</v>
      </c>
      <c r="I4" s="22" t="str">
        <f>IF(Table1[[#This Row],[Organic/Mineral Soil]]="N/A","",Table1[[#This Row],[Organic/Mineral Soil]])</f>
        <v>Mineral</v>
      </c>
      <c r="J4" s="22" t="str">
        <f>IF(Table1[[#This Row],[Vegetation type]]="N/A","",Table1[[#This Row],[Vegetation type]])</f>
        <v>Herbaceous</v>
      </c>
      <c r="K4" s="22" t="str">
        <f>IF(Table1[[#This Row],[Reference]]="N/A","",Table1[[#This Row],[Reference]])</f>
        <v>Abu-Zrieg et al., 2003; Hoffmann et al., 2009</v>
      </c>
      <c r="L4" s="22" t="str">
        <f>IF(Table1[[#This Row],[Main source/flow path in]]="N/A","",Table1[[#This Row],[Main source/flow path in]])</f>
        <v>Artificial surface runoff</v>
      </c>
      <c r="M4" s="22" t="str">
        <f>IF(Table1[[#This Row],[Main source/flow path in (simple)]]="N/A","",Table1[[#This Row],[Main source/flow path in (simple)]])</f>
        <v>SWU</v>
      </c>
      <c r="N4" s="22" t="str">
        <f>IF(Table1[[#This Row],[Main flow paths in buffer]]="N/A","",Table1[[#This Row],[Main flow paths in buffer]])</f>
        <v>Direct surface runoff</v>
      </c>
      <c r="O4" s="22" t="str">
        <f>IF(Table1[[#This Row],[Inflow=&gt;Outflow]]="N/A","",Table1[[#This Row],[Inflow=&gt;Outflow]])</f>
        <v>SWU=&gt;SR</v>
      </c>
      <c r="P4" s="22">
        <f>IF(Table1[[#This Row],[Width '[m']]]="N/A","",Table1[[#This Row],[Width '[m']]])</f>
        <v>10</v>
      </c>
      <c r="Q4" s="22">
        <f>IF(Table1[[#This Row],[Area '[m²']]]="N/A","",Table1[[#This Row],[Area '[m²']]])</f>
        <v>12</v>
      </c>
      <c r="R4" s="22">
        <f>IF(Table1[[#This Row],[Qin '[m³/yr']]]="N/A","",Table1[[#This Row],[Qin '[m³/yr']]])</f>
        <v>20765.508196721315</v>
      </c>
      <c r="S4" s="22" t="str">
        <f>IF(Table1[[#This Row],[Catchment area '[ha']]]="N/A","",Table1[[#This Row],[Catchment area '[ha']]])</f>
        <v/>
      </c>
      <c r="T4" s="22">
        <f>IF(Table1[[#This Row],[HLR '[mm']]]="N/A","",Table1[[#This Row],[HLR '[mm']]])</f>
        <v>1730459.0163934429</v>
      </c>
    </row>
    <row r="5" spans="1:20" hidden="1" x14ac:dyDescent="0.3">
      <c r="A5" s="22" t="str">
        <f>IF(Table1[[#This Row],[Country]]="N/A","",Table1[[#This Row],[Country]])</f>
        <v>Canada</v>
      </c>
      <c r="B5" s="22" t="str">
        <f>IF(Table1[[#This Row],[Study site]]="N/A","",Table1[[#This Row],[Study site]])</f>
        <v>Ontario, CA</v>
      </c>
      <c r="C5" s="22" t="str">
        <f>IF(Table1[[#This Row],[WBZ-type]]="N/A","",Table1[[#This Row],[WBZ-type]])</f>
        <v>Riparian Wetland/Bank</v>
      </c>
      <c r="D5" s="22" t="str">
        <f>IF(Table1[[#This Row],[Nutrient]]="N/A","",Table1[[#This Row],[Nutrient]])</f>
        <v>total phosphorus</v>
      </c>
      <c r="E5" s="22">
        <f>IF(Table1[[#This Row],[Load (kg N, P/ha/yr)]]="N/A","",Table1[[#This Row],[Load (kg N, P/ha/yr)]])</f>
        <v>0</v>
      </c>
      <c r="F5" s="22">
        <f>IF(Table1[[#This Row],[Loss (kg N, P/ha/yr)]]="N/A","",Table1[[#This Row],[Loss (kg N, P/ha/yr)]])</f>
        <v>0</v>
      </c>
      <c r="G5" s="22">
        <f>IF(Table1[[#This Row],[Retention (kg N, P/ha/yr)]]="N/A","",Table1[[#This Row],[Retention (kg N, P/ha/yr)]])</f>
        <v>0</v>
      </c>
      <c r="H5" s="22">
        <f>IF(Table1[[#This Row],[Efficiency (%)]]="N/A","",Table1[[#This Row],[Efficiency (%)]])</f>
        <v>79</v>
      </c>
      <c r="I5" s="22" t="str">
        <f>IF(Table1[[#This Row],[Organic/Mineral Soil]]="N/A","",Table1[[#This Row],[Organic/Mineral Soil]])</f>
        <v>Mineral</v>
      </c>
      <c r="J5" s="22" t="str">
        <f>IF(Table1[[#This Row],[Vegetation type]]="N/A","",Table1[[#This Row],[Vegetation type]])</f>
        <v>Herbaceous</v>
      </c>
      <c r="K5" s="22" t="str">
        <f>IF(Table1[[#This Row],[Reference]]="N/A","",Table1[[#This Row],[Reference]])</f>
        <v>Abu-Zrieg et al., 2003; Hoffmann et al., 2009</v>
      </c>
      <c r="L5" s="22" t="str">
        <f>IF(Table1[[#This Row],[Main source/flow path in]]="N/A","",Table1[[#This Row],[Main source/flow path in]])</f>
        <v>Artificial surface runoff</v>
      </c>
      <c r="M5" s="22" t="str">
        <f>IF(Table1[[#This Row],[Main source/flow path in (simple)]]="N/A","",Table1[[#This Row],[Main source/flow path in (simple)]])</f>
        <v>SWU</v>
      </c>
      <c r="N5" s="22" t="str">
        <f>IF(Table1[[#This Row],[Main flow paths in buffer]]="N/A","",Table1[[#This Row],[Main flow paths in buffer]])</f>
        <v>Direct surface runoff</v>
      </c>
      <c r="O5" s="22" t="str">
        <f>IF(Table1[[#This Row],[Inflow=&gt;Outflow]]="N/A","",Table1[[#This Row],[Inflow=&gt;Outflow]])</f>
        <v>SWU=&gt;SR</v>
      </c>
      <c r="P5" s="22">
        <f>IF(Table1[[#This Row],[Width '[m']]]="N/A","",Table1[[#This Row],[Width '[m']]])</f>
        <v>15</v>
      </c>
      <c r="Q5" s="22">
        <f>IF(Table1[[#This Row],[Area '[m²']]]="N/A","",Table1[[#This Row],[Area '[m²']]])</f>
        <v>18</v>
      </c>
      <c r="R5" s="22">
        <f>IF(Table1[[#This Row],[Qin '[m³/yr']]]="N/A","",Table1[[#This Row],[Qin '[m³/yr']]])</f>
        <v>28256.521008403364</v>
      </c>
      <c r="S5" s="22" t="str">
        <f>IF(Table1[[#This Row],[Catchment area '[ha']]]="N/A","",Table1[[#This Row],[Catchment area '[ha']]])</f>
        <v/>
      </c>
      <c r="T5" s="22">
        <f>IF(Table1[[#This Row],[HLR '[mm']]]="N/A","",Table1[[#This Row],[HLR '[mm']]])</f>
        <v>1569806.7226890756</v>
      </c>
    </row>
    <row r="6" spans="1:20" hidden="1" x14ac:dyDescent="0.3">
      <c r="A6" s="22" t="str">
        <f>IF(Table1[[#This Row],[Country]]="N/A","",Table1[[#This Row],[Country]])</f>
        <v>Canada</v>
      </c>
      <c r="B6" s="22" t="str">
        <f>IF(Table1[[#This Row],[Study site]]="N/A","",Table1[[#This Row],[Study site]])</f>
        <v>Paint1 SF, California, US</v>
      </c>
      <c r="C6" s="22" t="str">
        <f>IF(Table1[[#This Row],[WBZ-type]]="N/A","",Table1[[#This Row],[WBZ-type]])</f>
        <v>Rewetted Fen</v>
      </c>
      <c r="D6" s="22" t="str">
        <f>IF(Table1[[#This Row],[Nutrient]]="N/A","",Table1[[#This Row],[Nutrient]])</f>
        <v>nitrate</v>
      </c>
      <c r="E6" s="22">
        <f>IF(Table1[[#This Row],[Load (kg N, P/ha/yr)]]="N/A","",Table1[[#This Row],[Load (kg N, P/ha/yr)]])</f>
        <v>35.700000000000003</v>
      </c>
      <c r="F6" s="22">
        <f>IF(Table1[[#This Row],[Loss (kg N, P/ha/yr)]]="N/A","",Table1[[#This Row],[Loss (kg N, P/ha/yr)]])</f>
        <v>27</v>
      </c>
      <c r="G6" s="22">
        <f>IF(Table1[[#This Row],[Retention (kg N, P/ha/yr)]]="N/A","",Table1[[#This Row],[Retention (kg N, P/ha/yr)]])</f>
        <v>8.6999999999999993</v>
      </c>
      <c r="H6" s="22">
        <f>IF(Table1[[#This Row],[Efficiency (%)]]="N/A","",Table1[[#This Row],[Efficiency (%)]])</f>
        <v>24</v>
      </c>
      <c r="I6" s="22" t="str">
        <f>IF(Table1[[#This Row],[Organic/Mineral Soil]]="N/A","",Table1[[#This Row],[Organic/Mineral Soil]])</f>
        <v>Organic</v>
      </c>
      <c r="J6" s="22" t="str">
        <f>IF(Table1[[#This Row],[Vegetation type]]="N/A","",Table1[[#This Row],[Vegetation type]])</f>
        <v>Aerenchymous</v>
      </c>
      <c r="K6" s="22" t="str">
        <f>IF(Table1[[#This Row],[Reference]]="N/A","",Table1[[#This Row],[Reference]])</f>
        <v>Devito et al., 1989</v>
      </c>
      <c r="L6" s="22" t="str">
        <f>IF(Table1[[#This Row],[Main source/flow path in]]="N/A","",Table1[[#This Row],[Main source/flow path in]])</f>
        <v>Stream water, groundwater, and precipitation</v>
      </c>
      <c r="M6" s="22" t="str">
        <f>IF(Table1[[#This Row],[Main source/flow path in (simple)]]="N/A","",Table1[[#This Row],[Main source/flow path in (simple)]])</f>
        <v>SWR</v>
      </c>
      <c r="N6" s="22" t="str">
        <f>IF(Table1[[#This Row],[Main flow paths in buffer]]="N/A","",Table1[[#This Row],[Main flow paths in buffer]])</f>
        <v>Direct surface runoff</v>
      </c>
      <c r="O6" s="22" t="str">
        <f>IF(Table1[[#This Row],[Inflow=&gt;Outflow]]="N/A","",Table1[[#This Row],[Inflow=&gt;Outflow]])</f>
        <v>SWR=&gt;SR</v>
      </c>
      <c r="P6" s="22">
        <f>IF(Table1[[#This Row],[Width '[m']]]="N/A","",Table1[[#This Row],[Width '[m']]])</f>
        <v>200</v>
      </c>
      <c r="Q6" s="22">
        <f>IF(Table1[[#This Row],[Area '[m²']]]="N/A","",Table1[[#This Row],[Area '[m²']]])</f>
        <v>1000</v>
      </c>
      <c r="R6" s="22">
        <f>IF(Table1[[#This Row],[Qin '[m³/yr']]]="N/A","",Table1[[#This Row],[Qin '[m³/yr']]])</f>
        <v>34600</v>
      </c>
      <c r="S6" s="22">
        <f>IF(Table1[[#This Row],[Catchment area '[ha']]]="N/A","",Table1[[#This Row],[Catchment area '[ha']]])</f>
        <v>6.6</v>
      </c>
      <c r="T6" s="22">
        <f>IF(Table1[[#This Row],[HLR '[mm']]]="N/A","",Table1[[#This Row],[HLR '[mm']]])</f>
        <v>34600</v>
      </c>
    </row>
    <row r="7" spans="1:20" hidden="1" x14ac:dyDescent="0.3">
      <c r="A7" s="22" t="str">
        <f>IF(Table1[[#This Row],[Country]]="N/A","",Table1[[#This Row],[Country]])</f>
        <v>Canada</v>
      </c>
      <c r="B7" s="22" t="str">
        <f>IF(Table1[[#This Row],[Study site]]="N/A","",Table1[[#This Row],[Study site]])</f>
        <v>Paint1 SF, California, US</v>
      </c>
      <c r="C7" s="22" t="str">
        <f>IF(Table1[[#This Row],[WBZ-type]]="N/A","",Table1[[#This Row],[WBZ-type]])</f>
        <v>Rewetted Fen</v>
      </c>
      <c r="D7" s="22" t="str">
        <f>IF(Table1[[#This Row],[Nutrient]]="N/A","",Table1[[#This Row],[Nutrient]])</f>
        <v>ammonium</v>
      </c>
      <c r="E7" s="22">
        <f>IF(Table1[[#This Row],[Load (kg N, P/ha/yr)]]="N/A","",Table1[[#This Row],[Load (kg N, P/ha/yr)]])</f>
        <v>3.93</v>
      </c>
      <c r="F7" s="22">
        <f>IF(Table1[[#This Row],[Loss (kg N, P/ha/yr)]]="N/A","",Table1[[#This Row],[Loss (kg N, P/ha/yr)]])</f>
        <v>2.6</v>
      </c>
      <c r="G7" s="22">
        <f>IF(Table1[[#This Row],[Retention (kg N, P/ha/yr)]]="N/A","",Table1[[#This Row],[Retention (kg N, P/ha/yr)]])</f>
        <v>1.33</v>
      </c>
      <c r="H7" s="22">
        <f>IF(Table1[[#This Row],[Efficiency (%)]]="N/A","",Table1[[#This Row],[Efficiency (%)]])</f>
        <v>34</v>
      </c>
      <c r="I7" s="22" t="str">
        <f>IF(Table1[[#This Row],[Organic/Mineral Soil]]="N/A","",Table1[[#This Row],[Organic/Mineral Soil]])</f>
        <v>Organic</v>
      </c>
      <c r="J7" s="22" t="str">
        <f>IF(Table1[[#This Row],[Vegetation type]]="N/A","",Table1[[#This Row],[Vegetation type]])</f>
        <v>Aerenchymous</v>
      </c>
      <c r="K7" s="22" t="str">
        <f>IF(Table1[[#This Row],[Reference]]="N/A","",Table1[[#This Row],[Reference]])</f>
        <v>Devito et al., 1989</v>
      </c>
      <c r="L7" s="22" t="str">
        <f>IF(Table1[[#This Row],[Main source/flow path in]]="N/A","",Table1[[#This Row],[Main source/flow path in]])</f>
        <v>Stream water, groundwater, and precipitation</v>
      </c>
      <c r="M7" s="22" t="str">
        <f>IF(Table1[[#This Row],[Main source/flow path in (simple)]]="N/A","",Table1[[#This Row],[Main source/flow path in (simple)]])</f>
        <v>SWR</v>
      </c>
      <c r="N7" s="22" t="str">
        <f>IF(Table1[[#This Row],[Main flow paths in buffer]]="N/A","",Table1[[#This Row],[Main flow paths in buffer]])</f>
        <v>Direct surface runoff</v>
      </c>
      <c r="O7" s="22" t="str">
        <f>IF(Table1[[#This Row],[Inflow=&gt;Outflow]]="N/A","",Table1[[#This Row],[Inflow=&gt;Outflow]])</f>
        <v>SWR=&gt;SR</v>
      </c>
      <c r="P7" s="22">
        <f>IF(Table1[[#This Row],[Width '[m']]]="N/A","",Table1[[#This Row],[Width '[m']]])</f>
        <v>200</v>
      </c>
      <c r="Q7" s="22">
        <f>IF(Table1[[#This Row],[Area '[m²']]]="N/A","",Table1[[#This Row],[Area '[m²']]])</f>
        <v>1000</v>
      </c>
      <c r="R7" s="22">
        <f>IF(Table1[[#This Row],[Qin '[m³/yr']]]="N/A","",Table1[[#This Row],[Qin '[m³/yr']]])</f>
        <v>34600</v>
      </c>
      <c r="S7" s="22">
        <f>IF(Table1[[#This Row],[Catchment area '[ha']]]="N/A","",Table1[[#This Row],[Catchment area '[ha']]])</f>
        <v>6.6</v>
      </c>
      <c r="T7" s="22">
        <f>IF(Table1[[#This Row],[HLR '[mm']]]="N/A","",Table1[[#This Row],[HLR '[mm']]])</f>
        <v>34600</v>
      </c>
    </row>
    <row r="8" spans="1:20" hidden="1" x14ac:dyDescent="0.3">
      <c r="A8" s="22" t="str">
        <f>IF(Table1[[#This Row],[Country]]="N/A","",Table1[[#This Row],[Country]])</f>
        <v>Canada</v>
      </c>
      <c r="B8" s="22" t="str">
        <f>IF(Table1[[#This Row],[Study site]]="N/A","",Table1[[#This Row],[Study site]])</f>
        <v>Paint1 SF, California, US</v>
      </c>
      <c r="C8" s="22" t="str">
        <f>IF(Table1[[#This Row],[WBZ-type]]="N/A","",Table1[[#This Row],[WBZ-type]])</f>
        <v>Rewetted Fen</v>
      </c>
      <c r="D8" s="22" t="str">
        <f>IF(Table1[[#This Row],[Nutrient]]="N/A","",Table1[[#This Row],[Nutrient]])</f>
        <v>dissolved organic nitrogen</v>
      </c>
      <c r="E8" s="22">
        <f>IF(Table1[[#This Row],[Load (kg N, P/ha/yr)]]="N/A","",Table1[[#This Row],[Load (kg N, P/ha/yr)]])</f>
        <v>65.36999999999999</v>
      </c>
      <c r="F8" s="22">
        <f>IF(Table1[[#This Row],[Loss (kg N, P/ha/yr)]]="N/A","",Table1[[#This Row],[Loss (kg N, P/ha/yr)]])</f>
        <v>69.800000000000011</v>
      </c>
      <c r="G8" s="22">
        <f>IF(Table1[[#This Row],[Retention (kg N, P/ha/yr)]]="N/A","",Table1[[#This Row],[Retention (kg N, P/ha/yr)]])</f>
        <v>-4.430000000000021</v>
      </c>
      <c r="H8" s="22">
        <f>IF(Table1[[#This Row],[Efficiency (%)]]="N/A","",Table1[[#This Row],[Efficiency (%)]])</f>
        <v>-6.7768089337616981</v>
      </c>
      <c r="I8" s="22" t="str">
        <f>IF(Table1[[#This Row],[Organic/Mineral Soil]]="N/A","",Table1[[#This Row],[Organic/Mineral Soil]])</f>
        <v>Organic</v>
      </c>
      <c r="J8" s="22" t="str">
        <f>IF(Table1[[#This Row],[Vegetation type]]="N/A","",Table1[[#This Row],[Vegetation type]])</f>
        <v>Aerenchymous</v>
      </c>
      <c r="K8" s="22" t="str">
        <f>IF(Table1[[#This Row],[Reference]]="N/A","",Table1[[#This Row],[Reference]])</f>
        <v>Devito et al., 1989</v>
      </c>
      <c r="L8" s="22" t="str">
        <f>IF(Table1[[#This Row],[Main source/flow path in]]="N/A","",Table1[[#This Row],[Main source/flow path in]])</f>
        <v>Stream water, groundwater, and precipitation</v>
      </c>
      <c r="M8" s="22" t="str">
        <f>IF(Table1[[#This Row],[Main source/flow path in (simple)]]="N/A","",Table1[[#This Row],[Main source/flow path in (simple)]])</f>
        <v>SWR</v>
      </c>
      <c r="N8" s="22" t="str">
        <f>IF(Table1[[#This Row],[Main flow paths in buffer]]="N/A","",Table1[[#This Row],[Main flow paths in buffer]])</f>
        <v>Direct surface runoff</v>
      </c>
      <c r="O8" s="22" t="str">
        <f>IF(Table1[[#This Row],[Inflow=&gt;Outflow]]="N/A","",Table1[[#This Row],[Inflow=&gt;Outflow]])</f>
        <v>SWR=&gt;SR</v>
      </c>
      <c r="P8" s="22">
        <f>IF(Table1[[#This Row],[Width '[m']]]="N/A","",Table1[[#This Row],[Width '[m']]])</f>
        <v>200</v>
      </c>
      <c r="Q8" s="22">
        <f>IF(Table1[[#This Row],[Area '[m²']]]="N/A","",Table1[[#This Row],[Area '[m²']]])</f>
        <v>1000</v>
      </c>
      <c r="R8" s="22">
        <f>IF(Table1[[#This Row],[Qin '[m³/yr']]]="N/A","",Table1[[#This Row],[Qin '[m³/yr']]])</f>
        <v>34600</v>
      </c>
      <c r="S8" s="22">
        <f>IF(Table1[[#This Row],[Catchment area '[ha']]]="N/A","",Table1[[#This Row],[Catchment area '[ha']]])</f>
        <v>6.6</v>
      </c>
      <c r="T8" s="22">
        <f>IF(Table1[[#This Row],[HLR '[mm']]]="N/A","",Table1[[#This Row],[HLR '[mm']]])</f>
        <v>34600</v>
      </c>
    </row>
    <row r="9" spans="1:20" x14ac:dyDescent="0.3">
      <c r="A9" s="22" t="str">
        <f>IF(Table1[[#This Row],[Country]]="N/A","",Table1[[#This Row],[Country]])</f>
        <v>Canada</v>
      </c>
      <c r="B9" s="22" t="str">
        <f>IF(Table1[[#This Row],[Study site]]="N/A","",Table1[[#This Row],[Study site]])</f>
        <v>Paint1 SF, California, US</v>
      </c>
      <c r="C9" s="22" t="str">
        <f>IF(Table1[[#This Row],[WBZ-type]]="N/A","",Table1[[#This Row],[WBZ-type]])</f>
        <v>Rewetted Fen</v>
      </c>
      <c r="D9" s="22" t="str">
        <f>IF(Table1[[#This Row],[Nutrient]]="N/A","",Table1[[#This Row],[Nutrient]])</f>
        <v>total nitrogen</v>
      </c>
      <c r="E9" s="22">
        <f>IF(Table1[[#This Row],[Load (kg N, P/ha/yr)]]="N/A","",Table1[[#This Row],[Load (kg N, P/ha/yr)]])</f>
        <v>105</v>
      </c>
      <c r="F9" s="22">
        <f>IF(Table1[[#This Row],[Loss (kg N, P/ha/yr)]]="N/A","",Table1[[#This Row],[Loss (kg N, P/ha/yr)]])</f>
        <v>99.4</v>
      </c>
      <c r="G9" s="22">
        <f>IF(Table1[[#This Row],[Retention (kg N, P/ha/yr)]]="N/A","",Table1[[#This Row],[Retention (kg N, P/ha/yr)]])</f>
        <v>5.6</v>
      </c>
      <c r="H9" s="22">
        <f>IF(Table1[[#This Row],[Efficiency (%)]]="N/A","",Table1[[#This Row],[Efficiency (%)]])</f>
        <v>5</v>
      </c>
      <c r="I9" s="22" t="str">
        <f>IF(Table1[[#This Row],[Organic/Mineral Soil]]="N/A","",Table1[[#This Row],[Organic/Mineral Soil]])</f>
        <v>Organic</v>
      </c>
      <c r="J9" s="22" t="str">
        <f>IF(Table1[[#This Row],[Vegetation type]]="N/A","",Table1[[#This Row],[Vegetation type]])</f>
        <v>Aerenchymous</v>
      </c>
      <c r="K9" s="22" t="str">
        <f>IF(Table1[[#This Row],[Reference]]="N/A","",Table1[[#This Row],[Reference]])</f>
        <v>Devito et al., 1989</v>
      </c>
      <c r="L9" s="22" t="str">
        <f>IF(Table1[[#This Row],[Main source/flow path in]]="N/A","",Table1[[#This Row],[Main source/flow path in]])</f>
        <v>Stream water, groundwater, and precipitation</v>
      </c>
      <c r="M9" s="22" t="str">
        <f>IF(Table1[[#This Row],[Main source/flow path in (simple)]]="N/A","",Table1[[#This Row],[Main source/flow path in (simple)]])</f>
        <v>SWR</v>
      </c>
      <c r="N9" s="22" t="str">
        <f>IF(Table1[[#This Row],[Main flow paths in buffer]]="N/A","",Table1[[#This Row],[Main flow paths in buffer]])</f>
        <v>Direct surface runoff</v>
      </c>
      <c r="O9" s="22" t="str">
        <f>IF(Table1[[#This Row],[Inflow=&gt;Outflow]]="N/A","",Table1[[#This Row],[Inflow=&gt;Outflow]])</f>
        <v>SWR=&gt;SR</v>
      </c>
      <c r="P9" s="22">
        <f>IF(Table1[[#This Row],[Width '[m']]]="N/A","",Table1[[#This Row],[Width '[m']]])</f>
        <v>200</v>
      </c>
      <c r="Q9" s="22">
        <f>IF(Table1[[#This Row],[Area '[m²']]]="N/A","",Table1[[#This Row],[Area '[m²']]])</f>
        <v>1000</v>
      </c>
      <c r="R9" s="22">
        <f>IF(Table1[[#This Row],[Qin '[m³/yr']]]="N/A","",Table1[[#This Row],[Qin '[m³/yr']]])</f>
        <v>34600</v>
      </c>
      <c r="S9" s="22">
        <f>IF(Table1[[#This Row],[Catchment area '[ha']]]="N/A","",Table1[[#This Row],[Catchment area '[ha']]])</f>
        <v>6.6</v>
      </c>
      <c r="T9" s="22">
        <f>IF(Table1[[#This Row],[HLR '[mm']]]="N/A","",Table1[[#This Row],[HLR '[mm']]])</f>
        <v>34600</v>
      </c>
    </row>
    <row r="10" spans="1:20" hidden="1" x14ac:dyDescent="0.3">
      <c r="A10" s="22" t="str">
        <f>IF(Table1[[#This Row],[Country]]="N/A","",Table1[[#This Row],[Country]])</f>
        <v>Canada</v>
      </c>
      <c r="B10" s="22" t="str">
        <f>IF(Table1[[#This Row],[Study site]]="N/A","",Table1[[#This Row],[Study site]])</f>
        <v>Paint1 SF, California, US</v>
      </c>
      <c r="C10" s="22" t="str">
        <f>IF(Table1[[#This Row],[WBZ-type]]="N/A","",Table1[[#This Row],[WBZ-type]])</f>
        <v>Rewetted Fen</v>
      </c>
      <c r="D10" s="22" t="str">
        <f>IF(Table1[[#This Row],[Nutrient]]="N/A","",Table1[[#This Row],[Nutrient]])</f>
        <v>total phosphorus</v>
      </c>
      <c r="E10" s="22">
        <f>IF(Table1[[#This Row],[Load (kg N, P/ha/yr)]]="N/A","",Table1[[#This Row],[Load (kg N, P/ha/yr)]])</f>
        <v>2.97</v>
      </c>
      <c r="F10" s="22">
        <f>IF(Table1[[#This Row],[Loss (kg N, P/ha/yr)]]="N/A","",Table1[[#This Row],[Loss (kg N, P/ha/yr)]])</f>
        <v>2.4700000000000002</v>
      </c>
      <c r="G10" s="22">
        <f>IF(Table1[[#This Row],[Retention (kg N, P/ha/yr)]]="N/A","",Table1[[#This Row],[Retention (kg N, P/ha/yr)]])</f>
        <v>0.51</v>
      </c>
      <c r="H10" s="22">
        <f>IF(Table1[[#This Row],[Efficiency (%)]]="N/A","",Table1[[#This Row],[Efficiency (%)]])</f>
        <v>17</v>
      </c>
      <c r="I10" s="22" t="str">
        <f>IF(Table1[[#This Row],[Organic/Mineral Soil]]="N/A","",Table1[[#This Row],[Organic/Mineral Soil]])</f>
        <v>Organic</v>
      </c>
      <c r="J10" s="22" t="str">
        <f>IF(Table1[[#This Row],[Vegetation type]]="N/A","",Table1[[#This Row],[Vegetation type]])</f>
        <v>Aerenchymous</v>
      </c>
      <c r="K10" s="22" t="str">
        <f>IF(Table1[[#This Row],[Reference]]="N/A","",Table1[[#This Row],[Reference]])</f>
        <v>Devito et al., 1989</v>
      </c>
      <c r="L10" s="22" t="str">
        <f>IF(Table1[[#This Row],[Main source/flow path in]]="N/A","",Table1[[#This Row],[Main source/flow path in]])</f>
        <v>Stream water, groundwater, and precipitation</v>
      </c>
      <c r="M10" s="22" t="str">
        <f>IF(Table1[[#This Row],[Main source/flow path in (simple)]]="N/A","",Table1[[#This Row],[Main source/flow path in (simple)]])</f>
        <v>SWR</v>
      </c>
      <c r="N10" s="22" t="str">
        <f>IF(Table1[[#This Row],[Main flow paths in buffer]]="N/A","",Table1[[#This Row],[Main flow paths in buffer]])</f>
        <v>Direct surface runoff</v>
      </c>
      <c r="O10" s="22" t="str">
        <f>IF(Table1[[#This Row],[Inflow=&gt;Outflow]]="N/A","",Table1[[#This Row],[Inflow=&gt;Outflow]])</f>
        <v>SWR=&gt;SR</v>
      </c>
      <c r="P10" s="22">
        <f>IF(Table1[[#This Row],[Width '[m']]]="N/A","",Table1[[#This Row],[Width '[m']]])</f>
        <v>200</v>
      </c>
      <c r="Q10" s="22">
        <f>IF(Table1[[#This Row],[Area '[m²']]]="N/A","",Table1[[#This Row],[Area '[m²']]])</f>
        <v>1000</v>
      </c>
      <c r="R10" s="22">
        <f>IF(Table1[[#This Row],[Qin '[m³/yr']]]="N/A","",Table1[[#This Row],[Qin '[m³/yr']]])</f>
        <v>34600</v>
      </c>
      <c r="S10" s="22">
        <f>IF(Table1[[#This Row],[Catchment area '[ha']]]="N/A","",Table1[[#This Row],[Catchment area '[ha']]])</f>
        <v>6.6</v>
      </c>
      <c r="T10" s="22">
        <f>IF(Table1[[#This Row],[HLR '[mm']]]="N/A","",Table1[[#This Row],[HLR '[mm']]])</f>
        <v>34600</v>
      </c>
    </row>
    <row r="11" spans="1:20" hidden="1" x14ac:dyDescent="0.3">
      <c r="A11" s="22" t="str">
        <f>IF(Table1[[#This Row],[Country]]="N/A","",Table1[[#This Row],[Country]])</f>
        <v>Denmark</v>
      </c>
      <c r="B11" s="22" t="str">
        <f>IF(Table1[[#This Row],[Study site]]="N/A","",Table1[[#This Row],[Study site]])</f>
        <v>Brede, DK</v>
      </c>
      <c r="C11" s="22" t="str">
        <f>IF(Table1[[#This Row],[WBZ-type]]="N/A","",Table1[[#This Row],[WBZ-type]])</f>
        <v>Rewetted Fen</v>
      </c>
      <c r="D11" s="22" t="str">
        <f>IF(Table1[[#This Row],[Nutrient]]="N/A","",Table1[[#This Row],[Nutrient]])</f>
        <v>nitrate</v>
      </c>
      <c r="E11" s="22">
        <f>IF(Table1[[#This Row],[Load (kg N, P/ha/yr)]]="N/A","",Table1[[#This Row],[Load (kg N, P/ha/yr)]])</f>
        <v>91.578947368421055</v>
      </c>
      <c r="F11" s="22">
        <f>IF(Table1[[#This Row],[Loss (kg N, P/ha/yr)]]="N/A","",Table1[[#This Row],[Loss (kg N, P/ha/yr)]])</f>
        <v>4.5789473684210549</v>
      </c>
      <c r="G11" s="22">
        <f>IF(Table1[[#This Row],[Retention (kg N, P/ha/yr)]]="N/A","",Table1[[#This Row],[Retention (kg N, P/ha/yr)]])</f>
        <v>87</v>
      </c>
      <c r="H11" s="22">
        <f>IF(Table1[[#This Row],[Efficiency (%)]]="N/A","",Table1[[#This Row],[Efficiency (%)]])</f>
        <v>95</v>
      </c>
      <c r="I11" s="22" t="str">
        <f>IF(Table1[[#This Row],[Organic/Mineral Soil]]="N/A","",Table1[[#This Row],[Organic/Mineral Soil]])</f>
        <v>Organic</v>
      </c>
      <c r="J11" s="22" t="str">
        <f>IF(Table1[[#This Row],[Vegetation type]]="N/A","",Table1[[#This Row],[Vegetation type]])</f>
        <v>Aerenchymous</v>
      </c>
      <c r="K11" s="22" t="str">
        <f>IF(Table1[[#This Row],[Reference]]="N/A","",Table1[[#This Row],[Reference]])</f>
        <v>Hoffmann C., et al, 2011</v>
      </c>
      <c r="L11" s="22" t="str">
        <f>IF(Table1[[#This Row],[Main source/flow path in]]="N/A","",Table1[[#This Row],[Main source/flow path in]])</f>
        <v>Deep groundwater, shallow groundwater</v>
      </c>
      <c r="M11" s="22" t="str">
        <f>IF(Table1[[#This Row],[Main source/flow path in (simple)]]="N/A","",Table1[[#This Row],[Main source/flow path in (simple)]])</f>
        <v>GW</v>
      </c>
      <c r="N11" s="22" t="str">
        <f>IF(Table1[[#This Row],[Main flow paths in buffer]]="N/A","",Table1[[#This Row],[Main flow paths in buffer]])</f>
        <v>Deep groundwater, shallow groundwater</v>
      </c>
      <c r="O11" s="22" t="str">
        <f>IF(Table1[[#This Row],[Inflow=&gt;Outflow]]="N/A","",Table1[[#This Row],[Inflow=&gt;Outflow]])</f>
        <v>GW=&gt;GW</v>
      </c>
      <c r="P11" s="22">
        <f>IF(Table1[[#This Row],[Width '[m']]]="N/A","",Table1[[#This Row],[Width '[m']]])</f>
        <v>80</v>
      </c>
      <c r="Q11" s="22">
        <f>IF(Table1[[#This Row],[Area '[m²']]]="N/A","",Table1[[#This Row],[Area '[m²']]])</f>
        <v>630000</v>
      </c>
      <c r="R11" s="22">
        <f>IF(Table1[[#This Row],[Qin '[m³/yr']]]="N/A","",Table1[[#This Row],[Qin '[m³/yr']]])</f>
        <v>7716000</v>
      </c>
      <c r="S11" s="22">
        <f>IF(Table1[[#This Row],[Catchment area '[ha']]]="N/A","",Table1[[#This Row],[Catchment area '[ha']]])</f>
        <v>700</v>
      </c>
      <c r="T11" s="22">
        <f>IF(Table1[[#This Row],[HLR '[mm']]]="N/A","",Table1[[#This Row],[HLR '[mm']]])</f>
        <v>12247.619047619046</v>
      </c>
    </row>
    <row r="12" spans="1:20" x14ac:dyDescent="0.3">
      <c r="A12" s="22" t="str">
        <f>IF(Table1[[#This Row],[Country]]="N/A","",Table1[[#This Row],[Country]])</f>
        <v>Denmark</v>
      </c>
      <c r="B12" s="22" t="str">
        <f>IF(Table1[[#This Row],[Study site]]="N/A","",Table1[[#This Row],[Study site]])</f>
        <v>Brede, DK</v>
      </c>
      <c r="C12" s="22" t="str">
        <f>IF(Table1[[#This Row],[WBZ-type]]="N/A","",Table1[[#This Row],[WBZ-type]])</f>
        <v>Rewetted Fen</v>
      </c>
      <c r="D12" s="22" t="str">
        <f>IF(Table1[[#This Row],[Nutrient]]="N/A","",Table1[[#This Row],[Nutrient]])</f>
        <v>total nitrogen</v>
      </c>
      <c r="E12" s="22">
        <f>IF(Table1[[#This Row],[Load (kg N, P/ha/yr)]]="N/A","",Table1[[#This Row],[Load (kg N, P/ha/yr)]])</f>
        <v>0</v>
      </c>
      <c r="F12" s="22">
        <f>IF(Table1[[#This Row],[Loss (kg N, P/ha/yr)]]="N/A","",Table1[[#This Row],[Loss (kg N, P/ha/yr)]])</f>
        <v>0</v>
      </c>
      <c r="G12" s="22">
        <f>IF(Table1[[#This Row],[Retention (kg N, P/ha/yr)]]="N/A","",Table1[[#This Row],[Retention (kg N, P/ha/yr)]])</f>
        <v>141</v>
      </c>
      <c r="H12" s="22">
        <f>IF(Table1[[#This Row],[Efficiency (%)]]="N/A","",Table1[[#This Row],[Efficiency (%)]])</f>
        <v>0</v>
      </c>
      <c r="I12" s="22" t="str">
        <f>IF(Table1[[#This Row],[Organic/Mineral Soil]]="N/A","",Table1[[#This Row],[Organic/Mineral Soil]])</f>
        <v>Organic</v>
      </c>
      <c r="J12" s="22" t="str">
        <f>IF(Table1[[#This Row],[Vegetation type]]="N/A","",Table1[[#This Row],[Vegetation type]])</f>
        <v>Aerenchymous</v>
      </c>
      <c r="K12" s="22" t="str">
        <f>IF(Table1[[#This Row],[Reference]]="N/A","",Table1[[#This Row],[Reference]])</f>
        <v>Hoffmann C., et al, 2011</v>
      </c>
      <c r="L12" s="22" t="str">
        <f>IF(Table1[[#This Row],[Main source/flow path in]]="N/A","",Table1[[#This Row],[Main source/flow path in]])</f>
        <v>Deep groundwater, shallow groundwater</v>
      </c>
      <c r="M12" s="22" t="str">
        <f>IF(Table1[[#This Row],[Main source/flow path in (simple)]]="N/A","",Table1[[#This Row],[Main source/flow path in (simple)]])</f>
        <v>GW</v>
      </c>
      <c r="N12" s="22" t="str">
        <f>IF(Table1[[#This Row],[Main flow paths in buffer]]="N/A","",Table1[[#This Row],[Main flow paths in buffer]])</f>
        <v>Deep groundwater, shallow groundwater</v>
      </c>
      <c r="O12" s="22" t="str">
        <f>IF(Table1[[#This Row],[Inflow=&gt;Outflow]]="N/A","",Table1[[#This Row],[Inflow=&gt;Outflow]])</f>
        <v>GW=&gt;GW</v>
      </c>
      <c r="P12" s="22">
        <f>IF(Table1[[#This Row],[Width '[m']]]="N/A","",Table1[[#This Row],[Width '[m']]])</f>
        <v>80</v>
      </c>
      <c r="Q12" s="22">
        <f>IF(Table1[[#This Row],[Area '[m²']]]="N/A","",Table1[[#This Row],[Area '[m²']]])</f>
        <v>630000</v>
      </c>
      <c r="R12" s="22">
        <f>IF(Table1[[#This Row],[Qin '[m³/yr']]]="N/A","",Table1[[#This Row],[Qin '[m³/yr']]])</f>
        <v>7716000</v>
      </c>
      <c r="S12" s="22">
        <f>IF(Table1[[#This Row],[Catchment area '[ha']]]="N/A","",Table1[[#This Row],[Catchment area '[ha']]])</f>
        <v>700</v>
      </c>
      <c r="T12" s="22">
        <f>IF(Table1[[#This Row],[HLR '[mm']]]="N/A","",Table1[[#This Row],[HLR '[mm']]])</f>
        <v>12247.619047619046</v>
      </c>
    </row>
    <row r="13" spans="1:20" hidden="1" x14ac:dyDescent="0.3">
      <c r="A13" s="22" t="str">
        <f>IF(Table1[[#This Row],[Country]]="N/A","",Table1[[#This Row],[Country]])</f>
        <v>Denmark</v>
      </c>
      <c r="B13" s="22" t="str">
        <f>IF(Table1[[#This Row],[Study site]]="N/A","",Table1[[#This Row],[Study site]])</f>
        <v>Brede, DK</v>
      </c>
      <c r="C13" s="22" t="str">
        <f>IF(Table1[[#This Row],[WBZ-type]]="N/A","",Table1[[#This Row],[WBZ-type]])</f>
        <v>Rewetted Fen</v>
      </c>
      <c r="D13" s="22" t="str">
        <f>IF(Table1[[#This Row],[Nutrient]]="N/A","",Table1[[#This Row],[Nutrient]])</f>
        <v>SRP</v>
      </c>
      <c r="E13" s="22">
        <f>IF(Table1[[#This Row],[Load (kg N, P/ha/yr)]]="N/A","",Table1[[#This Row],[Load (kg N, P/ha/yr)]])</f>
        <v>0</v>
      </c>
      <c r="F13" s="22">
        <f>IF(Table1[[#This Row],[Loss (kg N, P/ha/yr)]]="N/A","",Table1[[#This Row],[Loss (kg N, P/ha/yr)]])</f>
        <v>0</v>
      </c>
      <c r="G13" s="22">
        <f>IF(Table1[[#This Row],[Retention (kg N, P/ha/yr)]]="N/A","",Table1[[#This Row],[Retention (kg N, P/ha/yr)]])</f>
        <v>-2.6</v>
      </c>
      <c r="H13" s="22">
        <f>IF(Table1[[#This Row],[Efficiency (%)]]="N/A","",Table1[[#This Row],[Efficiency (%)]])</f>
        <v>0</v>
      </c>
      <c r="I13" s="22" t="str">
        <f>IF(Table1[[#This Row],[Organic/Mineral Soil]]="N/A","",Table1[[#This Row],[Organic/Mineral Soil]])</f>
        <v>Organic</v>
      </c>
      <c r="J13" s="22" t="str">
        <f>IF(Table1[[#This Row],[Vegetation type]]="N/A","",Table1[[#This Row],[Vegetation type]])</f>
        <v>Aerenchymous</v>
      </c>
      <c r="K13" s="22" t="str">
        <f>IF(Table1[[#This Row],[Reference]]="N/A","",Table1[[#This Row],[Reference]])</f>
        <v>Hoffmann C., et al, 2011</v>
      </c>
      <c r="L13" s="22" t="str">
        <f>IF(Table1[[#This Row],[Main source/flow path in]]="N/A","",Table1[[#This Row],[Main source/flow path in]])</f>
        <v>Deep groundwater, shallow groundwater</v>
      </c>
      <c r="M13" s="22" t="str">
        <f>IF(Table1[[#This Row],[Main source/flow path in (simple)]]="N/A","",Table1[[#This Row],[Main source/flow path in (simple)]])</f>
        <v>GW</v>
      </c>
      <c r="N13" s="22" t="str">
        <f>IF(Table1[[#This Row],[Main flow paths in buffer]]="N/A","",Table1[[#This Row],[Main flow paths in buffer]])</f>
        <v>Deep groundwater, shallow groundwater</v>
      </c>
      <c r="O13" s="22" t="str">
        <f>IF(Table1[[#This Row],[Inflow=&gt;Outflow]]="N/A","",Table1[[#This Row],[Inflow=&gt;Outflow]])</f>
        <v>GW=&gt;GW</v>
      </c>
      <c r="P13" s="22">
        <f>IF(Table1[[#This Row],[Width '[m']]]="N/A","",Table1[[#This Row],[Width '[m']]])</f>
        <v>80</v>
      </c>
      <c r="Q13" s="22">
        <f>IF(Table1[[#This Row],[Area '[m²']]]="N/A","",Table1[[#This Row],[Area '[m²']]])</f>
        <v>630000</v>
      </c>
      <c r="R13" s="22">
        <f>IF(Table1[[#This Row],[Qin '[m³/yr']]]="N/A","",Table1[[#This Row],[Qin '[m³/yr']]])</f>
        <v>7716000</v>
      </c>
      <c r="S13" s="22">
        <f>IF(Table1[[#This Row],[Catchment area '[ha']]]="N/A","",Table1[[#This Row],[Catchment area '[ha']]])</f>
        <v>700</v>
      </c>
      <c r="T13" s="22">
        <f>IF(Table1[[#This Row],[HLR '[mm']]]="N/A","",Table1[[#This Row],[HLR '[mm']]])</f>
        <v>12247.619047619046</v>
      </c>
    </row>
    <row r="14" spans="1:20" hidden="1" x14ac:dyDescent="0.3">
      <c r="A14" s="22" t="str">
        <f>IF(Table1[[#This Row],[Country]]="N/A","",Table1[[#This Row],[Country]])</f>
        <v>Denmark</v>
      </c>
      <c r="B14" s="22" t="str">
        <f>IF(Table1[[#This Row],[Study site]]="N/A","",Table1[[#This Row],[Study site]])</f>
        <v>Egebjerg, DK</v>
      </c>
      <c r="C14" s="22" t="str">
        <f>IF(Table1[[#This Row],[WBZ-type]]="N/A","",Table1[[#This Row],[WBZ-type]])</f>
        <v>Rewetted Fen</v>
      </c>
      <c r="D14" s="22" t="str">
        <f>IF(Table1[[#This Row],[Nutrient]]="N/A","",Table1[[#This Row],[Nutrient]])</f>
        <v>dissolved organic nitrogen</v>
      </c>
      <c r="E14" s="22">
        <f>IF(Table1[[#This Row],[Load (kg N, P/ha/yr)]]="N/A","",Table1[[#This Row],[Load (kg N, P/ha/yr)]])</f>
        <v>22.783456154885975</v>
      </c>
      <c r="F14" s="22">
        <f>IF(Table1[[#This Row],[Loss (kg N, P/ha/yr)]]="N/A","",Table1[[#This Row],[Loss (kg N, P/ha/yr)]])</f>
        <v>19.013456154885983</v>
      </c>
      <c r="G14" s="22">
        <f>IF(Table1[[#This Row],[Retention (kg N, P/ha/yr)]]="N/A","",Table1[[#This Row],[Retention (kg N, P/ha/yr)]])</f>
        <v>3.7699999999999925</v>
      </c>
      <c r="H14" s="22">
        <f>IF(Table1[[#This Row],[Efficiency (%)]]="N/A","",Table1[[#This Row],[Efficiency (%)]])</f>
        <v>16.547094410834177</v>
      </c>
      <c r="I14" s="22" t="str">
        <f>IF(Table1[[#This Row],[Organic/Mineral Soil]]="N/A","",Table1[[#This Row],[Organic/Mineral Soil]])</f>
        <v>Organic</v>
      </c>
      <c r="J14" s="22" t="str">
        <f>IF(Table1[[#This Row],[Vegetation type]]="N/A","",Table1[[#This Row],[Vegetation type]])</f>
        <v>Herbaceous</v>
      </c>
      <c r="K14" s="22" t="str">
        <f>IF(Table1[[#This Row],[Reference]]="N/A","",Table1[[#This Row],[Reference]])</f>
        <v>Hoffmann C., et al, 2011</v>
      </c>
      <c r="L14" s="22" t="str">
        <f>IF(Table1[[#This Row],[Main source/flow path in]]="N/A","",Table1[[#This Row],[Main source/flow path in]])</f>
        <v>2/3 inundation, 1/3 Drain discharge from upland</v>
      </c>
      <c r="M14" s="22" t="str">
        <f>IF(Table1[[#This Row],[Main source/flow path in (simple)]]="N/A","",Table1[[#This Row],[Main source/flow path in (simple)]])</f>
        <v>SWR</v>
      </c>
      <c r="N14" s="22" t="str">
        <f>IF(Table1[[#This Row],[Main flow paths in buffer]]="N/A","",Table1[[#This Row],[Main flow paths in buffer]])</f>
        <v>inundation from river and direct surface runoff</v>
      </c>
      <c r="O14" s="22" t="str">
        <f>IF(Table1[[#This Row],[Inflow=&gt;Outflow]]="N/A","",Table1[[#This Row],[Inflow=&gt;Outflow]])</f>
        <v>SWR=&gt;SR</v>
      </c>
      <c r="P14" s="22">
        <f>IF(Table1[[#This Row],[Width '[m']]]="N/A","",Table1[[#This Row],[Width '[m']]])</f>
        <v>400</v>
      </c>
      <c r="Q14" s="22">
        <f>IF(Table1[[#This Row],[Area '[m²']]]="N/A","",Table1[[#This Row],[Area '[m²']]])</f>
        <v>340000</v>
      </c>
      <c r="R14" s="22">
        <f>IF(Table1[[#This Row],[Qin '[m³/yr']]]="N/A","",Table1[[#This Row],[Qin '[m³/yr']]])</f>
        <v>412759</v>
      </c>
      <c r="S14" s="22">
        <f>IF(Table1[[#This Row],[Catchment area '[ha']]]="N/A","",Table1[[#This Row],[Catchment area '[ha']]])</f>
        <v>161</v>
      </c>
      <c r="T14" s="22">
        <f>IF(Table1[[#This Row],[HLR '[mm']]]="N/A","",Table1[[#This Row],[HLR '[mm']]])</f>
        <v>1213.9970588235294</v>
      </c>
    </row>
    <row r="15" spans="1:20" hidden="1" x14ac:dyDescent="0.3">
      <c r="A15" s="22" t="str">
        <f>IF(Table1[[#This Row],[Country]]="N/A","",Table1[[#This Row],[Country]])</f>
        <v>Denmark</v>
      </c>
      <c r="B15" s="22" t="str">
        <f>IF(Table1[[#This Row],[Study site]]="N/A","",Table1[[#This Row],[Study site]])</f>
        <v>Egebjerg, DK</v>
      </c>
      <c r="C15" s="22" t="str">
        <f>IF(Table1[[#This Row],[WBZ-type]]="N/A","",Table1[[#This Row],[WBZ-type]])</f>
        <v>Rewetted Fen</v>
      </c>
      <c r="D15" s="22" t="str">
        <f>IF(Table1[[#This Row],[Nutrient]]="N/A","",Table1[[#This Row],[Nutrient]])</f>
        <v>nitrate</v>
      </c>
      <c r="E15" s="22">
        <f>IF(Table1[[#This Row],[Load (kg N, P/ha/yr)]]="N/A","",Table1[[#This Row],[Load (kg N, P/ha/yr)]])</f>
        <v>54.736842105263158</v>
      </c>
      <c r="F15" s="22">
        <f>IF(Table1[[#This Row],[Loss (kg N, P/ha/yr)]]="N/A","",Table1[[#This Row],[Loss (kg N, P/ha/yr)]])</f>
        <v>2.7368421052631575</v>
      </c>
      <c r="G15" s="22">
        <f>IF(Table1[[#This Row],[Retention (kg N, P/ha/yr)]]="N/A","",Table1[[#This Row],[Retention (kg N, P/ha/yr)]])</f>
        <v>52</v>
      </c>
      <c r="H15" s="22">
        <f>IF(Table1[[#This Row],[Efficiency (%)]]="N/A","",Table1[[#This Row],[Efficiency (%)]])</f>
        <v>95</v>
      </c>
      <c r="I15" s="22" t="str">
        <f>IF(Table1[[#This Row],[Organic/Mineral Soil]]="N/A","",Table1[[#This Row],[Organic/Mineral Soil]])</f>
        <v>Organic</v>
      </c>
      <c r="J15" s="22" t="str">
        <f>IF(Table1[[#This Row],[Vegetation type]]="N/A","",Table1[[#This Row],[Vegetation type]])</f>
        <v>Herbaceous</v>
      </c>
      <c r="K15" s="22" t="str">
        <f>IF(Table1[[#This Row],[Reference]]="N/A","",Table1[[#This Row],[Reference]])</f>
        <v>Hoffmann C., et al, 2011</v>
      </c>
      <c r="L15" s="22" t="str">
        <f>IF(Table1[[#This Row],[Main source/flow path in]]="N/A","",Table1[[#This Row],[Main source/flow path in]])</f>
        <v>2/3 inundation, 1/3 Drain discharge from upland</v>
      </c>
      <c r="M15" s="22" t="str">
        <f>IF(Table1[[#This Row],[Main source/flow path in (simple)]]="N/A","",Table1[[#This Row],[Main source/flow path in (simple)]])</f>
        <v>SWR</v>
      </c>
      <c r="N15" s="22" t="str">
        <f>IF(Table1[[#This Row],[Main flow paths in buffer]]="N/A","",Table1[[#This Row],[Main flow paths in buffer]])</f>
        <v>inundation from river and direct surface runoff</v>
      </c>
      <c r="O15" s="22" t="str">
        <f>IF(Table1[[#This Row],[Inflow=&gt;Outflow]]="N/A","",Table1[[#This Row],[Inflow=&gt;Outflow]])</f>
        <v>SWR=&gt;SR</v>
      </c>
      <c r="P15" s="22">
        <f>IF(Table1[[#This Row],[Width '[m']]]="N/A","",Table1[[#This Row],[Width '[m']]])</f>
        <v>400</v>
      </c>
      <c r="Q15" s="22">
        <f>IF(Table1[[#This Row],[Area '[m²']]]="N/A","",Table1[[#This Row],[Area '[m²']]])</f>
        <v>340000</v>
      </c>
      <c r="R15" s="22">
        <f>IF(Table1[[#This Row],[Qin '[m³/yr']]]="N/A","",Table1[[#This Row],[Qin '[m³/yr']]])</f>
        <v>412759</v>
      </c>
      <c r="S15" s="22">
        <f>IF(Table1[[#This Row],[Catchment area '[ha']]]="N/A","",Table1[[#This Row],[Catchment area '[ha']]])</f>
        <v>161</v>
      </c>
      <c r="T15" s="22">
        <f>IF(Table1[[#This Row],[HLR '[mm']]]="N/A","",Table1[[#This Row],[HLR '[mm']]])</f>
        <v>1213.9970588235294</v>
      </c>
    </row>
    <row r="16" spans="1:20" hidden="1" x14ac:dyDescent="0.3">
      <c r="A16" s="22" t="str">
        <f>IF(Table1[[#This Row],[Country]]="N/A","",Table1[[#This Row],[Country]])</f>
        <v>Denmark</v>
      </c>
      <c r="B16" s="22" t="str">
        <f>IF(Table1[[#This Row],[Study site]]="N/A","",Table1[[#This Row],[Study site]])</f>
        <v>Egebjerg, DK</v>
      </c>
      <c r="C16" s="22" t="str">
        <f>IF(Table1[[#This Row],[WBZ-type]]="N/A","",Table1[[#This Row],[WBZ-type]])</f>
        <v>Rewetted Fen</v>
      </c>
      <c r="D16" s="22" t="str">
        <f>IF(Table1[[#This Row],[Nutrient]]="N/A","",Table1[[#This Row],[Nutrient]])</f>
        <v>ammonium</v>
      </c>
      <c r="E16" s="22">
        <f>IF(Table1[[#This Row],[Load (kg N, P/ha/yr)]]="N/A","",Table1[[#This Row],[Load (kg N, P/ha/yr)]])</f>
        <v>1.3529411764705881</v>
      </c>
      <c r="F16" s="22">
        <f>IF(Table1[[#This Row],[Loss (kg N, P/ha/yr)]]="N/A","",Table1[[#This Row],[Loss (kg N, P/ha/yr)]])</f>
        <v>1.1229411764705881</v>
      </c>
      <c r="G16" s="22">
        <f>IF(Table1[[#This Row],[Retention (kg N, P/ha/yr)]]="N/A","",Table1[[#This Row],[Retention (kg N, P/ha/yr)]])</f>
        <v>0.23</v>
      </c>
      <c r="H16" s="22">
        <f>IF(Table1[[#This Row],[Efficiency (%)]]="N/A","",Table1[[#This Row],[Efficiency (%)]])</f>
        <v>17</v>
      </c>
      <c r="I16" s="22" t="str">
        <f>IF(Table1[[#This Row],[Organic/Mineral Soil]]="N/A","",Table1[[#This Row],[Organic/Mineral Soil]])</f>
        <v>Organic</v>
      </c>
      <c r="J16" s="22" t="str">
        <f>IF(Table1[[#This Row],[Vegetation type]]="N/A","",Table1[[#This Row],[Vegetation type]])</f>
        <v>Herbaceous</v>
      </c>
      <c r="K16" s="22" t="str">
        <f>IF(Table1[[#This Row],[Reference]]="N/A","",Table1[[#This Row],[Reference]])</f>
        <v>Hoffmann C., et al, 2011</v>
      </c>
      <c r="L16" s="22" t="str">
        <f>IF(Table1[[#This Row],[Main source/flow path in]]="N/A","",Table1[[#This Row],[Main source/flow path in]])</f>
        <v>2/3 inundation, 1/3 Drain discharge from upland</v>
      </c>
      <c r="M16" s="22" t="str">
        <f>IF(Table1[[#This Row],[Main source/flow path in (simple)]]="N/A","",Table1[[#This Row],[Main source/flow path in (simple)]])</f>
        <v>SWR</v>
      </c>
      <c r="N16" s="22" t="str">
        <f>IF(Table1[[#This Row],[Main flow paths in buffer]]="N/A","",Table1[[#This Row],[Main flow paths in buffer]])</f>
        <v>inundation from river and direct surface runoff</v>
      </c>
      <c r="O16" s="22" t="str">
        <f>IF(Table1[[#This Row],[Inflow=&gt;Outflow]]="N/A","",Table1[[#This Row],[Inflow=&gt;Outflow]])</f>
        <v>SWR=&gt;SR</v>
      </c>
      <c r="P16" s="22">
        <f>IF(Table1[[#This Row],[Width '[m']]]="N/A","",Table1[[#This Row],[Width '[m']]])</f>
        <v>400</v>
      </c>
      <c r="Q16" s="22">
        <f>IF(Table1[[#This Row],[Area '[m²']]]="N/A","",Table1[[#This Row],[Area '[m²']]])</f>
        <v>340000</v>
      </c>
      <c r="R16" s="22">
        <f>IF(Table1[[#This Row],[Qin '[m³/yr']]]="N/A","",Table1[[#This Row],[Qin '[m³/yr']]])</f>
        <v>412759</v>
      </c>
      <c r="S16" s="22">
        <f>IF(Table1[[#This Row],[Catchment area '[ha']]]="N/A","",Table1[[#This Row],[Catchment area '[ha']]])</f>
        <v>161</v>
      </c>
      <c r="T16" s="22">
        <f>IF(Table1[[#This Row],[HLR '[mm']]]="N/A","",Table1[[#This Row],[HLR '[mm']]])</f>
        <v>1213.9970588235294</v>
      </c>
    </row>
    <row r="17" spans="1:20" x14ac:dyDescent="0.3">
      <c r="A17" s="22" t="str">
        <f>IF(Table1[[#This Row],[Country]]="N/A","",Table1[[#This Row],[Country]])</f>
        <v>Denmark</v>
      </c>
      <c r="B17" s="22" t="str">
        <f>IF(Table1[[#This Row],[Study site]]="N/A","",Table1[[#This Row],[Study site]])</f>
        <v>Egebjerg, DK</v>
      </c>
      <c r="C17" s="22" t="str">
        <f>IF(Table1[[#This Row],[WBZ-type]]="N/A","",Table1[[#This Row],[WBZ-type]])</f>
        <v>Rewetted Fen</v>
      </c>
      <c r="D17" s="22" t="str">
        <f>IF(Table1[[#This Row],[Nutrient]]="N/A","",Table1[[#This Row],[Nutrient]])</f>
        <v>total nitrogen</v>
      </c>
      <c r="E17" s="22">
        <f>IF(Table1[[#This Row],[Load (kg N, P/ha/yr)]]="N/A","",Table1[[#This Row],[Load (kg N, P/ha/yr)]])</f>
        <v>78.873239436619727</v>
      </c>
      <c r="F17" s="22">
        <f>IF(Table1[[#This Row],[Loss (kg N, P/ha/yr)]]="N/A","",Table1[[#This Row],[Loss (kg N, P/ha/yr)]])</f>
        <v>22.873239436619727</v>
      </c>
      <c r="G17" s="22">
        <f>IF(Table1[[#This Row],[Retention (kg N, P/ha/yr)]]="N/A","",Table1[[#This Row],[Retention (kg N, P/ha/yr)]])</f>
        <v>56</v>
      </c>
      <c r="H17" s="22">
        <f>IF(Table1[[#This Row],[Efficiency (%)]]="N/A","",Table1[[#This Row],[Efficiency (%)]])</f>
        <v>71</v>
      </c>
      <c r="I17" s="22" t="str">
        <f>IF(Table1[[#This Row],[Organic/Mineral Soil]]="N/A","",Table1[[#This Row],[Organic/Mineral Soil]])</f>
        <v>Organic</v>
      </c>
      <c r="J17" s="22" t="str">
        <f>IF(Table1[[#This Row],[Vegetation type]]="N/A","",Table1[[#This Row],[Vegetation type]])</f>
        <v>Herbaceous</v>
      </c>
      <c r="K17" s="22" t="str">
        <f>IF(Table1[[#This Row],[Reference]]="N/A","",Table1[[#This Row],[Reference]])</f>
        <v>Hoffmann C., et al, 2011</v>
      </c>
      <c r="L17" s="22" t="str">
        <f>IF(Table1[[#This Row],[Main source/flow path in]]="N/A","",Table1[[#This Row],[Main source/flow path in]])</f>
        <v>2/3 inundation, 1/3 Drain discharge from upland</v>
      </c>
      <c r="M17" s="22" t="str">
        <f>IF(Table1[[#This Row],[Main source/flow path in (simple)]]="N/A","",Table1[[#This Row],[Main source/flow path in (simple)]])</f>
        <v>SWR</v>
      </c>
      <c r="N17" s="22" t="str">
        <f>IF(Table1[[#This Row],[Main flow paths in buffer]]="N/A","",Table1[[#This Row],[Main flow paths in buffer]])</f>
        <v>inundation from river and direct surface runoff</v>
      </c>
      <c r="O17" s="22" t="str">
        <f>IF(Table1[[#This Row],[Inflow=&gt;Outflow]]="N/A","",Table1[[#This Row],[Inflow=&gt;Outflow]])</f>
        <v>SWR=&gt;SR</v>
      </c>
      <c r="P17" s="22">
        <f>IF(Table1[[#This Row],[Width '[m']]]="N/A","",Table1[[#This Row],[Width '[m']]])</f>
        <v>400</v>
      </c>
      <c r="Q17" s="22">
        <f>IF(Table1[[#This Row],[Area '[m²']]]="N/A","",Table1[[#This Row],[Area '[m²']]])</f>
        <v>340000</v>
      </c>
      <c r="R17" s="22">
        <f>IF(Table1[[#This Row],[Qin '[m³/yr']]]="N/A","",Table1[[#This Row],[Qin '[m³/yr']]])</f>
        <v>412759</v>
      </c>
      <c r="S17" s="22">
        <f>IF(Table1[[#This Row],[Catchment area '[ha']]]="N/A","",Table1[[#This Row],[Catchment area '[ha']]])</f>
        <v>161</v>
      </c>
      <c r="T17" s="22">
        <f>IF(Table1[[#This Row],[HLR '[mm']]]="N/A","",Table1[[#This Row],[HLR '[mm']]])</f>
        <v>1213.9970588235294</v>
      </c>
    </row>
    <row r="18" spans="1:20" hidden="1" x14ac:dyDescent="0.3">
      <c r="A18" s="22" t="str">
        <f>IF(Table1[[#This Row],[Country]]="N/A","",Table1[[#This Row],[Country]])</f>
        <v>Denmark</v>
      </c>
      <c r="B18" s="22" t="str">
        <f>IF(Table1[[#This Row],[Study site]]="N/A","",Table1[[#This Row],[Study site]])</f>
        <v>Egebjerg, DK</v>
      </c>
      <c r="C18" s="22" t="str">
        <f>IF(Table1[[#This Row],[WBZ-type]]="N/A","",Table1[[#This Row],[WBZ-type]])</f>
        <v>Rewetted Fen</v>
      </c>
      <c r="D18" s="22" t="str">
        <f>IF(Table1[[#This Row],[Nutrient]]="N/A","",Table1[[#This Row],[Nutrient]])</f>
        <v>SRP</v>
      </c>
      <c r="E18" s="22">
        <f>IF(Table1[[#This Row],[Load (kg N, P/ha/yr)]]="N/A","",Table1[[#This Row],[Load (kg N, P/ha/yr)]])</f>
        <v>0.83333333333333326</v>
      </c>
      <c r="F18" s="22">
        <f>IF(Table1[[#This Row],[Loss (kg N, P/ha/yr)]]="N/A","",Table1[[#This Row],[Loss (kg N, P/ha/yr)]])</f>
        <v>0.38333333333333325</v>
      </c>
      <c r="G18" s="22">
        <f>IF(Table1[[#This Row],[Retention (kg N, P/ha/yr)]]="N/A","",Table1[[#This Row],[Retention (kg N, P/ha/yr)]])</f>
        <v>0.45</v>
      </c>
      <c r="H18" s="22">
        <f>IF(Table1[[#This Row],[Efficiency (%)]]="N/A","",Table1[[#This Row],[Efficiency (%)]])</f>
        <v>54</v>
      </c>
      <c r="I18" s="22" t="str">
        <f>IF(Table1[[#This Row],[Organic/Mineral Soil]]="N/A","",Table1[[#This Row],[Organic/Mineral Soil]])</f>
        <v>Organic</v>
      </c>
      <c r="J18" s="22" t="str">
        <f>IF(Table1[[#This Row],[Vegetation type]]="N/A","",Table1[[#This Row],[Vegetation type]])</f>
        <v>Herbaceous</v>
      </c>
      <c r="K18" s="22" t="str">
        <f>IF(Table1[[#This Row],[Reference]]="N/A","",Table1[[#This Row],[Reference]])</f>
        <v>Hoffmann C., et al, 2011</v>
      </c>
      <c r="L18" s="22" t="str">
        <f>IF(Table1[[#This Row],[Main source/flow path in]]="N/A","",Table1[[#This Row],[Main source/flow path in]])</f>
        <v>2/3 inundation, 1/3 Drain discharge from upland</v>
      </c>
      <c r="M18" s="22" t="str">
        <f>IF(Table1[[#This Row],[Main source/flow path in (simple)]]="N/A","",Table1[[#This Row],[Main source/flow path in (simple)]])</f>
        <v>SWR</v>
      </c>
      <c r="N18" s="22" t="str">
        <f>IF(Table1[[#This Row],[Main flow paths in buffer]]="N/A","",Table1[[#This Row],[Main flow paths in buffer]])</f>
        <v>inundation from river and direct surface runoff</v>
      </c>
      <c r="O18" s="22" t="str">
        <f>IF(Table1[[#This Row],[Inflow=&gt;Outflow]]="N/A","",Table1[[#This Row],[Inflow=&gt;Outflow]])</f>
        <v>SWR=&gt;SR</v>
      </c>
      <c r="P18" s="22">
        <f>IF(Table1[[#This Row],[Width '[m']]]="N/A","",Table1[[#This Row],[Width '[m']]])</f>
        <v>400</v>
      </c>
      <c r="Q18" s="22">
        <f>IF(Table1[[#This Row],[Area '[m²']]]="N/A","",Table1[[#This Row],[Area '[m²']]])</f>
        <v>340000</v>
      </c>
      <c r="R18" s="22">
        <f>IF(Table1[[#This Row],[Qin '[m³/yr']]]="N/A","",Table1[[#This Row],[Qin '[m³/yr']]])</f>
        <v>412759</v>
      </c>
      <c r="S18" s="22">
        <f>IF(Table1[[#This Row],[Catchment area '[ha']]]="N/A","",Table1[[#This Row],[Catchment area '[ha']]])</f>
        <v>161</v>
      </c>
      <c r="T18" s="22">
        <f>IF(Table1[[#This Row],[HLR '[mm']]]="N/A","",Table1[[#This Row],[HLR '[mm']]])</f>
        <v>1213.9970588235294</v>
      </c>
    </row>
    <row r="19" spans="1:20" hidden="1" x14ac:dyDescent="0.3">
      <c r="A19" s="22" t="str">
        <f>IF(Table1[[#This Row],[Country]]="N/A","",Table1[[#This Row],[Country]])</f>
        <v>Denmark</v>
      </c>
      <c r="B19" s="22" t="str">
        <f>IF(Table1[[#This Row],[Study site]]="N/A","",Table1[[#This Row],[Study site]])</f>
        <v>Egebjerg, DK</v>
      </c>
      <c r="C19" s="22" t="str">
        <f>IF(Table1[[#This Row],[WBZ-type]]="N/A","",Table1[[#This Row],[WBZ-type]])</f>
        <v>Rewetted Fen</v>
      </c>
      <c r="D19" s="22" t="str">
        <f>IF(Table1[[#This Row],[Nutrient]]="N/A","",Table1[[#This Row],[Nutrient]])</f>
        <v>total phosphorus</v>
      </c>
      <c r="E19" s="22">
        <f>IF(Table1[[#This Row],[Load (kg N, P/ha/yr)]]="N/A","",Table1[[#This Row],[Load (kg N, P/ha/yr)]])</f>
        <v>2.166666666666667</v>
      </c>
      <c r="F19" s="22">
        <f>IF(Table1[[#This Row],[Loss (kg N, P/ha/yr)]]="N/A","",Table1[[#This Row],[Loss (kg N, P/ha/yr)]])</f>
        <v>2.0366666666666671</v>
      </c>
      <c r="G19" s="22">
        <f>IF(Table1[[#This Row],[Retention (kg N, P/ha/yr)]]="N/A","",Table1[[#This Row],[Retention (kg N, P/ha/yr)]])</f>
        <v>0.13</v>
      </c>
      <c r="H19" s="22">
        <f>IF(Table1[[#This Row],[Efficiency (%)]]="N/A","",Table1[[#This Row],[Efficiency (%)]])</f>
        <v>6</v>
      </c>
      <c r="I19" s="22" t="str">
        <f>IF(Table1[[#This Row],[Organic/Mineral Soil]]="N/A","",Table1[[#This Row],[Organic/Mineral Soil]])</f>
        <v>Organic</v>
      </c>
      <c r="J19" s="22" t="str">
        <f>IF(Table1[[#This Row],[Vegetation type]]="N/A","",Table1[[#This Row],[Vegetation type]])</f>
        <v>Herbaceous</v>
      </c>
      <c r="K19" s="22" t="str">
        <f>IF(Table1[[#This Row],[Reference]]="N/A","",Table1[[#This Row],[Reference]])</f>
        <v>Hoffmann C., et al, 2011; Hoffmann et al., 2009</v>
      </c>
      <c r="L19" s="22" t="str">
        <f>IF(Table1[[#This Row],[Main source/flow path in]]="N/A","",Table1[[#This Row],[Main source/flow path in]])</f>
        <v>2/3 inundation, 1/3 Drain discharge from upland</v>
      </c>
      <c r="M19" s="22" t="str">
        <f>IF(Table1[[#This Row],[Main source/flow path in (simple)]]="N/A","",Table1[[#This Row],[Main source/flow path in (simple)]])</f>
        <v>SWR</v>
      </c>
      <c r="N19" s="22" t="str">
        <f>IF(Table1[[#This Row],[Main flow paths in buffer]]="N/A","",Table1[[#This Row],[Main flow paths in buffer]])</f>
        <v>inundation from river and direct surface runoff</v>
      </c>
      <c r="O19" s="22" t="str">
        <f>IF(Table1[[#This Row],[Inflow=&gt;Outflow]]="N/A","",Table1[[#This Row],[Inflow=&gt;Outflow]])</f>
        <v>SWR=&gt;SR</v>
      </c>
      <c r="P19" s="22">
        <f>IF(Table1[[#This Row],[Width '[m']]]="N/A","",Table1[[#This Row],[Width '[m']]])</f>
        <v>400</v>
      </c>
      <c r="Q19" s="22">
        <f>IF(Table1[[#This Row],[Area '[m²']]]="N/A","",Table1[[#This Row],[Area '[m²']]])</f>
        <v>340000</v>
      </c>
      <c r="R19" s="22">
        <f>IF(Table1[[#This Row],[Qin '[m³/yr']]]="N/A","",Table1[[#This Row],[Qin '[m³/yr']]])</f>
        <v>412759</v>
      </c>
      <c r="S19" s="22">
        <f>IF(Table1[[#This Row],[Catchment area '[ha']]]="N/A","",Table1[[#This Row],[Catchment area '[ha']]])</f>
        <v>161</v>
      </c>
      <c r="T19" s="22">
        <f>IF(Table1[[#This Row],[HLR '[mm']]]="N/A","",Table1[[#This Row],[HLR '[mm']]])</f>
        <v>1213.9970588235294</v>
      </c>
    </row>
    <row r="20" spans="1:20" hidden="1" x14ac:dyDescent="0.3">
      <c r="A20" s="22" t="str">
        <f>IF(Table1[[#This Row],[Country]]="N/A","",Table1[[#This Row],[Country]])</f>
        <v>Denmark</v>
      </c>
      <c r="B20" s="22" t="str">
        <f>IF(Table1[[#This Row],[Study site]]="N/A","",Table1[[#This Row],[Study site]])</f>
        <v>Egeskov, DK</v>
      </c>
      <c r="C20" s="22" t="str">
        <f>IF(Table1[[#This Row],[WBZ-type]]="N/A","",Table1[[#This Row],[WBZ-type]])</f>
        <v>Floodplain</v>
      </c>
      <c r="D20" s="22" t="str">
        <f>IF(Table1[[#This Row],[Nutrient]]="N/A","",Table1[[#This Row],[Nutrient]])</f>
        <v>nitrate</v>
      </c>
      <c r="E20" s="22">
        <f>IF(Table1[[#This Row],[Load (kg N, P/ha/yr)]]="N/A","",Table1[[#This Row],[Load (kg N, P/ha/yr)]])</f>
        <v>138.5</v>
      </c>
      <c r="F20" s="22">
        <f>IF(Table1[[#This Row],[Loss (kg N, P/ha/yr)]]="N/A","",Table1[[#This Row],[Loss (kg N, P/ha/yr)]])</f>
        <v>75</v>
      </c>
      <c r="G20" s="22">
        <f>IF(Table1[[#This Row],[Retention (kg N, P/ha/yr)]]="N/A","",Table1[[#This Row],[Retention (kg N, P/ha/yr)]])</f>
        <v>63.5</v>
      </c>
      <c r="H20" s="22">
        <f>IF(Table1[[#This Row],[Efficiency (%)]]="N/A","",Table1[[#This Row],[Efficiency (%)]])</f>
        <v>45.848375451263543</v>
      </c>
      <c r="I20" s="22" t="str">
        <f>IF(Table1[[#This Row],[Organic/Mineral Soil]]="N/A","",Table1[[#This Row],[Organic/Mineral Soil]])</f>
        <v>Mineral</v>
      </c>
      <c r="J20" s="22" t="str">
        <f>IF(Table1[[#This Row],[Vegetation type]]="N/A","",Table1[[#This Row],[Vegetation type]])</f>
        <v>Aerenchymous</v>
      </c>
      <c r="K20" s="22" t="str">
        <f>IF(Table1[[#This Row],[Reference]]="N/A","",Table1[[#This Row],[Reference]])</f>
        <v>Hoffmann C., et al., 2012</v>
      </c>
      <c r="L20" s="22" t="str">
        <f>IF(Table1[[#This Row],[Main source/flow path in]]="N/A","",Table1[[#This Row],[Main source/flow path in]])</f>
        <v>Drain discharge from upland</v>
      </c>
      <c r="M20" s="22" t="str">
        <f>IF(Table1[[#This Row],[Main source/flow path in (simple)]]="N/A","",Table1[[#This Row],[Main source/flow path in (simple)]])</f>
        <v>SWU</v>
      </c>
      <c r="N20" s="22" t="str">
        <f>IF(Table1[[#This Row],[Main flow paths in buffer]]="N/A","",Table1[[#This Row],[Main flow paths in buffer]])</f>
        <v>Direct surface runoff</v>
      </c>
      <c r="O20" s="22" t="str">
        <f>IF(Table1[[#This Row],[Inflow=&gt;Outflow]]="N/A","",Table1[[#This Row],[Inflow=&gt;Outflow]])</f>
        <v>SWU=&gt;SR</v>
      </c>
      <c r="P20" s="22" t="str">
        <f>IF(Table1[[#This Row],[Width '[m']]]="N/A","",Table1[[#This Row],[Width '[m']]])</f>
        <v/>
      </c>
      <c r="Q20" s="22">
        <f>IF(Table1[[#This Row],[Area '[m²']]]="N/A","",Table1[[#This Row],[Area '[m²']]])</f>
        <v>6200</v>
      </c>
      <c r="R20" s="22">
        <f>IF(Table1[[#This Row],[Qin '[m³/yr']]]="N/A","",Table1[[#This Row],[Qin '[m³/yr']]])</f>
        <v>17614.2</v>
      </c>
      <c r="S20" s="22">
        <f>IF(Table1[[#This Row],[Catchment area '[ha']]]="N/A","",Table1[[#This Row],[Catchment area '[ha']]])</f>
        <v>4.5</v>
      </c>
      <c r="T20" s="22">
        <f>IF(Table1[[#This Row],[HLR '[mm']]]="N/A","",Table1[[#This Row],[HLR '[mm']]])</f>
        <v>2841</v>
      </c>
    </row>
    <row r="21" spans="1:20" x14ac:dyDescent="0.3">
      <c r="A21" s="22" t="str">
        <f>IF(Table1[[#This Row],[Country]]="N/A","",Table1[[#This Row],[Country]])</f>
        <v>Denmark</v>
      </c>
      <c r="B21" s="22" t="str">
        <f>IF(Table1[[#This Row],[Study site]]="N/A","",Table1[[#This Row],[Study site]])</f>
        <v>Egeskov, DK</v>
      </c>
      <c r="C21" s="22" t="str">
        <f>IF(Table1[[#This Row],[WBZ-type]]="N/A","",Table1[[#This Row],[WBZ-type]])</f>
        <v>Floodplain</v>
      </c>
      <c r="D21" s="22" t="str">
        <f>IF(Table1[[#This Row],[Nutrient]]="N/A","",Table1[[#This Row],[Nutrient]])</f>
        <v>total nitrogen</v>
      </c>
      <c r="E21" s="22">
        <f>IF(Table1[[#This Row],[Load (kg N, P/ha/yr)]]="N/A","",Table1[[#This Row],[Load (kg N, P/ha/yr)]])</f>
        <v>159.5</v>
      </c>
      <c r="F21" s="22">
        <f>IF(Table1[[#This Row],[Loss (kg N, P/ha/yr)]]="N/A","",Table1[[#This Row],[Loss (kg N, P/ha/yr)]])</f>
        <v>159.5</v>
      </c>
      <c r="G21" s="22">
        <f>IF(Table1[[#This Row],[Retention (kg N, P/ha/yr)]]="N/A","",Table1[[#This Row],[Retention (kg N, P/ha/yr)]])</f>
        <v>74.5</v>
      </c>
      <c r="H21" s="22">
        <f>IF(Table1[[#This Row],[Efficiency (%)]]="N/A","",Table1[[#This Row],[Efficiency (%)]])</f>
        <v>46.708463949843257</v>
      </c>
      <c r="I21" s="22" t="str">
        <f>IF(Table1[[#This Row],[Organic/Mineral Soil]]="N/A","",Table1[[#This Row],[Organic/Mineral Soil]])</f>
        <v>Mineral</v>
      </c>
      <c r="J21" s="22" t="str">
        <f>IF(Table1[[#This Row],[Vegetation type]]="N/A","",Table1[[#This Row],[Vegetation type]])</f>
        <v>Aerenchymous</v>
      </c>
      <c r="K21" s="22" t="str">
        <f>IF(Table1[[#This Row],[Reference]]="N/A","",Table1[[#This Row],[Reference]])</f>
        <v>Hoffmann C., et al., 2012</v>
      </c>
      <c r="L21" s="22" t="str">
        <f>IF(Table1[[#This Row],[Main source/flow path in]]="N/A","",Table1[[#This Row],[Main source/flow path in]])</f>
        <v>Drain discharge from upland</v>
      </c>
      <c r="M21" s="22" t="str">
        <f>IF(Table1[[#This Row],[Main source/flow path in (simple)]]="N/A","",Table1[[#This Row],[Main source/flow path in (simple)]])</f>
        <v>SWU</v>
      </c>
      <c r="N21" s="22" t="str">
        <f>IF(Table1[[#This Row],[Main flow paths in buffer]]="N/A","",Table1[[#This Row],[Main flow paths in buffer]])</f>
        <v>Direct surface runoff</v>
      </c>
      <c r="O21" s="22" t="str">
        <f>IF(Table1[[#This Row],[Inflow=&gt;Outflow]]="N/A","",Table1[[#This Row],[Inflow=&gt;Outflow]])</f>
        <v>SWU=&gt;SR</v>
      </c>
      <c r="P21" s="22" t="str">
        <f>IF(Table1[[#This Row],[Width '[m']]]="N/A","",Table1[[#This Row],[Width '[m']]])</f>
        <v/>
      </c>
      <c r="Q21" s="22">
        <f>IF(Table1[[#This Row],[Area '[m²']]]="N/A","",Table1[[#This Row],[Area '[m²']]])</f>
        <v>6200</v>
      </c>
      <c r="R21" s="22">
        <f>IF(Table1[[#This Row],[Qin '[m³/yr']]]="N/A","",Table1[[#This Row],[Qin '[m³/yr']]])</f>
        <v>17614.2</v>
      </c>
      <c r="S21" s="22">
        <f>IF(Table1[[#This Row],[Catchment area '[ha']]]="N/A","",Table1[[#This Row],[Catchment area '[ha']]])</f>
        <v>4.5</v>
      </c>
      <c r="T21" s="22">
        <f>IF(Table1[[#This Row],[HLR '[mm']]]="N/A","",Table1[[#This Row],[HLR '[mm']]])</f>
        <v>2841</v>
      </c>
    </row>
    <row r="22" spans="1:20" hidden="1" x14ac:dyDescent="0.3">
      <c r="A22" s="22" t="str">
        <f>IF(Table1[[#This Row],[Country]]="N/A","",Table1[[#This Row],[Country]])</f>
        <v>Denmark</v>
      </c>
      <c r="B22" s="22" t="str">
        <f>IF(Table1[[#This Row],[Study site]]="N/A","",Table1[[#This Row],[Study site]])</f>
        <v>Egeskov, DK</v>
      </c>
      <c r="C22" s="22" t="str">
        <f>IF(Table1[[#This Row],[WBZ-type]]="N/A","",Table1[[#This Row],[WBZ-type]])</f>
        <v>Floodplain</v>
      </c>
      <c r="D22" s="22" t="str">
        <f>IF(Table1[[#This Row],[Nutrient]]="N/A","",Table1[[#This Row],[Nutrient]])</f>
        <v>SRP</v>
      </c>
      <c r="E22" s="22">
        <f>IF(Table1[[#This Row],[Load (kg N, P/ha/yr)]]="N/A","",Table1[[#This Row],[Load (kg N, P/ha/yr)]])</f>
        <v>0.33499999999999996</v>
      </c>
      <c r="F22" s="22">
        <f>IF(Table1[[#This Row],[Loss (kg N, P/ha/yr)]]="N/A","",Table1[[#This Row],[Loss (kg N, P/ha/yr)]])</f>
        <v>0.39</v>
      </c>
      <c r="G22" s="22">
        <f>IF(Table1[[#This Row],[Retention (kg N, P/ha/yr)]]="N/A","",Table1[[#This Row],[Retention (kg N, P/ha/yr)]])</f>
        <v>-5.5E-2</v>
      </c>
      <c r="H22" s="22">
        <f>IF(Table1[[#This Row],[Efficiency (%)]]="N/A","",Table1[[#This Row],[Efficiency (%)]])</f>
        <v>-16.417910447761198</v>
      </c>
      <c r="I22" s="22" t="str">
        <f>IF(Table1[[#This Row],[Organic/Mineral Soil]]="N/A","",Table1[[#This Row],[Organic/Mineral Soil]])</f>
        <v>Mineral</v>
      </c>
      <c r="J22" s="22" t="str">
        <f>IF(Table1[[#This Row],[Vegetation type]]="N/A","",Table1[[#This Row],[Vegetation type]])</f>
        <v>Aerenchymous</v>
      </c>
      <c r="K22" s="22" t="str">
        <f>IF(Table1[[#This Row],[Reference]]="N/A","",Table1[[#This Row],[Reference]])</f>
        <v>Hoffmann C., et al., 2012</v>
      </c>
      <c r="L22" s="22" t="str">
        <f>IF(Table1[[#This Row],[Main source/flow path in]]="N/A","",Table1[[#This Row],[Main source/flow path in]])</f>
        <v>Drain discharge from upland</v>
      </c>
      <c r="M22" s="22" t="str">
        <f>IF(Table1[[#This Row],[Main source/flow path in (simple)]]="N/A","",Table1[[#This Row],[Main source/flow path in (simple)]])</f>
        <v>SWU</v>
      </c>
      <c r="N22" s="22" t="str">
        <f>IF(Table1[[#This Row],[Main flow paths in buffer]]="N/A","",Table1[[#This Row],[Main flow paths in buffer]])</f>
        <v>Direct surface runoff</v>
      </c>
      <c r="O22" s="22" t="str">
        <f>IF(Table1[[#This Row],[Inflow=&gt;Outflow]]="N/A","",Table1[[#This Row],[Inflow=&gt;Outflow]])</f>
        <v>SWU=&gt;SR</v>
      </c>
      <c r="P22" s="22" t="str">
        <f>IF(Table1[[#This Row],[Width '[m']]]="N/A","",Table1[[#This Row],[Width '[m']]])</f>
        <v/>
      </c>
      <c r="Q22" s="22">
        <f>IF(Table1[[#This Row],[Area '[m²']]]="N/A","",Table1[[#This Row],[Area '[m²']]])</f>
        <v>6200</v>
      </c>
      <c r="R22" s="22">
        <f>IF(Table1[[#This Row],[Qin '[m³/yr']]]="N/A","",Table1[[#This Row],[Qin '[m³/yr']]])</f>
        <v>17614.2</v>
      </c>
      <c r="S22" s="22">
        <f>IF(Table1[[#This Row],[Catchment area '[ha']]]="N/A","",Table1[[#This Row],[Catchment area '[ha']]])</f>
        <v>4.5</v>
      </c>
      <c r="T22" s="22">
        <f>IF(Table1[[#This Row],[HLR '[mm']]]="N/A","",Table1[[#This Row],[HLR '[mm']]])</f>
        <v>2841</v>
      </c>
    </row>
    <row r="23" spans="1:20" hidden="1" x14ac:dyDescent="0.3">
      <c r="A23" s="22" t="str">
        <f>IF(Table1[[#This Row],[Country]]="N/A","",Table1[[#This Row],[Country]])</f>
        <v>Denmark</v>
      </c>
      <c r="B23" s="22" t="str">
        <f>IF(Table1[[#This Row],[Study site]]="N/A","",Table1[[#This Row],[Study site]])</f>
        <v>Egeskov, DK</v>
      </c>
      <c r="C23" s="22" t="str">
        <f>IF(Table1[[#This Row],[WBZ-type]]="N/A","",Table1[[#This Row],[WBZ-type]])</f>
        <v>Floodplain</v>
      </c>
      <c r="D23" s="22" t="str">
        <f>IF(Table1[[#This Row],[Nutrient]]="N/A","",Table1[[#This Row],[Nutrient]])</f>
        <v>total phosphorus</v>
      </c>
      <c r="E23" s="22">
        <f>IF(Table1[[#This Row],[Load (kg N, P/ha/yr)]]="N/A","",Table1[[#This Row],[Load (kg N, P/ha/yr)]])</f>
        <v>0.93500000000000005</v>
      </c>
      <c r="F23" s="22">
        <f>IF(Table1[[#This Row],[Loss (kg N, P/ha/yr)]]="N/A","",Table1[[#This Row],[Loss (kg N, P/ha/yr)]])</f>
        <v>0.97</v>
      </c>
      <c r="G23" s="22">
        <f>IF(Table1[[#This Row],[Retention (kg N, P/ha/yr)]]="N/A","",Table1[[#This Row],[Retention (kg N, P/ha/yr)]])</f>
        <v>-3.4999999999999996E-2</v>
      </c>
      <c r="H23" s="22">
        <f>IF(Table1[[#This Row],[Efficiency (%)]]="N/A","",Table1[[#This Row],[Efficiency (%)]])</f>
        <v>-3.7433155080213902</v>
      </c>
      <c r="I23" s="22" t="str">
        <f>IF(Table1[[#This Row],[Organic/Mineral Soil]]="N/A","",Table1[[#This Row],[Organic/Mineral Soil]])</f>
        <v>Mineral</v>
      </c>
      <c r="J23" s="22" t="str">
        <f>IF(Table1[[#This Row],[Vegetation type]]="N/A","",Table1[[#This Row],[Vegetation type]])</f>
        <v>Aerenchymous</v>
      </c>
      <c r="K23" s="22" t="str">
        <f>IF(Table1[[#This Row],[Reference]]="N/A","",Table1[[#This Row],[Reference]])</f>
        <v>Hoffmann C., et al., 2012</v>
      </c>
      <c r="L23" s="22" t="str">
        <f>IF(Table1[[#This Row],[Main source/flow path in]]="N/A","",Table1[[#This Row],[Main source/flow path in]])</f>
        <v>Drain discharge from upland</v>
      </c>
      <c r="M23" s="22" t="str">
        <f>IF(Table1[[#This Row],[Main source/flow path in (simple)]]="N/A","",Table1[[#This Row],[Main source/flow path in (simple)]])</f>
        <v>SWU</v>
      </c>
      <c r="N23" s="22" t="str">
        <f>IF(Table1[[#This Row],[Main flow paths in buffer]]="N/A","",Table1[[#This Row],[Main flow paths in buffer]])</f>
        <v>Direct surface runoff</v>
      </c>
      <c r="O23" s="22" t="str">
        <f>IF(Table1[[#This Row],[Inflow=&gt;Outflow]]="N/A","",Table1[[#This Row],[Inflow=&gt;Outflow]])</f>
        <v>SWU=&gt;SR</v>
      </c>
      <c r="P23" s="22" t="str">
        <f>IF(Table1[[#This Row],[Width '[m']]]="N/A","",Table1[[#This Row],[Width '[m']]])</f>
        <v/>
      </c>
      <c r="Q23" s="22">
        <f>IF(Table1[[#This Row],[Area '[m²']]]="N/A","",Table1[[#This Row],[Area '[m²']]])</f>
        <v>6200</v>
      </c>
      <c r="R23" s="22">
        <f>IF(Table1[[#This Row],[Qin '[m³/yr']]]="N/A","",Table1[[#This Row],[Qin '[m³/yr']]])</f>
        <v>17614.2</v>
      </c>
      <c r="S23" s="22">
        <f>IF(Table1[[#This Row],[Catchment area '[ha']]]="N/A","",Table1[[#This Row],[Catchment area '[ha']]])</f>
        <v>4.5</v>
      </c>
      <c r="T23" s="22">
        <f>IF(Table1[[#This Row],[HLR '[mm']]]="N/A","",Table1[[#This Row],[HLR '[mm']]])</f>
        <v>2841</v>
      </c>
    </row>
    <row r="24" spans="1:20" x14ac:dyDescent="0.3">
      <c r="A24" s="22" t="str">
        <f>IF(Table1[[#This Row],[Country]]="N/A","",Table1[[#This Row],[Country]])</f>
        <v>Denmark</v>
      </c>
      <c r="B24" s="22" t="str">
        <f>IF(Table1[[#This Row],[Study site]]="N/A","",Table1[[#This Row],[Study site]])</f>
        <v>Fensholt T31, DK</v>
      </c>
      <c r="C24" s="22" t="str">
        <f>IF(Table1[[#This Row],[WBZ-type]]="N/A","",Table1[[#This Row],[WBZ-type]])</f>
        <v>Rewetted Fen</v>
      </c>
      <c r="D24" s="22" t="str">
        <f>IF(Table1[[#This Row],[Nutrient]]="N/A","",Table1[[#This Row],[Nutrient]])</f>
        <v>total nitrogen</v>
      </c>
      <c r="E24" s="22">
        <f>IF(Table1[[#This Row],[Load (kg N, P/ha/yr)]]="N/A","",Table1[[#This Row],[Load (kg N, P/ha/yr)]])</f>
        <v>80.685862835029837</v>
      </c>
      <c r="F24" s="22">
        <f>IF(Table1[[#This Row],[Loss (kg N, P/ha/yr)]]="N/A","",Table1[[#This Row],[Loss (kg N, P/ha/yr)]])</f>
        <v>49.1</v>
      </c>
      <c r="G24" s="22">
        <f>IF(Table1[[#This Row],[Retention (kg N, P/ha/yr)]]="N/A","",Table1[[#This Row],[Retention (kg N, P/ha/yr)]])</f>
        <v>31.585862835029836</v>
      </c>
      <c r="H24" s="22">
        <f>IF(Table1[[#This Row],[Efficiency (%)]]="N/A","",Table1[[#This Row],[Efficiency (%)]])</f>
        <v>39</v>
      </c>
      <c r="I24" s="22" t="str">
        <f>IF(Table1[[#This Row],[Organic/Mineral Soil]]="N/A","",Table1[[#This Row],[Organic/Mineral Soil]])</f>
        <v>Organic</v>
      </c>
      <c r="J24" s="22" t="str">
        <f>IF(Table1[[#This Row],[Vegetation type]]="N/A","",Table1[[#This Row],[Vegetation type]])</f>
        <v>Herbaceous</v>
      </c>
      <c r="K24" s="22" t="str">
        <f>IF(Table1[[#This Row],[Reference]]="N/A","",Table1[[#This Row],[Reference]])</f>
        <v>Petersen et al., 2020a; Petersen et al., 2020b</v>
      </c>
      <c r="L24" s="22" t="str">
        <f>IF(Table1[[#This Row],[Main source/flow path in]]="N/A","",Table1[[#This Row],[Main source/flow path in]])</f>
        <v>Precipitation</v>
      </c>
      <c r="M24" s="22" t="str">
        <f>IF(Table1[[#This Row],[Main source/flow path in (simple)]]="N/A","",Table1[[#This Row],[Main source/flow path in (simple)]])</f>
        <v>P</v>
      </c>
      <c r="N24" s="22" t="str">
        <f>IF(Table1[[#This Row],[Main flow paths in buffer]]="N/A","",Table1[[#This Row],[Main flow paths in buffer]])</f>
        <v>Infiltration/exfiltration and direct surface runoff</v>
      </c>
      <c r="O24" s="22" t="str">
        <f>IF(Table1[[#This Row],[Inflow=&gt;Outflow]]="N/A","",Table1[[#This Row],[Inflow=&gt;Outflow]])</f>
        <v>SWU=&gt;SR</v>
      </c>
      <c r="P24" s="22">
        <f>IF(Table1[[#This Row],[Width '[m']]]="N/A","",Table1[[#This Row],[Width '[m']]])</f>
        <v>115</v>
      </c>
      <c r="Q24" s="22">
        <f>IF(Table1[[#This Row],[Area '[m²']]]="N/A","",Table1[[#This Row],[Area '[m²']]])</f>
        <v>11510</v>
      </c>
      <c r="R24" s="22">
        <f>IF(Table1[[#This Row],[Qin '[m³/yr']]]="N/A","",Table1[[#This Row],[Qin '[m³/yr']]])</f>
        <v>1571.115</v>
      </c>
      <c r="S24" s="22">
        <f>IF(Table1[[#This Row],[Catchment area '[ha']]]="N/A","",Table1[[#This Row],[Catchment area '[ha']]])</f>
        <v>3.9</v>
      </c>
      <c r="T24" s="22">
        <f>IF(Table1[[#This Row],[HLR '[mm']]]="N/A","",Table1[[#This Row],[HLR '[mm']]])</f>
        <v>1365</v>
      </c>
    </row>
    <row r="25" spans="1:20" hidden="1" x14ac:dyDescent="0.3">
      <c r="A25" s="22" t="str">
        <f>IF(Table1[[#This Row],[Country]]="N/A","",Table1[[#This Row],[Country]])</f>
        <v>Denmark</v>
      </c>
      <c r="B25" s="22" t="str">
        <f>IF(Table1[[#This Row],[Study site]]="N/A","",Table1[[#This Row],[Study site]])</f>
        <v>Fensholt T31, DK</v>
      </c>
      <c r="C25" s="22" t="str">
        <f>IF(Table1[[#This Row],[WBZ-type]]="N/A","",Table1[[#This Row],[WBZ-type]])</f>
        <v>Rewetted Fen</v>
      </c>
      <c r="D25" s="22" t="str">
        <f>IF(Table1[[#This Row],[Nutrient]]="N/A","",Table1[[#This Row],[Nutrient]])</f>
        <v>nitrate</v>
      </c>
      <c r="E25" s="22">
        <f>IF(Table1[[#This Row],[Load (kg N, P/ha/yr)]]="N/A","",Table1[[#This Row],[Load (kg N, P/ha/yr)]])</f>
        <v>68.400000000000006</v>
      </c>
      <c r="F25" s="22">
        <f>IF(Table1[[#This Row],[Loss (kg N, P/ha/yr)]]="N/A","",Table1[[#This Row],[Loss (kg N, P/ha/yr)]])</f>
        <v>20.100000000000001</v>
      </c>
      <c r="G25" s="22">
        <f>IF(Table1[[#This Row],[Retention (kg N, P/ha/yr)]]="N/A","",Table1[[#This Row],[Retention (kg N, P/ha/yr)]])</f>
        <v>48.300000000000004</v>
      </c>
      <c r="H25" s="22">
        <f>IF(Table1[[#This Row],[Efficiency (%)]]="N/A","",Table1[[#This Row],[Efficiency (%)]])</f>
        <v>71</v>
      </c>
      <c r="I25" s="22" t="str">
        <f>IF(Table1[[#This Row],[Organic/Mineral Soil]]="N/A","",Table1[[#This Row],[Organic/Mineral Soil]])</f>
        <v>Organic</v>
      </c>
      <c r="J25" s="22" t="str">
        <f>IF(Table1[[#This Row],[Vegetation type]]="N/A","",Table1[[#This Row],[Vegetation type]])</f>
        <v>Herbaceous</v>
      </c>
      <c r="K25" s="22" t="str">
        <f>IF(Table1[[#This Row],[Reference]]="N/A","",Table1[[#This Row],[Reference]])</f>
        <v>Petersen et al., 2020a; Petersen et al., 2020b</v>
      </c>
      <c r="L25" s="22" t="str">
        <f>IF(Table1[[#This Row],[Main source/flow path in]]="N/A","",Table1[[#This Row],[Main source/flow path in]])</f>
        <v>Precipitation</v>
      </c>
      <c r="M25" s="22" t="str">
        <f>IF(Table1[[#This Row],[Main source/flow path in (simple)]]="N/A","",Table1[[#This Row],[Main source/flow path in (simple)]])</f>
        <v>P</v>
      </c>
      <c r="N25" s="22" t="str">
        <f>IF(Table1[[#This Row],[Main flow paths in buffer]]="N/A","",Table1[[#This Row],[Main flow paths in buffer]])</f>
        <v>Infiltration/exfiltration and direct surface runoff</v>
      </c>
      <c r="O25" s="22" t="str">
        <f>IF(Table1[[#This Row],[Inflow=&gt;Outflow]]="N/A","",Table1[[#This Row],[Inflow=&gt;Outflow]])</f>
        <v>SWU=&gt;SR</v>
      </c>
      <c r="P25" s="22">
        <f>IF(Table1[[#This Row],[Width '[m']]]="N/A","",Table1[[#This Row],[Width '[m']]])</f>
        <v>115</v>
      </c>
      <c r="Q25" s="22">
        <f>IF(Table1[[#This Row],[Area '[m²']]]="N/A","",Table1[[#This Row],[Area '[m²']]])</f>
        <v>11510</v>
      </c>
      <c r="R25" s="22">
        <f>IF(Table1[[#This Row],[Qin '[m³/yr']]]="N/A","",Table1[[#This Row],[Qin '[m³/yr']]])</f>
        <v>1571.115</v>
      </c>
      <c r="S25" s="22">
        <f>IF(Table1[[#This Row],[Catchment area '[ha']]]="N/A","",Table1[[#This Row],[Catchment area '[ha']]])</f>
        <v>3.9</v>
      </c>
      <c r="T25" s="22">
        <f>IF(Table1[[#This Row],[HLR '[mm']]]="N/A","",Table1[[#This Row],[HLR '[mm']]])</f>
        <v>1365</v>
      </c>
    </row>
    <row r="26" spans="1:20" hidden="1" x14ac:dyDescent="0.3">
      <c r="A26" s="22" t="str">
        <f>IF(Table1[[#This Row],[Country]]="N/A","",Table1[[#This Row],[Country]])</f>
        <v>Denmark</v>
      </c>
      <c r="B26" s="22" t="str">
        <f>IF(Table1[[#This Row],[Study site]]="N/A","",Table1[[#This Row],[Study site]])</f>
        <v>Fensholt T31, DK</v>
      </c>
      <c r="C26" s="22" t="str">
        <f>IF(Table1[[#This Row],[WBZ-type]]="N/A","",Table1[[#This Row],[WBZ-type]])</f>
        <v>Rewetted Fen</v>
      </c>
      <c r="D26" s="22" t="str">
        <f>IF(Table1[[#This Row],[Nutrient]]="N/A","",Table1[[#This Row],[Nutrient]])</f>
        <v>ammonium</v>
      </c>
      <c r="E26" s="22">
        <f>IF(Table1[[#This Row],[Load (kg N, P/ha/yr)]]="N/A","",Table1[[#This Row],[Load (kg N, P/ha/yr)]])</f>
        <v>9.07</v>
      </c>
      <c r="F26" s="22">
        <f>IF(Table1[[#This Row],[Loss (kg N, P/ha/yr)]]="N/A","",Table1[[#This Row],[Loss (kg N, P/ha/yr)]])</f>
        <v>4</v>
      </c>
      <c r="G26" s="22">
        <f>IF(Table1[[#This Row],[Retention (kg N, P/ha/yr)]]="N/A","",Table1[[#This Row],[Retention (kg N, P/ha/yr)]])</f>
        <v>5.07</v>
      </c>
      <c r="H26" s="22">
        <f>IF(Table1[[#This Row],[Efficiency (%)]]="N/A","",Table1[[#This Row],[Efficiency (%)]])</f>
        <v>56</v>
      </c>
      <c r="I26" s="22" t="str">
        <f>IF(Table1[[#This Row],[Organic/Mineral Soil]]="N/A","",Table1[[#This Row],[Organic/Mineral Soil]])</f>
        <v>Organic</v>
      </c>
      <c r="J26" s="22" t="str">
        <f>IF(Table1[[#This Row],[Vegetation type]]="N/A","",Table1[[#This Row],[Vegetation type]])</f>
        <v>Herbaceous</v>
      </c>
      <c r="K26" s="22" t="str">
        <f>IF(Table1[[#This Row],[Reference]]="N/A","",Table1[[#This Row],[Reference]])</f>
        <v>Petersen et al., 2020a; Petersen et al., 2020b</v>
      </c>
      <c r="L26" s="22" t="str">
        <f>IF(Table1[[#This Row],[Main source/flow path in]]="N/A","",Table1[[#This Row],[Main source/flow path in]])</f>
        <v>Precipitation</v>
      </c>
      <c r="M26" s="22" t="str">
        <f>IF(Table1[[#This Row],[Main source/flow path in (simple)]]="N/A","",Table1[[#This Row],[Main source/flow path in (simple)]])</f>
        <v>P</v>
      </c>
      <c r="N26" s="22" t="str">
        <f>IF(Table1[[#This Row],[Main flow paths in buffer]]="N/A","",Table1[[#This Row],[Main flow paths in buffer]])</f>
        <v>Infiltration/exfiltration and direct surface runoff</v>
      </c>
      <c r="O26" s="22" t="str">
        <f>IF(Table1[[#This Row],[Inflow=&gt;Outflow]]="N/A","",Table1[[#This Row],[Inflow=&gt;Outflow]])</f>
        <v>SWU=&gt;SR</v>
      </c>
      <c r="P26" s="22">
        <f>IF(Table1[[#This Row],[Width '[m']]]="N/A","",Table1[[#This Row],[Width '[m']]])</f>
        <v>115</v>
      </c>
      <c r="Q26" s="22">
        <f>IF(Table1[[#This Row],[Area '[m²']]]="N/A","",Table1[[#This Row],[Area '[m²']]])</f>
        <v>11510</v>
      </c>
      <c r="R26" s="22">
        <f>IF(Table1[[#This Row],[Qin '[m³/yr']]]="N/A","",Table1[[#This Row],[Qin '[m³/yr']]])</f>
        <v>1571.115</v>
      </c>
      <c r="S26" s="22">
        <f>IF(Table1[[#This Row],[Catchment area '[ha']]]="N/A","",Table1[[#This Row],[Catchment area '[ha']]])</f>
        <v>3.9</v>
      </c>
      <c r="T26" s="22">
        <f>IF(Table1[[#This Row],[HLR '[mm']]]="N/A","",Table1[[#This Row],[HLR '[mm']]])</f>
        <v>1365</v>
      </c>
    </row>
    <row r="27" spans="1:20" hidden="1" x14ac:dyDescent="0.3">
      <c r="A27" s="22" t="str">
        <f>IF(Table1[[#This Row],[Country]]="N/A","",Table1[[#This Row],[Country]])</f>
        <v>Denmark</v>
      </c>
      <c r="B27" s="22" t="str">
        <f>IF(Table1[[#This Row],[Study site]]="N/A","",Table1[[#This Row],[Study site]])</f>
        <v>Fensholt T31, DK</v>
      </c>
      <c r="C27" s="22" t="str">
        <f>IF(Table1[[#This Row],[WBZ-type]]="N/A","",Table1[[#This Row],[WBZ-type]])</f>
        <v>Rewetted Fen</v>
      </c>
      <c r="D27" s="22" t="str">
        <f>IF(Table1[[#This Row],[Nutrient]]="N/A","",Table1[[#This Row],[Nutrient]])</f>
        <v>dissolved organic nitrogen</v>
      </c>
      <c r="E27" s="22">
        <f>IF(Table1[[#This Row],[Load (kg N, P/ha/yr)]]="N/A","",Table1[[#This Row],[Load (kg N, P/ha/yr)]])</f>
        <v>3.24</v>
      </c>
      <c r="F27" s="22">
        <f>IF(Table1[[#This Row],[Loss (kg N, P/ha/yr)]]="N/A","",Table1[[#This Row],[Loss (kg N, P/ha/yr)]])</f>
        <v>25</v>
      </c>
      <c r="G27" s="22">
        <f>IF(Table1[[#This Row],[Retention (kg N, P/ha/yr)]]="N/A","",Table1[[#This Row],[Retention (kg N, P/ha/yr)]])</f>
        <v>-21.759999999999998</v>
      </c>
      <c r="H27" s="22">
        <f>IF(Table1[[#This Row],[Efficiency (%)]]="N/A","",Table1[[#This Row],[Efficiency (%)]])</f>
        <v>-674</v>
      </c>
      <c r="I27" s="22" t="str">
        <f>IF(Table1[[#This Row],[Organic/Mineral Soil]]="N/A","",Table1[[#This Row],[Organic/Mineral Soil]])</f>
        <v>Organic</v>
      </c>
      <c r="J27" s="22" t="str">
        <f>IF(Table1[[#This Row],[Vegetation type]]="N/A","",Table1[[#This Row],[Vegetation type]])</f>
        <v>Herbaceous</v>
      </c>
      <c r="K27" s="22" t="str">
        <f>IF(Table1[[#This Row],[Reference]]="N/A","",Table1[[#This Row],[Reference]])</f>
        <v>Petersen et al., 2020a; Petersen et al., 2020b</v>
      </c>
      <c r="L27" s="22" t="str">
        <f>IF(Table1[[#This Row],[Main source/flow path in]]="N/A","",Table1[[#This Row],[Main source/flow path in]])</f>
        <v>Precipitation</v>
      </c>
      <c r="M27" s="22" t="str">
        <f>IF(Table1[[#This Row],[Main source/flow path in (simple)]]="N/A","",Table1[[#This Row],[Main source/flow path in (simple)]])</f>
        <v>P</v>
      </c>
      <c r="N27" s="22" t="str">
        <f>IF(Table1[[#This Row],[Main flow paths in buffer]]="N/A","",Table1[[#This Row],[Main flow paths in buffer]])</f>
        <v>Infiltration/exfiltration and direct surface runoff</v>
      </c>
      <c r="O27" s="22" t="str">
        <f>IF(Table1[[#This Row],[Inflow=&gt;Outflow]]="N/A","",Table1[[#This Row],[Inflow=&gt;Outflow]])</f>
        <v>SWU=&gt;SR</v>
      </c>
      <c r="P27" s="22">
        <f>IF(Table1[[#This Row],[Width '[m']]]="N/A","",Table1[[#This Row],[Width '[m']]])</f>
        <v>115</v>
      </c>
      <c r="Q27" s="22">
        <f>IF(Table1[[#This Row],[Area '[m²']]]="N/A","",Table1[[#This Row],[Area '[m²']]])</f>
        <v>11510</v>
      </c>
      <c r="R27" s="22">
        <f>IF(Table1[[#This Row],[Qin '[m³/yr']]]="N/A","",Table1[[#This Row],[Qin '[m³/yr']]])</f>
        <v>1571.115</v>
      </c>
      <c r="S27" s="22">
        <f>IF(Table1[[#This Row],[Catchment area '[ha']]]="N/A","",Table1[[#This Row],[Catchment area '[ha']]])</f>
        <v>3.9</v>
      </c>
      <c r="T27" s="22">
        <f>IF(Table1[[#This Row],[HLR '[mm']]]="N/A","",Table1[[#This Row],[HLR '[mm']]])</f>
        <v>1365</v>
      </c>
    </row>
    <row r="28" spans="1:20" x14ac:dyDescent="0.3">
      <c r="A28" s="22" t="str">
        <f>IF(Table1[[#This Row],[Country]]="N/A","",Table1[[#This Row],[Country]])</f>
        <v>Denmark</v>
      </c>
      <c r="B28" s="22" t="str">
        <f>IF(Table1[[#This Row],[Study site]]="N/A","",Table1[[#This Row],[Study site]])</f>
        <v>Fensholt T32, DK</v>
      </c>
      <c r="C28" s="22" t="str">
        <f>IF(Table1[[#This Row],[WBZ-type]]="N/A","",Table1[[#This Row],[WBZ-type]])</f>
        <v>Rewetted Fen</v>
      </c>
      <c r="D28" s="22" t="str">
        <f>IF(Table1[[#This Row],[Nutrient]]="N/A","",Table1[[#This Row],[Nutrient]])</f>
        <v>total nitrogen</v>
      </c>
      <c r="E28" s="22">
        <f>IF(Table1[[#This Row],[Load (kg N, P/ha/yr)]]="N/A","",Table1[[#This Row],[Load (kg N, P/ha/yr)]])</f>
        <v>1170</v>
      </c>
      <c r="F28" s="22">
        <f>IF(Table1[[#This Row],[Loss (kg N, P/ha/yr)]]="N/A","",Table1[[#This Row],[Loss (kg N, P/ha/yr)]])</f>
        <v>1157</v>
      </c>
      <c r="G28" s="22">
        <f>IF(Table1[[#This Row],[Retention (kg N, P/ha/yr)]]="N/A","",Table1[[#This Row],[Retention (kg N, P/ha/yr)]])</f>
        <v>13</v>
      </c>
      <c r="H28" s="22">
        <f>IF(Table1[[#This Row],[Efficiency (%)]]="N/A","",Table1[[#This Row],[Efficiency (%)]])</f>
        <v>1</v>
      </c>
      <c r="I28" s="22" t="str">
        <f>IF(Table1[[#This Row],[Organic/Mineral Soil]]="N/A","",Table1[[#This Row],[Organic/Mineral Soil]])</f>
        <v>Organic</v>
      </c>
      <c r="J28" s="22" t="str">
        <f>IF(Table1[[#This Row],[Vegetation type]]="N/A","",Table1[[#This Row],[Vegetation type]])</f>
        <v>Herbaceous</v>
      </c>
      <c r="K28" s="22" t="str">
        <f>IF(Table1[[#This Row],[Reference]]="N/A","",Table1[[#This Row],[Reference]])</f>
        <v>Petersen et al., 2020a; Petersen et al., 2020b</v>
      </c>
      <c r="L28" s="22" t="str">
        <f>IF(Table1[[#This Row],[Main source/flow path in]]="N/A","",Table1[[#This Row],[Main source/flow path in]])</f>
        <v>Drain discharge from upland</v>
      </c>
      <c r="M28" s="22" t="str">
        <f>IF(Table1[[#This Row],[Main source/flow path in (simple)]]="N/A","",Table1[[#This Row],[Main source/flow path in (simple)]])</f>
        <v>SWU</v>
      </c>
      <c r="N28" s="22" t="str">
        <f>IF(Table1[[#This Row],[Main flow paths in buffer]]="N/A","",Table1[[#This Row],[Main flow paths in buffer]])</f>
        <v>Direct surface runoff</v>
      </c>
      <c r="O28" s="22" t="str">
        <f>IF(Table1[[#This Row],[Inflow=&gt;Outflow]]="N/A","",Table1[[#This Row],[Inflow=&gt;Outflow]])</f>
        <v>SWU=&gt;SR</v>
      </c>
      <c r="P28" s="22">
        <f>IF(Table1[[#This Row],[Width '[m']]]="N/A","",Table1[[#This Row],[Width '[m']]])</f>
        <v>35</v>
      </c>
      <c r="Q28" s="22">
        <f>IF(Table1[[#This Row],[Area '[m²']]]="N/A","",Table1[[#This Row],[Area '[m²']]])</f>
        <v>1130</v>
      </c>
      <c r="R28" s="22">
        <f>IF(Table1[[#This Row],[Qin '[m³/yr']]]="N/A","",Table1[[#This Row],[Qin '[m³/yr']]])</f>
        <v>1590.4749999999999</v>
      </c>
      <c r="S28" s="22">
        <f>IF(Table1[[#This Row],[Catchment area '[ha']]]="N/A","",Table1[[#This Row],[Catchment area '[ha']]])</f>
        <v>7.6</v>
      </c>
      <c r="T28" s="22">
        <f>IF(Table1[[#This Row],[HLR '[mm']]]="N/A","",Table1[[#This Row],[HLR '[mm']]])</f>
        <v>14075</v>
      </c>
    </row>
    <row r="29" spans="1:20" hidden="1" x14ac:dyDescent="0.3">
      <c r="A29" s="22" t="str">
        <f>IF(Table1[[#This Row],[Country]]="N/A","",Table1[[#This Row],[Country]])</f>
        <v>Denmark</v>
      </c>
      <c r="B29" s="22" t="str">
        <f>IF(Table1[[#This Row],[Study site]]="N/A","",Table1[[#This Row],[Study site]])</f>
        <v>Fensholt T32, DK</v>
      </c>
      <c r="C29" s="22" t="str">
        <f>IF(Table1[[#This Row],[WBZ-type]]="N/A","",Table1[[#This Row],[WBZ-type]])</f>
        <v>Rewetted Fen</v>
      </c>
      <c r="D29" s="22" t="str">
        <f>IF(Table1[[#This Row],[Nutrient]]="N/A","",Table1[[#This Row],[Nutrient]])</f>
        <v>nitrate</v>
      </c>
      <c r="E29" s="22">
        <f>IF(Table1[[#This Row],[Load (kg N, P/ha/yr)]]="N/A","",Table1[[#This Row],[Load (kg N, P/ha/yr)]])</f>
        <v>1045</v>
      </c>
      <c r="F29" s="22">
        <f>IF(Table1[[#This Row],[Loss (kg N, P/ha/yr)]]="N/A","",Table1[[#This Row],[Loss (kg N, P/ha/yr)]])</f>
        <v>786</v>
      </c>
      <c r="G29" s="22">
        <f>IF(Table1[[#This Row],[Retention (kg N, P/ha/yr)]]="N/A","",Table1[[#This Row],[Retention (kg N, P/ha/yr)]])</f>
        <v>259</v>
      </c>
      <c r="H29" s="22">
        <f>IF(Table1[[#This Row],[Efficiency (%)]]="N/A","",Table1[[#This Row],[Efficiency (%)]])</f>
        <v>25</v>
      </c>
      <c r="I29" s="22" t="str">
        <f>IF(Table1[[#This Row],[Organic/Mineral Soil]]="N/A","",Table1[[#This Row],[Organic/Mineral Soil]])</f>
        <v>Organic</v>
      </c>
      <c r="J29" s="22" t="str">
        <f>IF(Table1[[#This Row],[Vegetation type]]="N/A","",Table1[[#This Row],[Vegetation type]])</f>
        <v>Herbaceous</v>
      </c>
      <c r="K29" s="22" t="str">
        <f>IF(Table1[[#This Row],[Reference]]="N/A","",Table1[[#This Row],[Reference]])</f>
        <v>Petersen et al., 2020a; Petersen et al., 2020b</v>
      </c>
      <c r="L29" s="22" t="str">
        <f>IF(Table1[[#This Row],[Main source/flow path in]]="N/A","",Table1[[#This Row],[Main source/flow path in]])</f>
        <v>Drain discharge from upland</v>
      </c>
      <c r="M29" s="22" t="str">
        <f>IF(Table1[[#This Row],[Main source/flow path in (simple)]]="N/A","",Table1[[#This Row],[Main source/flow path in (simple)]])</f>
        <v>SWU</v>
      </c>
      <c r="N29" s="22" t="str">
        <f>IF(Table1[[#This Row],[Main flow paths in buffer]]="N/A","",Table1[[#This Row],[Main flow paths in buffer]])</f>
        <v>Direct surface runoff</v>
      </c>
      <c r="O29" s="22" t="str">
        <f>IF(Table1[[#This Row],[Inflow=&gt;Outflow]]="N/A","",Table1[[#This Row],[Inflow=&gt;Outflow]])</f>
        <v>SWU=&gt;SR</v>
      </c>
      <c r="P29" s="22">
        <f>IF(Table1[[#This Row],[Width '[m']]]="N/A","",Table1[[#This Row],[Width '[m']]])</f>
        <v>35</v>
      </c>
      <c r="Q29" s="22">
        <f>IF(Table1[[#This Row],[Area '[m²']]]="N/A","",Table1[[#This Row],[Area '[m²']]])</f>
        <v>1130</v>
      </c>
      <c r="R29" s="22">
        <f>IF(Table1[[#This Row],[Qin '[m³/yr']]]="N/A","",Table1[[#This Row],[Qin '[m³/yr']]])</f>
        <v>1590.4749999999999</v>
      </c>
      <c r="S29" s="22">
        <f>IF(Table1[[#This Row],[Catchment area '[ha']]]="N/A","",Table1[[#This Row],[Catchment area '[ha']]])</f>
        <v>7.6</v>
      </c>
      <c r="T29" s="22">
        <f>IF(Table1[[#This Row],[HLR '[mm']]]="N/A","",Table1[[#This Row],[HLR '[mm']]])</f>
        <v>14075</v>
      </c>
    </row>
    <row r="30" spans="1:20" hidden="1" x14ac:dyDescent="0.3">
      <c r="A30" s="22" t="str">
        <f>IF(Table1[[#This Row],[Country]]="N/A","",Table1[[#This Row],[Country]])</f>
        <v>Denmark</v>
      </c>
      <c r="B30" s="22" t="str">
        <f>IF(Table1[[#This Row],[Study site]]="N/A","",Table1[[#This Row],[Study site]])</f>
        <v>Fensholt T32, DK</v>
      </c>
      <c r="C30" s="22" t="str">
        <f>IF(Table1[[#This Row],[WBZ-type]]="N/A","",Table1[[#This Row],[WBZ-type]])</f>
        <v>Rewetted Fen</v>
      </c>
      <c r="D30" s="22" t="str">
        <f>IF(Table1[[#This Row],[Nutrient]]="N/A","",Table1[[#This Row],[Nutrient]])</f>
        <v>ammonium</v>
      </c>
      <c r="E30" s="22">
        <f>IF(Table1[[#This Row],[Load (kg N, P/ha/yr)]]="N/A","",Table1[[#This Row],[Load (kg N, P/ha/yr)]])</f>
        <v>12.3</v>
      </c>
      <c r="F30" s="22">
        <f>IF(Table1[[#This Row],[Loss (kg N, P/ha/yr)]]="N/A","",Table1[[#This Row],[Loss (kg N, P/ha/yr)]])</f>
        <v>146</v>
      </c>
      <c r="G30" s="22">
        <f>IF(Table1[[#This Row],[Retention (kg N, P/ha/yr)]]="N/A","",Table1[[#This Row],[Retention (kg N, P/ha/yr)]])</f>
        <v>-133.69999999999999</v>
      </c>
      <c r="H30" s="22">
        <f>IF(Table1[[#This Row],[Efficiency (%)]]="N/A","",Table1[[#This Row],[Efficiency (%)]])</f>
        <v>-1084</v>
      </c>
      <c r="I30" s="22" t="str">
        <f>IF(Table1[[#This Row],[Organic/Mineral Soil]]="N/A","",Table1[[#This Row],[Organic/Mineral Soil]])</f>
        <v>Organic</v>
      </c>
      <c r="J30" s="22" t="str">
        <f>IF(Table1[[#This Row],[Vegetation type]]="N/A","",Table1[[#This Row],[Vegetation type]])</f>
        <v>Herbaceous</v>
      </c>
      <c r="K30" s="22" t="str">
        <f>IF(Table1[[#This Row],[Reference]]="N/A","",Table1[[#This Row],[Reference]])</f>
        <v>Petersen et al., 2020a; Petersen et al., 2020b</v>
      </c>
      <c r="L30" s="22" t="str">
        <f>IF(Table1[[#This Row],[Main source/flow path in]]="N/A","",Table1[[#This Row],[Main source/flow path in]])</f>
        <v>Drain discharge from upland</v>
      </c>
      <c r="M30" s="22" t="str">
        <f>IF(Table1[[#This Row],[Main source/flow path in (simple)]]="N/A","",Table1[[#This Row],[Main source/flow path in (simple)]])</f>
        <v>SWU</v>
      </c>
      <c r="N30" s="22" t="str">
        <f>IF(Table1[[#This Row],[Main flow paths in buffer]]="N/A","",Table1[[#This Row],[Main flow paths in buffer]])</f>
        <v>Direct surface runoff</v>
      </c>
      <c r="O30" s="22" t="str">
        <f>IF(Table1[[#This Row],[Inflow=&gt;Outflow]]="N/A","",Table1[[#This Row],[Inflow=&gt;Outflow]])</f>
        <v>SWU=&gt;SR</v>
      </c>
      <c r="P30" s="22">
        <f>IF(Table1[[#This Row],[Width '[m']]]="N/A","",Table1[[#This Row],[Width '[m']]])</f>
        <v>35</v>
      </c>
      <c r="Q30" s="22">
        <f>IF(Table1[[#This Row],[Area '[m²']]]="N/A","",Table1[[#This Row],[Area '[m²']]])</f>
        <v>1130</v>
      </c>
      <c r="R30" s="22">
        <f>IF(Table1[[#This Row],[Qin '[m³/yr']]]="N/A","",Table1[[#This Row],[Qin '[m³/yr']]])</f>
        <v>1590.4749999999999</v>
      </c>
      <c r="S30" s="22">
        <f>IF(Table1[[#This Row],[Catchment area '[ha']]]="N/A","",Table1[[#This Row],[Catchment area '[ha']]])</f>
        <v>7.6</v>
      </c>
      <c r="T30" s="22">
        <f>IF(Table1[[#This Row],[HLR '[mm']]]="N/A","",Table1[[#This Row],[HLR '[mm']]])</f>
        <v>14075</v>
      </c>
    </row>
    <row r="31" spans="1:20" hidden="1" x14ac:dyDescent="0.3">
      <c r="A31" s="22" t="str">
        <f>IF(Table1[[#This Row],[Country]]="N/A","",Table1[[#This Row],[Country]])</f>
        <v>Denmark</v>
      </c>
      <c r="B31" s="22" t="str">
        <f>IF(Table1[[#This Row],[Study site]]="N/A","",Table1[[#This Row],[Study site]])</f>
        <v>Fensholt T32, DK</v>
      </c>
      <c r="C31" s="22" t="str">
        <f>IF(Table1[[#This Row],[WBZ-type]]="N/A","",Table1[[#This Row],[WBZ-type]])</f>
        <v>Rewetted Fen</v>
      </c>
      <c r="D31" s="22" t="str">
        <f>IF(Table1[[#This Row],[Nutrient]]="N/A","",Table1[[#This Row],[Nutrient]])</f>
        <v>dissolved organic nitrogen</v>
      </c>
      <c r="E31" s="22">
        <f>IF(Table1[[#This Row],[Load (kg N, P/ha/yr)]]="N/A","",Table1[[#This Row],[Load (kg N, P/ha/yr)]])</f>
        <v>111</v>
      </c>
      <c r="F31" s="22">
        <f>IF(Table1[[#This Row],[Loss (kg N, P/ha/yr)]]="N/A","",Table1[[#This Row],[Loss (kg N, P/ha/yr)]])</f>
        <v>225</v>
      </c>
      <c r="G31" s="22">
        <f>IF(Table1[[#This Row],[Retention (kg N, P/ha/yr)]]="N/A","",Table1[[#This Row],[Retention (kg N, P/ha/yr)]])</f>
        <v>-114</v>
      </c>
      <c r="H31" s="22">
        <f>IF(Table1[[#This Row],[Efficiency (%)]]="N/A","",Table1[[#This Row],[Efficiency (%)]])</f>
        <v>-102</v>
      </c>
      <c r="I31" s="22" t="str">
        <f>IF(Table1[[#This Row],[Organic/Mineral Soil]]="N/A","",Table1[[#This Row],[Organic/Mineral Soil]])</f>
        <v>Organic</v>
      </c>
      <c r="J31" s="22" t="str">
        <f>IF(Table1[[#This Row],[Vegetation type]]="N/A","",Table1[[#This Row],[Vegetation type]])</f>
        <v>Herbaceous</v>
      </c>
      <c r="K31" s="22" t="str">
        <f>IF(Table1[[#This Row],[Reference]]="N/A","",Table1[[#This Row],[Reference]])</f>
        <v>Petersen et al., 2020a; Petersen et al., 2020b</v>
      </c>
      <c r="L31" s="22" t="str">
        <f>IF(Table1[[#This Row],[Main source/flow path in]]="N/A","",Table1[[#This Row],[Main source/flow path in]])</f>
        <v>Drain discharge from upland</v>
      </c>
      <c r="M31" s="22" t="str">
        <f>IF(Table1[[#This Row],[Main source/flow path in (simple)]]="N/A","",Table1[[#This Row],[Main source/flow path in (simple)]])</f>
        <v>SWU</v>
      </c>
      <c r="N31" s="22" t="str">
        <f>IF(Table1[[#This Row],[Main flow paths in buffer]]="N/A","",Table1[[#This Row],[Main flow paths in buffer]])</f>
        <v>Direct surface runoff</v>
      </c>
      <c r="O31" s="22" t="str">
        <f>IF(Table1[[#This Row],[Inflow=&gt;Outflow]]="N/A","",Table1[[#This Row],[Inflow=&gt;Outflow]])</f>
        <v>SWU=&gt;SR</v>
      </c>
      <c r="P31" s="22">
        <f>IF(Table1[[#This Row],[Width '[m']]]="N/A","",Table1[[#This Row],[Width '[m']]])</f>
        <v>35</v>
      </c>
      <c r="Q31" s="22">
        <f>IF(Table1[[#This Row],[Area '[m²']]]="N/A","",Table1[[#This Row],[Area '[m²']]])</f>
        <v>1130</v>
      </c>
      <c r="R31" s="22">
        <f>IF(Table1[[#This Row],[Qin '[m³/yr']]]="N/A","",Table1[[#This Row],[Qin '[m³/yr']]])</f>
        <v>1590.4749999999999</v>
      </c>
      <c r="S31" s="22">
        <f>IF(Table1[[#This Row],[Catchment area '[ha']]]="N/A","",Table1[[#This Row],[Catchment area '[ha']]])</f>
        <v>7.6</v>
      </c>
      <c r="T31" s="22">
        <f>IF(Table1[[#This Row],[HLR '[mm']]]="N/A","",Table1[[#This Row],[HLR '[mm']]])</f>
        <v>14075</v>
      </c>
    </row>
    <row r="32" spans="1:20" x14ac:dyDescent="0.3">
      <c r="A32" s="22" t="str">
        <f>IF(Table1[[#This Row],[Country]]="N/A","",Table1[[#This Row],[Country]])</f>
        <v>Denmark</v>
      </c>
      <c r="B32" s="22" t="str">
        <f>IF(Table1[[#This Row],[Study site]]="N/A","",Table1[[#This Row],[Study site]])</f>
        <v>Fensholt T33, DK</v>
      </c>
      <c r="C32" s="22" t="str">
        <f>IF(Table1[[#This Row],[WBZ-type]]="N/A","",Table1[[#This Row],[WBZ-type]])</f>
        <v>Rewetted Fen</v>
      </c>
      <c r="D32" s="22" t="str">
        <f>IF(Table1[[#This Row],[Nutrient]]="N/A","",Table1[[#This Row],[Nutrient]])</f>
        <v>total nitrogen</v>
      </c>
      <c r="E32" s="22">
        <f>IF(Table1[[#This Row],[Load (kg N, P/ha/yr)]]="N/A","",Table1[[#This Row],[Load (kg N, P/ha/yr)]])</f>
        <v>515</v>
      </c>
      <c r="F32" s="22">
        <f>IF(Table1[[#This Row],[Loss (kg N, P/ha/yr)]]="N/A","",Table1[[#This Row],[Loss (kg N, P/ha/yr)]])</f>
        <v>227</v>
      </c>
      <c r="G32" s="22">
        <f>IF(Table1[[#This Row],[Retention (kg N, P/ha/yr)]]="N/A","",Table1[[#This Row],[Retention (kg N, P/ha/yr)]])</f>
        <v>288</v>
      </c>
      <c r="H32" s="22">
        <f>IF(Table1[[#This Row],[Efficiency (%)]]="N/A","",Table1[[#This Row],[Efficiency (%)]])</f>
        <v>56</v>
      </c>
      <c r="I32" s="22" t="str">
        <f>IF(Table1[[#This Row],[Organic/Mineral Soil]]="N/A","",Table1[[#This Row],[Organic/Mineral Soil]])</f>
        <v>Organic</v>
      </c>
      <c r="J32" s="22" t="str">
        <f>IF(Table1[[#This Row],[Vegetation type]]="N/A","",Table1[[#This Row],[Vegetation type]])</f>
        <v>Herbaceous</v>
      </c>
      <c r="K32" s="22" t="str">
        <f>IF(Table1[[#This Row],[Reference]]="N/A","",Table1[[#This Row],[Reference]])</f>
        <v>Petersen et al., 2020a; Petersen et al., 2020b</v>
      </c>
      <c r="L32" s="22" t="str">
        <f>IF(Table1[[#This Row],[Main source/flow path in]]="N/A","",Table1[[#This Row],[Main source/flow path in]])</f>
        <v>Drain discharge from upland</v>
      </c>
      <c r="M32" s="22" t="str">
        <f>IF(Table1[[#This Row],[Main source/flow path in (simple)]]="N/A","",Table1[[#This Row],[Main source/flow path in (simple)]])</f>
        <v>SWU</v>
      </c>
      <c r="N32" s="22" t="str">
        <f>IF(Table1[[#This Row],[Main flow paths in buffer]]="N/A","",Table1[[#This Row],[Main flow paths in buffer]])</f>
        <v>Infiltration/exfiltration</v>
      </c>
      <c r="O32" s="22" t="str">
        <f>IF(Table1[[#This Row],[Inflow=&gt;Outflow]]="N/A","",Table1[[#This Row],[Inflow=&gt;Outflow]])</f>
        <v>SWU=&gt;SR</v>
      </c>
      <c r="P32" s="22">
        <f>IF(Table1[[#This Row],[Width '[m']]]="N/A","",Table1[[#This Row],[Width '[m']]])</f>
        <v>150</v>
      </c>
      <c r="Q32" s="22">
        <f>IF(Table1[[#This Row],[Area '[m²']]]="N/A","",Table1[[#This Row],[Area '[m²']]])</f>
        <v>11690</v>
      </c>
      <c r="R32" s="22">
        <f>IF(Table1[[#This Row],[Qin '[m³/yr']]]="N/A","",Table1[[#This Row],[Qin '[m³/yr']]])</f>
        <v>5538.7219999999998</v>
      </c>
      <c r="S32" s="22">
        <f>IF(Table1[[#This Row],[Catchment area '[ha']]]="N/A","",Table1[[#This Row],[Catchment area '[ha']]])</f>
        <v>13.7</v>
      </c>
      <c r="T32" s="22">
        <f>IF(Table1[[#This Row],[HLR '[mm']]]="N/A","",Table1[[#This Row],[HLR '[mm']]])</f>
        <v>4738</v>
      </c>
    </row>
    <row r="33" spans="1:20" hidden="1" x14ac:dyDescent="0.3">
      <c r="A33" s="22" t="str">
        <f>IF(Table1[[#This Row],[Country]]="N/A","",Table1[[#This Row],[Country]])</f>
        <v>Denmark</v>
      </c>
      <c r="B33" s="22" t="str">
        <f>IF(Table1[[#This Row],[Study site]]="N/A","",Table1[[#This Row],[Study site]])</f>
        <v>Fensholt T33, DK</v>
      </c>
      <c r="C33" s="22" t="str">
        <f>IF(Table1[[#This Row],[WBZ-type]]="N/A","",Table1[[#This Row],[WBZ-type]])</f>
        <v>Rewetted Fen</v>
      </c>
      <c r="D33" s="22" t="str">
        <f>IF(Table1[[#This Row],[Nutrient]]="N/A","",Table1[[#This Row],[Nutrient]])</f>
        <v>nitrate</v>
      </c>
      <c r="E33" s="22">
        <f>IF(Table1[[#This Row],[Load (kg N, P/ha/yr)]]="N/A","",Table1[[#This Row],[Load (kg N, P/ha/yr)]])</f>
        <v>397</v>
      </c>
      <c r="F33" s="22">
        <f>IF(Table1[[#This Row],[Loss (kg N, P/ha/yr)]]="N/A","",Table1[[#This Row],[Loss (kg N, P/ha/yr)]])</f>
        <v>22.9</v>
      </c>
      <c r="G33" s="22">
        <f>IF(Table1[[#This Row],[Retention (kg N, P/ha/yr)]]="N/A","",Table1[[#This Row],[Retention (kg N, P/ha/yr)]])</f>
        <v>374.1</v>
      </c>
      <c r="H33" s="22">
        <f>IF(Table1[[#This Row],[Efficiency (%)]]="N/A","",Table1[[#This Row],[Efficiency (%)]])</f>
        <v>94</v>
      </c>
      <c r="I33" s="22" t="str">
        <f>IF(Table1[[#This Row],[Organic/Mineral Soil]]="N/A","",Table1[[#This Row],[Organic/Mineral Soil]])</f>
        <v>Organic</v>
      </c>
      <c r="J33" s="22" t="str">
        <f>IF(Table1[[#This Row],[Vegetation type]]="N/A","",Table1[[#This Row],[Vegetation type]])</f>
        <v>Herbaceous</v>
      </c>
      <c r="K33" s="22" t="str">
        <f>IF(Table1[[#This Row],[Reference]]="N/A","",Table1[[#This Row],[Reference]])</f>
        <v>Petersen et al., 2020a; Petersen et al., 2020b</v>
      </c>
      <c r="L33" s="22" t="str">
        <f>IF(Table1[[#This Row],[Main source/flow path in]]="N/A","",Table1[[#This Row],[Main source/flow path in]])</f>
        <v>Drain discharge from upland</v>
      </c>
      <c r="M33" s="22" t="str">
        <f>IF(Table1[[#This Row],[Main source/flow path in (simple)]]="N/A","",Table1[[#This Row],[Main source/flow path in (simple)]])</f>
        <v>SWU</v>
      </c>
      <c r="N33" s="22" t="str">
        <f>IF(Table1[[#This Row],[Main flow paths in buffer]]="N/A","",Table1[[#This Row],[Main flow paths in buffer]])</f>
        <v>Infiltration/exfiltration</v>
      </c>
      <c r="O33" s="22" t="str">
        <f>IF(Table1[[#This Row],[Inflow=&gt;Outflow]]="N/A","",Table1[[#This Row],[Inflow=&gt;Outflow]])</f>
        <v>SWU=&gt;SR</v>
      </c>
      <c r="P33" s="22">
        <f>IF(Table1[[#This Row],[Width '[m']]]="N/A","",Table1[[#This Row],[Width '[m']]])</f>
        <v>150</v>
      </c>
      <c r="Q33" s="22">
        <f>IF(Table1[[#This Row],[Area '[m²']]]="N/A","",Table1[[#This Row],[Area '[m²']]])</f>
        <v>11690</v>
      </c>
      <c r="R33" s="22">
        <f>IF(Table1[[#This Row],[Qin '[m³/yr']]]="N/A","",Table1[[#This Row],[Qin '[m³/yr']]])</f>
        <v>5538.7219999999998</v>
      </c>
      <c r="S33" s="22">
        <f>IF(Table1[[#This Row],[Catchment area '[ha']]]="N/A","",Table1[[#This Row],[Catchment area '[ha']]])</f>
        <v>13.7</v>
      </c>
      <c r="T33" s="22">
        <f>IF(Table1[[#This Row],[HLR '[mm']]]="N/A","",Table1[[#This Row],[HLR '[mm']]])</f>
        <v>4738</v>
      </c>
    </row>
    <row r="34" spans="1:20" hidden="1" x14ac:dyDescent="0.3">
      <c r="A34" s="22" t="str">
        <f>IF(Table1[[#This Row],[Country]]="N/A","",Table1[[#This Row],[Country]])</f>
        <v>Denmark</v>
      </c>
      <c r="B34" s="22" t="str">
        <f>IF(Table1[[#This Row],[Study site]]="N/A","",Table1[[#This Row],[Study site]])</f>
        <v>Fensholt T33, DK</v>
      </c>
      <c r="C34" s="22" t="str">
        <f>IF(Table1[[#This Row],[WBZ-type]]="N/A","",Table1[[#This Row],[WBZ-type]])</f>
        <v>Rewetted Fen</v>
      </c>
      <c r="D34" s="22" t="str">
        <f>IF(Table1[[#This Row],[Nutrient]]="N/A","",Table1[[#This Row],[Nutrient]])</f>
        <v>ammonium</v>
      </c>
      <c r="E34" s="22">
        <f>IF(Table1[[#This Row],[Load (kg N, P/ha/yr)]]="N/A","",Table1[[#This Row],[Load (kg N, P/ha/yr)]])</f>
        <v>18.600000000000001</v>
      </c>
      <c r="F34" s="22">
        <f>IF(Table1[[#This Row],[Loss (kg N, P/ha/yr)]]="N/A","",Table1[[#This Row],[Loss (kg N, P/ha/yr)]])</f>
        <v>5.69</v>
      </c>
      <c r="G34" s="22">
        <f>IF(Table1[[#This Row],[Retention (kg N, P/ha/yr)]]="N/A","",Table1[[#This Row],[Retention (kg N, P/ha/yr)]])</f>
        <v>12.91</v>
      </c>
      <c r="H34" s="22">
        <f>IF(Table1[[#This Row],[Efficiency (%)]]="N/A","",Table1[[#This Row],[Efficiency (%)]])</f>
        <v>69</v>
      </c>
      <c r="I34" s="22" t="str">
        <f>IF(Table1[[#This Row],[Organic/Mineral Soil]]="N/A","",Table1[[#This Row],[Organic/Mineral Soil]])</f>
        <v>Organic</v>
      </c>
      <c r="J34" s="22" t="str">
        <f>IF(Table1[[#This Row],[Vegetation type]]="N/A","",Table1[[#This Row],[Vegetation type]])</f>
        <v>Herbaceous</v>
      </c>
      <c r="K34" s="22" t="str">
        <f>IF(Table1[[#This Row],[Reference]]="N/A","",Table1[[#This Row],[Reference]])</f>
        <v>Petersen et al., 2020a; Petersen et al., 2020b</v>
      </c>
      <c r="L34" s="22" t="str">
        <f>IF(Table1[[#This Row],[Main source/flow path in]]="N/A","",Table1[[#This Row],[Main source/flow path in]])</f>
        <v>Drain discharge from upland</v>
      </c>
      <c r="M34" s="22" t="str">
        <f>IF(Table1[[#This Row],[Main source/flow path in (simple)]]="N/A","",Table1[[#This Row],[Main source/flow path in (simple)]])</f>
        <v>SWU</v>
      </c>
      <c r="N34" s="22" t="str">
        <f>IF(Table1[[#This Row],[Main flow paths in buffer]]="N/A","",Table1[[#This Row],[Main flow paths in buffer]])</f>
        <v>Infiltration/exfiltration</v>
      </c>
      <c r="O34" s="22" t="str">
        <f>IF(Table1[[#This Row],[Inflow=&gt;Outflow]]="N/A","",Table1[[#This Row],[Inflow=&gt;Outflow]])</f>
        <v>SWU=&gt;SR</v>
      </c>
      <c r="P34" s="22">
        <f>IF(Table1[[#This Row],[Width '[m']]]="N/A","",Table1[[#This Row],[Width '[m']]])</f>
        <v>150</v>
      </c>
      <c r="Q34" s="22">
        <f>IF(Table1[[#This Row],[Area '[m²']]]="N/A","",Table1[[#This Row],[Area '[m²']]])</f>
        <v>11690</v>
      </c>
      <c r="R34" s="22">
        <f>IF(Table1[[#This Row],[Qin '[m³/yr']]]="N/A","",Table1[[#This Row],[Qin '[m³/yr']]])</f>
        <v>5538.7219999999998</v>
      </c>
      <c r="S34" s="22">
        <f>IF(Table1[[#This Row],[Catchment area '[ha']]]="N/A","",Table1[[#This Row],[Catchment area '[ha']]])</f>
        <v>13.7</v>
      </c>
      <c r="T34" s="22">
        <f>IF(Table1[[#This Row],[HLR '[mm']]]="N/A","",Table1[[#This Row],[HLR '[mm']]])</f>
        <v>4738</v>
      </c>
    </row>
    <row r="35" spans="1:20" hidden="1" x14ac:dyDescent="0.3">
      <c r="A35" s="22" t="str">
        <f>IF(Table1[[#This Row],[Country]]="N/A","",Table1[[#This Row],[Country]])</f>
        <v>Denmark</v>
      </c>
      <c r="B35" s="22" t="str">
        <f>IF(Table1[[#This Row],[Study site]]="N/A","",Table1[[#This Row],[Study site]])</f>
        <v>Fensholt T33, DK</v>
      </c>
      <c r="C35" s="22" t="str">
        <f>IF(Table1[[#This Row],[WBZ-type]]="N/A","",Table1[[#This Row],[WBZ-type]])</f>
        <v>Rewetted Fen</v>
      </c>
      <c r="D35" s="22" t="str">
        <f>IF(Table1[[#This Row],[Nutrient]]="N/A","",Table1[[#This Row],[Nutrient]])</f>
        <v>dissolved organic nitrogen</v>
      </c>
      <c r="E35" s="22">
        <f>IF(Table1[[#This Row],[Load (kg N, P/ha/yr)]]="N/A","",Table1[[#This Row],[Load (kg N, P/ha/yr)]])</f>
        <v>99.4</v>
      </c>
      <c r="F35" s="22">
        <f>IF(Table1[[#This Row],[Loss (kg N, P/ha/yr)]]="N/A","",Table1[[#This Row],[Loss (kg N, P/ha/yr)]])</f>
        <v>198</v>
      </c>
      <c r="G35" s="22">
        <f>IF(Table1[[#This Row],[Retention (kg N, P/ha/yr)]]="N/A","",Table1[[#This Row],[Retention (kg N, P/ha/yr)]])</f>
        <v>-98.6</v>
      </c>
      <c r="H35" s="22">
        <f>IF(Table1[[#This Row],[Efficiency (%)]]="N/A","",Table1[[#This Row],[Efficiency (%)]])</f>
        <v>-99</v>
      </c>
      <c r="I35" s="22" t="str">
        <f>IF(Table1[[#This Row],[Organic/Mineral Soil]]="N/A","",Table1[[#This Row],[Organic/Mineral Soil]])</f>
        <v>Organic</v>
      </c>
      <c r="J35" s="22" t="str">
        <f>IF(Table1[[#This Row],[Vegetation type]]="N/A","",Table1[[#This Row],[Vegetation type]])</f>
        <v>Herbaceous</v>
      </c>
      <c r="K35" s="22" t="str">
        <f>IF(Table1[[#This Row],[Reference]]="N/A","",Table1[[#This Row],[Reference]])</f>
        <v>Petersen et al., 2020a; Petersen et al., 2020b</v>
      </c>
      <c r="L35" s="22" t="str">
        <f>IF(Table1[[#This Row],[Main source/flow path in]]="N/A","",Table1[[#This Row],[Main source/flow path in]])</f>
        <v>Drain discharge from upland</v>
      </c>
      <c r="M35" s="22" t="str">
        <f>IF(Table1[[#This Row],[Main source/flow path in (simple)]]="N/A","",Table1[[#This Row],[Main source/flow path in (simple)]])</f>
        <v>SWU</v>
      </c>
      <c r="N35" s="22" t="str">
        <f>IF(Table1[[#This Row],[Main flow paths in buffer]]="N/A","",Table1[[#This Row],[Main flow paths in buffer]])</f>
        <v>Infiltration/exfiltration</v>
      </c>
      <c r="O35" s="22" t="str">
        <f>IF(Table1[[#This Row],[Inflow=&gt;Outflow]]="N/A","",Table1[[#This Row],[Inflow=&gt;Outflow]])</f>
        <v>SWU=&gt;SR</v>
      </c>
      <c r="P35" s="22">
        <f>IF(Table1[[#This Row],[Width '[m']]]="N/A","",Table1[[#This Row],[Width '[m']]])</f>
        <v>150</v>
      </c>
      <c r="Q35" s="22">
        <f>IF(Table1[[#This Row],[Area '[m²']]]="N/A","",Table1[[#This Row],[Area '[m²']]])</f>
        <v>11690</v>
      </c>
      <c r="R35" s="22">
        <f>IF(Table1[[#This Row],[Qin '[m³/yr']]]="N/A","",Table1[[#This Row],[Qin '[m³/yr']]])</f>
        <v>5538.7219999999998</v>
      </c>
      <c r="S35" s="22">
        <f>IF(Table1[[#This Row],[Catchment area '[ha']]]="N/A","",Table1[[#This Row],[Catchment area '[ha']]])</f>
        <v>13.7</v>
      </c>
      <c r="T35" s="22">
        <f>IF(Table1[[#This Row],[HLR '[mm']]]="N/A","",Table1[[#This Row],[HLR '[mm']]])</f>
        <v>4738</v>
      </c>
    </row>
    <row r="36" spans="1:20" x14ac:dyDescent="0.3">
      <c r="A36" s="22" t="str">
        <f>IF(Table1[[#This Row],[Country]]="N/A","",Table1[[#This Row],[Country]])</f>
        <v>Denmark</v>
      </c>
      <c r="B36" s="22" t="str">
        <f>IF(Table1[[#This Row],[Study site]]="N/A","",Table1[[#This Row],[Study site]])</f>
        <v>Fensholt T34, DK</v>
      </c>
      <c r="C36" s="22" t="str">
        <f>IF(Table1[[#This Row],[WBZ-type]]="N/A","",Table1[[#This Row],[WBZ-type]])</f>
        <v>Rewetted Fen</v>
      </c>
      <c r="D36" s="22" t="str">
        <f>IF(Table1[[#This Row],[Nutrient]]="N/A","",Table1[[#This Row],[Nutrient]])</f>
        <v>total nitrogen</v>
      </c>
      <c r="E36" s="22">
        <f>IF(Table1[[#This Row],[Load (kg N, P/ha/yr)]]="N/A","",Table1[[#This Row],[Load (kg N, P/ha/yr)]])</f>
        <v>445</v>
      </c>
      <c r="F36" s="22">
        <f>IF(Table1[[#This Row],[Loss (kg N, P/ha/yr)]]="N/A","",Table1[[#This Row],[Loss (kg N, P/ha/yr)]])</f>
        <v>267</v>
      </c>
      <c r="G36" s="22">
        <f>IF(Table1[[#This Row],[Retention (kg N, P/ha/yr)]]="N/A","",Table1[[#This Row],[Retention (kg N, P/ha/yr)]])</f>
        <v>178</v>
      </c>
      <c r="H36" s="22">
        <f>IF(Table1[[#This Row],[Efficiency (%)]]="N/A","",Table1[[#This Row],[Efficiency (%)]])</f>
        <v>40</v>
      </c>
      <c r="I36" s="22" t="str">
        <f>IF(Table1[[#This Row],[Organic/Mineral Soil]]="N/A","",Table1[[#This Row],[Organic/Mineral Soil]])</f>
        <v>Organic</v>
      </c>
      <c r="J36" s="22" t="str">
        <f>IF(Table1[[#This Row],[Vegetation type]]="N/A","",Table1[[#This Row],[Vegetation type]])</f>
        <v>Herbaceous</v>
      </c>
      <c r="K36" s="22" t="str">
        <f>IF(Table1[[#This Row],[Reference]]="N/A","",Table1[[#This Row],[Reference]])</f>
        <v>Petersen et al., 2020a; Petersen et al., 2020b</v>
      </c>
      <c r="L36" s="22" t="str">
        <f>IF(Table1[[#This Row],[Main source/flow path in]]="N/A","",Table1[[#This Row],[Main source/flow path in]])</f>
        <v>Drain discharge from upland</v>
      </c>
      <c r="M36" s="22" t="str">
        <f>IF(Table1[[#This Row],[Main source/flow path in (simple)]]="N/A","",Table1[[#This Row],[Main source/flow path in (simple)]])</f>
        <v>SWU</v>
      </c>
      <c r="N36" s="22" t="str">
        <f>IF(Table1[[#This Row],[Main flow paths in buffer]]="N/A","",Table1[[#This Row],[Main flow paths in buffer]])</f>
        <v>Infiltration/exfiltration</v>
      </c>
      <c r="O36" s="22" t="str">
        <f>IF(Table1[[#This Row],[Inflow=&gt;Outflow]]="N/A","",Table1[[#This Row],[Inflow=&gt;Outflow]])</f>
        <v>SWU=&gt;SR</v>
      </c>
      <c r="P36" s="22">
        <f>IF(Table1[[#This Row],[Width '[m']]]="N/A","",Table1[[#This Row],[Width '[m']]])</f>
        <v>80</v>
      </c>
      <c r="Q36" s="22">
        <f>IF(Table1[[#This Row],[Area '[m²']]]="N/A","",Table1[[#This Row],[Area '[m²']]])</f>
        <v>4768</v>
      </c>
      <c r="R36" s="22">
        <f>IF(Table1[[#This Row],[Qin '[m³/yr']]]="N/A","",Table1[[#This Row],[Qin '[m³/yr']]])</f>
        <v>2508.4448000000002</v>
      </c>
      <c r="S36" s="22">
        <f>IF(Table1[[#This Row],[Catchment area '[ha']]]="N/A","",Table1[[#This Row],[Catchment area '[ha']]])</f>
        <v>6.9</v>
      </c>
      <c r="T36" s="22">
        <f>IF(Table1[[#This Row],[HLR '[mm']]]="N/A","",Table1[[#This Row],[HLR '[mm']]])</f>
        <v>5261</v>
      </c>
    </row>
    <row r="37" spans="1:20" hidden="1" x14ac:dyDescent="0.3">
      <c r="A37" s="22" t="str">
        <f>IF(Table1[[#This Row],[Country]]="N/A","",Table1[[#This Row],[Country]])</f>
        <v>Denmark</v>
      </c>
      <c r="B37" s="22" t="str">
        <f>IF(Table1[[#This Row],[Study site]]="N/A","",Table1[[#This Row],[Study site]])</f>
        <v>Fensholt T34, DK</v>
      </c>
      <c r="C37" s="22" t="str">
        <f>IF(Table1[[#This Row],[WBZ-type]]="N/A","",Table1[[#This Row],[WBZ-type]])</f>
        <v>Rewetted Fen</v>
      </c>
      <c r="D37" s="22" t="str">
        <f>IF(Table1[[#This Row],[Nutrient]]="N/A","",Table1[[#This Row],[Nutrient]])</f>
        <v>nitrate</v>
      </c>
      <c r="E37" s="22">
        <f>IF(Table1[[#This Row],[Load (kg N, P/ha/yr)]]="N/A","",Table1[[#This Row],[Load (kg N, P/ha/yr)]])</f>
        <v>282</v>
      </c>
      <c r="F37" s="22">
        <f>IF(Table1[[#This Row],[Loss (kg N, P/ha/yr)]]="N/A","",Table1[[#This Row],[Loss (kg N, P/ha/yr)]])</f>
        <v>21.8</v>
      </c>
      <c r="G37" s="22">
        <f>IF(Table1[[#This Row],[Retention (kg N, P/ha/yr)]]="N/A","",Table1[[#This Row],[Retention (kg N, P/ha/yr)]])</f>
        <v>260.2</v>
      </c>
      <c r="H37" s="22">
        <f>IF(Table1[[#This Row],[Efficiency (%)]]="N/A","",Table1[[#This Row],[Efficiency (%)]])</f>
        <v>92.269503546099287</v>
      </c>
      <c r="I37" s="22" t="str">
        <f>IF(Table1[[#This Row],[Organic/Mineral Soil]]="N/A","",Table1[[#This Row],[Organic/Mineral Soil]])</f>
        <v>Organic</v>
      </c>
      <c r="J37" s="22" t="str">
        <f>IF(Table1[[#This Row],[Vegetation type]]="N/A","",Table1[[#This Row],[Vegetation type]])</f>
        <v>Herbaceous</v>
      </c>
      <c r="K37" s="22" t="str">
        <f>IF(Table1[[#This Row],[Reference]]="N/A","",Table1[[#This Row],[Reference]])</f>
        <v>Petersen et al., 2020a; Petersen et al., 2020b</v>
      </c>
      <c r="L37" s="22" t="str">
        <f>IF(Table1[[#This Row],[Main source/flow path in]]="N/A","",Table1[[#This Row],[Main source/flow path in]])</f>
        <v>Drain discharge from upland</v>
      </c>
      <c r="M37" s="22" t="str">
        <f>IF(Table1[[#This Row],[Main source/flow path in (simple)]]="N/A","",Table1[[#This Row],[Main source/flow path in (simple)]])</f>
        <v>SWU</v>
      </c>
      <c r="N37" s="22" t="str">
        <f>IF(Table1[[#This Row],[Main flow paths in buffer]]="N/A","",Table1[[#This Row],[Main flow paths in buffer]])</f>
        <v>Infiltration/exfiltration</v>
      </c>
      <c r="O37" s="22" t="str">
        <f>IF(Table1[[#This Row],[Inflow=&gt;Outflow]]="N/A","",Table1[[#This Row],[Inflow=&gt;Outflow]])</f>
        <v>SWU=&gt;SR</v>
      </c>
      <c r="P37" s="22">
        <f>IF(Table1[[#This Row],[Width '[m']]]="N/A","",Table1[[#This Row],[Width '[m']]])</f>
        <v>80</v>
      </c>
      <c r="Q37" s="22">
        <f>IF(Table1[[#This Row],[Area '[m²']]]="N/A","",Table1[[#This Row],[Area '[m²']]])</f>
        <v>4768</v>
      </c>
      <c r="R37" s="22">
        <f>IF(Table1[[#This Row],[Qin '[m³/yr']]]="N/A","",Table1[[#This Row],[Qin '[m³/yr']]])</f>
        <v>2508.4448000000002</v>
      </c>
      <c r="S37" s="22">
        <f>IF(Table1[[#This Row],[Catchment area '[ha']]]="N/A","",Table1[[#This Row],[Catchment area '[ha']]])</f>
        <v>6.9</v>
      </c>
      <c r="T37" s="22">
        <f>IF(Table1[[#This Row],[HLR '[mm']]]="N/A","",Table1[[#This Row],[HLR '[mm']]])</f>
        <v>5261</v>
      </c>
    </row>
    <row r="38" spans="1:20" hidden="1" x14ac:dyDescent="0.3">
      <c r="A38" s="22" t="str">
        <f>IF(Table1[[#This Row],[Country]]="N/A","",Table1[[#This Row],[Country]])</f>
        <v>Denmark</v>
      </c>
      <c r="B38" s="22" t="str">
        <f>IF(Table1[[#This Row],[Study site]]="N/A","",Table1[[#This Row],[Study site]])</f>
        <v>Fensholt T34, DK</v>
      </c>
      <c r="C38" s="22" t="str">
        <f>IF(Table1[[#This Row],[WBZ-type]]="N/A","",Table1[[#This Row],[WBZ-type]])</f>
        <v>Rewetted Fen</v>
      </c>
      <c r="D38" s="22" t="str">
        <f>IF(Table1[[#This Row],[Nutrient]]="N/A","",Table1[[#This Row],[Nutrient]])</f>
        <v>ammonium</v>
      </c>
      <c r="E38" s="22">
        <f>IF(Table1[[#This Row],[Load (kg N, P/ha/yr)]]="N/A","",Table1[[#This Row],[Load (kg N, P/ha/yr)]])</f>
        <v>12</v>
      </c>
      <c r="F38" s="22">
        <f>IF(Table1[[#This Row],[Loss (kg N, P/ha/yr)]]="N/A","",Table1[[#This Row],[Loss (kg N, P/ha/yr)]])</f>
        <v>49.8</v>
      </c>
      <c r="G38" s="22">
        <f>IF(Table1[[#This Row],[Retention (kg N, P/ha/yr)]]="N/A","",Table1[[#This Row],[Retention (kg N, P/ha/yr)]])</f>
        <v>-37.799999999999997</v>
      </c>
      <c r="H38" s="22">
        <f>IF(Table1[[#This Row],[Efficiency (%)]]="N/A","",Table1[[#This Row],[Efficiency (%)]])</f>
        <v>-316</v>
      </c>
      <c r="I38" s="22" t="str">
        <f>IF(Table1[[#This Row],[Organic/Mineral Soil]]="N/A","",Table1[[#This Row],[Organic/Mineral Soil]])</f>
        <v>Organic</v>
      </c>
      <c r="J38" s="22" t="str">
        <f>IF(Table1[[#This Row],[Vegetation type]]="N/A","",Table1[[#This Row],[Vegetation type]])</f>
        <v>Herbaceous</v>
      </c>
      <c r="K38" s="22" t="str">
        <f>IF(Table1[[#This Row],[Reference]]="N/A","",Table1[[#This Row],[Reference]])</f>
        <v>Petersen et al., 2020a; Petersen et al., 2020b</v>
      </c>
      <c r="L38" s="22" t="str">
        <f>IF(Table1[[#This Row],[Main source/flow path in]]="N/A","",Table1[[#This Row],[Main source/flow path in]])</f>
        <v>Drain discharge from upland</v>
      </c>
      <c r="M38" s="22" t="str">
        <f>IF(Table1[[#This Row],[Main source/flow path in (simple)]]="N/A","",Table1[[#This Row],[Main source/flow path in (simple)]])</f>
        <v>SWU</v>
      </c>
      <c r="N38" s="22" t="str">
        <f>IF(Table1[[#This Row],[Main flow paths in buffer]]="N/A","",Table1[[#This Row],[Main flow paths in buffer]])</f>
        <v>Infiltration/exfiltration</v>
      </c>
      <c r="O38" s="22" t="str">
        <f>IF(Table1[[#This Row],[Inflow=&gt;Outflow]]="N/A","",Table1[[#This Row],[Inflow=&gt;Outflow]])</f>
        <v>SWU=&gt;SR</v>
      </c>
      <c r="P38" s="22">
        <f>IF(Table1[[#This Row],[Width '[m']]]="N/A","",Table1[[#This Row],[Width '[m']]])</f>
        <v>80</v>
      </c>
      <c r="Q38" s="22">
        <f>IF(Table1[[#This Row],[Area '[m²']]]="N/A","",Table1[[#This Row],[Area '[m²']]])</f>
        <v>4768</v>
      </c>
      <c r="R38" s="22">
        <f>IF(Table1[[#This Row],[Qin '[m³/yr']]]="N/A","",Table1[[#This Row],[Qin '[m³/yr']]])</f>
        <v>2508.4448000000002</v>
      </c>
      <c r="S38" s="22">
        <f>IF(Table1[[#This Row],[Catchment area '[ha']]]="N/A","",Table1[[#This Row],[Catchment area '[ha']]])</f>
        <v>6.9</v>
      </c>
      <c r="T38" s="22">
        <f>IF(Table1[[#This Row],[HLR '[mm']]]="N/A","",Table1[[#This Row],[HLR '[mm']]])</f>
        <v>5261</v>
      </c>
    </row>
    <row r="39" spans="1:20" hidden="1" x14ac:dyDescent="0.3">
      <c r="A39" s="22" t="str">
        <f>IF(Table1[[#This Row],[Country]]="N/A","",Table1[[#This Row],[Country]])</f>
        <v>Denmark</v>
      </c>
      <c r="B39" s="22" t="str">
        <f>IF(Table1[[#This Row],[Study site]]="N/A","",Table1[[#This Row],[Study site]])</f>
        <v>Fensholt T34, DK</v>
      </c>
      <c r="C39" s="22" t="str">
        <f>IF(Table1[[#This Row],[WBZ-type]]="N/A","",Table1[[#This Row],[WBZ-type]])</f>
        <v>Rewetted Fen</v>
      </c>
      <c r="D39" s="22" t="str">
        <f>IF(Table1[[#This Row],[Nutrient]]="N/A","",Table1[[#This Row],[Nutrient]])</f>
        <v>dissolved organic nitrogen</v>
      </c>
      <c r="E39" s="22">
        <f>IF(Table1[[#This Row],[Load (kg N, P/ha/yr)]]="N/A","",Table1[[#This Row],[Load (kg N, P/ha/yr)]])</f>
        <v>150</v>
      </c>
      <c r="F39" s="22">
        <f>IF(Table1[[#This Row],[Loss (kg N, P/ha/yr)]]="N/A","",Table1[[#This Row],[Loss (kg N, P/ha/yr)]])</f>
        <v>195</v>
      </c>
      <c r="G39" s="22">
        <f>IF(Table1[[#This Row],[Retention (kg N, P/ha/yr)]]="N/A","",Table1[[#This Row],[Retention (kg N, P/ha/yr)]])</f>
        <v>-45</v>
      </c>
      <c r="H39" s="22">
        <f>IF(Table1[[#This Row],[Efficiency (%)]]="N/A","",Table1[[#This Row],[Efficiency (%)]])</f>
        <v>-30</v>
      </c>
      <c r="I39" s="22" t="str">
        <f>IF(Table1[[#This Row],[Organic/Mineral Soil]]="N/A","",Table1[[#This Row],[Organic/Mineral Soil]])</f>
        <v>Organic</v>
      </c>
      <c r="J39" s="22" t="str">
        <f>IF(Table1[[#This Row],[Vegetation type]]="N/A","",Table1[[#This Row],[Vegetation type]])</f>
        <v>Herbaceous</v>
      </c>
      <c r="K39" s="22" t="str">
        <f>IF(Table1[[#This Row],[Reference]]="N/A","",Table1[[#This Row],[Reference]])</f>
        <v>Petersen et al., 2020a; Petersen et al., 2020b</v>
      </c>
      <c r="L39" s="22" t="str">
        <f>IF(Table1[[#This Row],[Main source/flow path in]]="N/A","",Table1[[#This Row],[Main source/flow path in]])</f>
        <v>Drain discharge from upland</v>
      </c>
      <c r="M39" s="22" t="str">
        <f>IF(Table1[[#This Row],[Main source/flow path in (simple)]]="N/A","",Table1[[#This Row],[Main source/flow path in (simple)]])</f>
        <v>SWU</v>
      </c>
      <c r="N39" s="22" t="str">
        <f>IF(Table1[[#This Row],[Main flow paths in buffer]]="N/A","",Table1[[#This Row],[Main flow paths in buffer]])</f>
        <v>Infiltration/exfiltration</v>
      </c>
      <c r="O39" s="22" t="str">
        <f>IF(Table1[[#This Row],[Inflow=&gt;Outflow]]="N/A","",Table1[[#This Row],[Inflow=&gt;Outflow]])</f>
        <v>SWU=&gt;SR</v>
      </c>
      <c r="P39" s="22">
        <f>IF(Table1[[#This Row],[Width '[m']]]="N/A","",Table1[[#This Row],[Width '[m']]])</f>
        <v>80</v>
      </c>
      <c r="Q39" s="22">
        <f>IF(Table1[[#This Row],[Area '[m²']]]="N/A","",Table1[[#This Row],[Area '[m²']]])</f>
        <v>4768</v>
      </c>
      <c r="R39" s="22">
        <f>IF(Table1[[#This Row],[Qin '[m³/yr']]]="N/A","",Table1[[#This Row],[Qin '[m³/yr']]])</f>
        <v>2508.4448000000002</v>
      </c>
      <c r="S39" s="22">
        <f>IF(Table1[[#This Row],[Catchment area '[ha']]]="N/A","",Table1[[#This Row],[Catchment area '[ha']]])</f>
        <v>6.9</v>
      </c>
      <c r="T39" s="22">
        <f>IF(Table1[[#This Row],[HLR '[mm']]]="N/A","",Table1[[#This Row],[HLR '[mm']]])</f>
        <v>5261</v>
      </c>
    </row>
    <row r="40" spans="1:20" hidden="1" x14ac:dyDescent="0.3">
      <c r="A40" s="22" t="str">
        <f>IF(Table1[[#This Row],[Country]]="N/A","",Table1[[#This Row],[Country]])</f>
        <v>Denmark</v>
      </c>
      <c r="B40" s="22" t="str">
        <f>IF(Table1[[#This Row],[Study site]]="N/A","",Table1[[#This Row],[Study site]])</f>
        <v>Gammelby Bæk, DK</v>
      </c>
      <c r="C40" s="22" t="str">
        <f>IF(Table1[[#This Row],[WBZ-type]]="N/A","",Table1[[#This Row],[WBZ-type]])</f>
        <v>Rewetted Fen</v>
      </c>
      <c r="D40" s="22" t="str">
        <f>IF(Table1[[#This Row],[Nutrient]]="N/A","",Table1[[#This Row],[Nutrient]])</f>
        <v>total phosphorus</v>
      </c>
      <c r="E40" s="22">
        <f>IF(Table1[[#This Row],[Load (kg N, P/ha/yr)]]="N/A","",Table1[[#This Row],[Load (kg N, P/ha/yr)]])</f>
        <v>28.82352941176471</v>
      </c>
      <c r="F40" s="22">
        <f>IF(Table1[[#This Row],[Loss (kg N, P/ha/yr)]]="N/A","",Table1[[#This Row],[Loss (kg N, P/ha/yr)]])</f>
        <v>19.023529411764709</v>
      </c>
      <c r="G40" s="22">
        <f>IF(Table1[[#This Row],[Retention (kg N, P/ha/yr)]]="N/A","",Table1[[#This Row],[Retention (kg N, P/ha/yr)]])</f>
        <v>9.8000000000000007</v>
      </c>
      <c r="H40" s="22">
        <f>IF(Table1[[#This Row],[Efficiency (%)]]="N/A","",Table1[[#This Row],[Efficiency (%)]])</f>
        <v>34</v>
      </c>
      <c r="I40" s="22" t="str">
        <f>IF(Table1[[#This Row],[Organic/Mineral Soil]]="N/A","",Table1[[#This Row],[Organic/Mineral Soil]])</f>
        <v>Organic</v>
      </c>
      <c r="J40" s="22" t="str">
        <f>IF(Table1[[#This Row],[Vegetation type]]="N/A","",Table1[[#This Row],[Vegetation type]])</f>
        <v>Aerenchymous</v>
      </c>
      <c r="K40" s="22" t="str">
        <f>IF(Table1[[#This Row],[Reference]]="N/A","",Table1[[#This Row],[Reference]])</f>
        <v>Hoffmann et al., 2009</v>
      </c>
      <c r="L40" s="22" t="str">
        <f>IF(Table1[[#This Row],[Main source/flow path in]]="N/A","",Table1[[#This Row],[Main source/flow path in]])</f>
        <v>River inundation and drain discharge from upland</v>
      </c>
      <c r="M40" s="22" t="str">
        <f>IF(Table1[[#This Row],[Main source/flow path in (simple)]]="N/A","",Table1[[#This Row],[Main source/flow path in (simple)]])</f>
        <v>SWR</v>
      </c>
      <c r="N40" s="22" t="str">
        <f>IF(Table1[[#This Row],[Main flow paths in buffer]]="N/A","",Table1[[#This Row],[Main flow paths in buffer]])</f>
        <v>Direct surface runoff</v>
      </c>
      <c r="O40" s="22" t="str">
        <f>IF(Table1[[#This Row],[Inflow=&gt;Outflow]]="N/A","",Table1[[#This Row],[Inflow=&gt;Outflow]])</f>
        <v>SWR=&gt;SR</v>
      </c>
      <c r="P40" s="22" t="str">
        <f>IF(Table1[[#This Row],[Width '[m']]]="N/A","",Table1[[#This Row],[Width '[m']]])</f>
        <v/>
      </c>
      <c r="Q40" s="22">
        <f>IF(Table1[[#This Row],[Area '[m²']]]="N/A","",Table1[[#This Row],[Area '[m²']]])</f>
        <v>270000</v>
      </c>
      <c r="R40" s="22" t="str">
        <f>IF(Table1[[#This Row],[Qin '[m³/yr']]]="N/A","",Table1[[#This Row],[Qin '[m³/yr']]])</f>
        <v/>
      </c>
      <c r="S40" s="22" t="str">
        <f>IF(Table1[[#This Row],[Catchment area '[ha']]]="N/A","",Table1[[#This Row],[Catchment area '[ha']]])</f>
        <v/>
      </c>
      <c r="T40" s="22" t="str">
        <f>IF(Table1[[#This Row],[HLR '[mm']]]="N/A","",Table1[[#This Row],[HLR '[mm']]])</f>
        <v/>
      </c>
    </row>
    <row r="41" spans="1:20" x14ac:dyDescent="0.3">
      <c r="A41" s="22" t="str">
        <f>IF(Table1[[#This Row],[Country]]="N/A","",Table1[[#This Row],[Country]])</f>
        <v>Denmark</v>
      </c>
      <c r="B41" s="22" t="str">
        <f>IF(Table1[[#This Row],[Study site]]="N/A","",Table1[[#This Row],[Study site]])</f>
        <v>Gammelby Bæk, DK</v>
      </c>
      <c r="C41" s="22" t="str">
        <f>IF(Table1[[#This Row],[WBZ-type]]="N/A","",Table1[[#This Row],[WBZ-type]])</f>
        <v>Rewetted Fen</v>
      </c>
      <c r="D41" s="22" t="str">
        <f>IF(Table1[[#This Row],[Nutrient]]="N/A","",Table1[[#This Row],[Nutrient]])</f>
        <v>total nitrogen</v>
      </c>
      <c r="E41" s="22">
        <f>IF(Table1[[#This Row],[Load (kg N, P/ha/yr)]]="N/A","",Table1[[#This Row],[Load (kg N, P/ha/yr)]])</f>
        <v>0</v>
      </c>
      <c r="F41" s="22">
        <f>IF(Table1[[#This Row],[Loss (kg N, P/ha/yr)]]="N/A","",Table1[[#This Row],[Loss (kg N, P/ha/yr)]])</f>
        <v>0</v>
      </c>
      <c r="G41" s="22">
        <f>IF(Table1[[#This Row],[Retention (kg N, P/ha/yr)]]="N/A","",Table1[[#This Row],[Retention (kg N, P/ha/yr)]])</f>
        <v>83</v>
      </c>
      <c r="H41" s="22">
        <f>IF(Table1[[#This Row],[Efficiency (%)]]="N/A","",Table1[[#This Row],[Efficiency (%)]])</f>
        <v>0</v>
      </c>
      <c r="I41" s="22" t="str">
        <f>IF(Table1[[#This Row],[Organic/Mineral Soil]]="N/A","",Table1[[#This Row],[Organic/Mineral Soil]])</f>
        <v>Organic</v>
      </c>
      <c r="J41" s="22" t="str">
        <f>IF(Table1[[#This Row],[Vegetation type]]="N/A","",Table1[[#This Row],[Vegetation type]])</f>
        <v>Aerenchymous</v>
      </c>
      <c r="K41" s="22" t="str">
        <f>IF(Table1[[#This Row],[Reference]]="N/A","",Table1[[#This Row],[Reference]])</f>
        <v>Jeppesen E., et al., 2011</v>
      </c>
      <c r="L41" s="22" t="str">
        <f>IF(Table1[[#This Row],[Main source/flow path in]]="N/A","",Table1[[#This Row],[Main source/flow path in]])</f>
        <v>River inundation and drain discharge from upland</v>
      </c>
      <c r="M41" s="22" t="str">
        <f>IF(Table1[[#This Row],[Main source/flow path in (simple)]]="N/A","",Table1[[#This Row],[Main source/flow path in (simple)]])</f>
        <v>SWR</v>
      </c>
      <c r="N41" s="22" t="str">
        <f>IF(Table1[[#This Row],[Main flow paths in buffer]]="N/A","",Table1[[#This Row],[Main flow paths in buffer]])</f>
        <v>Direct surface runoff</v>
      </c>
      <c r="O41" s="22" t="str">
        <f>IF(Table1[[#This Row],[Inflow=&gt;Outflow]]="N/A","",Table1[[#This Row],[Inflow=&gt;Outflow]])</f>
        <v>SWR=&gt;SR</v>
      </c>
      <c r="P41" s="22" t="str">
        <f>IF(Table1[[#This Row],[Width '[m']]]="N/A","",Table1[[#This Row],[Width '[m']]])</f>
        <v/>
      </c>
      <c r="Q41" s="22">
        <f>IF(Table1[[#This Row],[Area '[m²']]]="N/A","",Table1[[#This Row],[Area '[m²']]])</f>
        <v>270000</v>
      </c>
      <c r="R41" s="22" t="str">
        <f>IF(Table1[[#This Row],[Qin '[m³/yr']]]="N/A","",Table1[[#This Row],[Qin '[m³/yr']]])</f>
        <v/>
      </c>
      <c r="S41" s="22" t="str">
        <f>IF(Table1[[#This Row],[Catchment area '[ha']]]="N/A","",Table1[[#This Row],[Catchment area '[ha']]])</f>
        <v/>
      </c>
      <c r="T41" s="22" t="str">
        <f>IF(Table1[[#This Row],[HLR '[mm']]]="N/A","",Table1[[#This Row],[HLR '[mm']]])</f>
        <v/>
      </c>
    </row>
    <row r="42" spans="1:20" x14ac:dyDescent="0.3">
      <c r="A42" s="22" t="str">
        <f>IF(Table1[[#This Row],[Country]]="N/A","",Table1[[#This Row],[Country]])</f>
        <v>Denmark</v>
      </c>
      <c r="B42" s="22" t="str">
        <f>IF(Table1[[#This Row],[Study site]]="N/A","",Table1[[#This Row],[Study site]])</f>
        <v>Geddebækken, DK</v>
      </c>
      <c r="C42" s="22" t="str">
        <f>IF(Table1[[#This Row],[WBZ-type]]="N/A","",Table1[[#This Row],[WBZ-type]])</f>
        <v>Rewetted Fen</v>
      </c>
      <c r="D42" s="22" t="str">
        <f>IF(Table1[[#This Row],[Nutrient]]="N/A","",Table1[[#This Row],[Nutrient]])</f>
        <v>total nitrogen</v>
      </c>
      <c r="E42" s="22">
        <f>IF(Table1[[#This Row],[Load (kg N, P/ha/yr)]]="N/A","",Table1[[#This Row],[Load (kg N, P/ha/yr)]])</f>
        <v>230</v>
      </c>
      <c r="F42" s="22">
        <f>IF(Table1[[#This Row],[Loss (kg N, P/ha/yr)]]="N/A","",Table1[[#This Row],[Loss (kg N, P/ha/yr)]])</f>
        <v>140.07</v>
      </c>
      <c r="G42" s="22">
        <f>IF(Table1[[#This Row],[Retention (kg N, P/ha/yr)]]="N/A","",Table1[[#This Row],[Retention (kg N, P/ha/yr)]])</f>
        <v>89.93</v>
      </c>
      <c r="H42" s="22">
        <f>IF(Table1[[#This Row],[Efficiency (%)]]="N/A","",Table1[[#This Row],[Efficiency (%)]])</f>
        <v>39.1</v>
      </c>
      <c r="I42" s="22" t="str">
        <f>IF(Table1[[#This Row],[Organic/Mineral Soil]]="N/A","",Table1[[#This Row],[Organic/Mineral Soil]])</f>
        <v>Organic</v>
      </c>
      <c r="J42" s="22" t="str">
        <f>IF(Table1[[#This Row],[Vegetation type]]="N/A","",Table1[[#This Row],[Vegetation type]])</f>
        <v>Aerenchymous</v>
      </c>
      <c r="K42" s="22" t="str">
        <f>IF(Table1[[#This Row],[Reference]]="N/A","",Table1[[#This Row],[Reference]])</f>
        <v xml:space="preserve">Hoffmann C. &amp; Baattrup-Pedersen A., 2007 </v>
      </c>
      <c r="L42" s="22" t="str">
        <f>IF(Table1[[#This Row],[Main source/flow path in]]="N/A","",Table1[[#This Row],[Main source/flow path in]])</f>
        <v>Drain discharge from upland</v>
      </c>
      <c r="M42" s="22" t="str">
        <f>IF(Table1[[#This Row],[Main source/flow path in (simple)]]="N/A","",Table1[[#This Row],[Main source/flow path in (simple)]])</f>
        <v>SWU</v>
      </c>
      <c r="N42" s="22" t="str">
        <f>IF(Table1[[#This Row],[Main flow paths in buffer]]="N/A","",Table1[[#This Row],[Main flow paths in buffer]])</f>
        <v>Direct surface runoff</v>
      </c>
      <c r="O42" s="22" t="str">
        <f>IF(Table1[[#This Row],[Inflow=&gt;Outflow]]="N/A","",Table1[[#This Row],[Inflow=&gt;Outflow]])</f>
        <v>SWU=&gt;SR</v>
      </c>
      <c r="P42" s="22" t="str">
        <f>IF(Table1[[#This Row],[Width '[m']]]="N/A","",Table1[[#This Row],[Width '[m']]])</f>
        <v/>
      </c>
      <c r="Q42" s="22">
        <f>IF(Table1[[#This Row],[Area '[m²']]]="N/A","",Table1[[#This Row],[Area '[m²']]])</f>
        <v>390000</v>
      </c>
      <c r="R42" s="22" t="str">
        <f>IF(Table1[[#This Row],[Qin '[m³/yr']]]="N/A","",Table1[[#This Row],[Qin '[m³/yr']]])</f>
        <v/>
      </c>
      <c r="S42" s="22">
        <f>IF(Table1[[#This Row],[Catchment area '[ha']]]="N/A","",Table1[[#This Row],[Catchment area '[ha']]])</f>
        <v>284</v>
      </c>
      <c r="T42" s="22" t="str">
        <f>IF(Table1[[#This Row],[HLR '[mm']]]="N/A","",Table1[[#This Row],[HLR '[mm']]])</f>
        <v/>
      </c>
    </row>
    <row r="43" spans="1:20" x14ac:dyDescent="0.3">
      <c r="A43" s="22" t="str">
        <f>IF(Table1[[#This Row],[Country]]="N/A","",Table1[[#This Row],[Country]])</f>
        <v>Denmark</v>
      </c>
      <c r="B43" s="22" t="str">
        <f>IF(Table1[[#This Row],[Study site]]="N/A","",Table1[[#This Row],[Study site]])</f>
        <v>Geddebækken, DK</v>
      </c>
      <c r="C43" s="22" t="str">
        <f>IF(Table1[[#This Row],[WBZ-type]]="N/A","",Table1[[#This Row],[WBZ-type]])</f>
        <v>Rewetted Fen</v>
      </c>
      <c r="D43" s="22" t="str">
        <f>IF(Table1[[#This Row],[Nutrient]]="N/A","",Table1[[#This Row],[Nutrient]])</f>
        <v>total nitrogen</v>
      </c>
      <c r="E43" s="22">
        <f>IF(Table1[[#This Row],[Load (kg N, P/ha/yr)]]="N/A","",Table1[[#This Row],[Load (kg N, P/ha/yr)]])</f>
        <v>2210</v>
      </c>
      <c r="F43" s="22">
        <f>IF(Table1[[#This Row],[Loss (kg N, P/ha/yr)]]="N/A","",Table1[[#This Row],[Loss (kg N, P/ha/yr)]])</f>
        <v>2165.8000000000002</v>
      </c>
      <c r="G43" s="22">
        <f>IF(Table1[[#This Row],[Retention (kg N, P/ha/yr)]]="N/A","",Table1[[#This Row],[Retention (kg N, P/ha/yr)]])</f>
        <v>44.2</v>
      </c>
      <c r="H43" s="22">
        <f>IF(Table1[[#This Row],[Efficiency (%)]]="N/A","",Table1[[#This Row],[Efficiency (%)]])</f>
        <v>2</v>
      </c>
      <c r="I43" s="22" t="str">
        <f>IF(Table1[[#This Row],[Organic/Mineral Soil]]="N/A","",Table1[[#This Row],[Organic/Mineral Soil]])</f>
        <v>Organic</v>
      </c>
      <c r="J43" s="22" t="str">
        <f>IF(Table1[[#This Row],[Vegetation type]]="N/A","",Table1[[#This Row],[Vegetation type]])</f>
        <v>Aerenchymous</v>
      </c>
      <c r="K43" s="22" t="str">
        <f>IF(Table1[[#This Row],[Reference]]="N/A","",Table1[[#This Row],[Reference]])</f>
        <v>Audet J., et al., 2019</v>
      </c>
      <c r="L43" s="22" t="str">
        <f>IF(Table1[[#This Row],[Main source/flow path in]]="N/A","",Table1[[#This Row],[Main source/flow path in]])</f>
        <v>Stream water</v>
      </c>
      <c r="M43" s="22" t="str">
        <f>IF(Table1[[#This Row],[Main source/flow path in (simple)]]="N/A","",Table1[[#This Row],[Main source/flow path in (simple)]])</f>
        <v>SWR</v>
      </c>
      <c r="N43" s="22" t="str">
        <f>IF(Table1[[#This Row],[Main flow paths in buffer]]="N/A","",Table1[[#This Row],[Main flow paths in buffer]])</f>
        <v>Direct surface runoff</v>
      </c>
      <c r="O43" s="22" t="str">
        <f>IF(Table1[[#This Row],[Inflow=&gt;Outflow]]="N/A","",Table1[[#This Row],[Inflow=&gt;Outflow]])</f>
        <v>SWR=&gt;SR</v>
      </c>
      <c r="P43" s="22">
        <f>IF(Table1[[#This Row],[Width '[m']]]="N/A","",Table1[[#This Row],[Width '[m']]])</f>
        <v>0</v>
      </c>
      <c r="Q43" s="22">
        <f>IF(Table1[[#This Row],[Area '[m²']]]="N/A","",Table1[[#This Row],[Area '[m²']]])</f>
        <v>200000</v>
      </c>
      <c r="R43" s="22">
        <f>IF(Table1[[#This Row],[Qin '[m³/yr']]]="N/A","",Table1[[#This Row],[Qin '[m³/yr']]])</f>
        <v>4925000</v>
      </c>
      <c r="S43" s="22">
        <f>IF(Table1[[#This Row],[Catchment area '[ha']]]="N/A","",Table1[[#This Row],[Catchment area '[ha']]])</f>
        <v>229</v>
      </c>
      <c r="T43" s="22">
        <f>IF(Table1[[#This Row],[HLR '[mm']]]="N/A","",Table1[[#This Row],[HLR '[mm']]])</f>
        <v>24625</v>
      </c>
    </row>
    <row r="44" spans="1:20" hidden="1" x14ac:dyDescent="0.3">
      <c r="A44" s="22" t="str">
        <f>IF(Table1[[#This Row],[Country]]="N/A","",Table1[[#This Row],[Country]])</f>
        <v>Denmark</v>
      </c>
      <c r="B44" s="22" t="str">
        <f>IF(Table1[[#This Row],[Study site]]="N/A","",Table1[[#This Row],[Study site]])</f>
        <v>Geddebækken, DK</v>
      </c>
      <c r="C44" s="22" t="str">
        <f>IF(Table1[[#This Row],[WBZ-type]]="N/A","",Table1[[#This Row],[WBZ-type]])</f>
        <v>Rewetted Fen</v>
      </c>
      <c r="D44" s="22" t="str">
        <f>IF(Table1[[#This Row],[Nutrient]]="N/A","",Table1[[#This Row],[Nutrient]])</f>
        <v>total phosphorus</v>
      </c>
      <c r="E44" s="22">
        <f>IF(Table1[[#This Row],[Load (kg N, P/ha/yr)]]="N/A","",Table1[[#This Row],[Load (kg N, P/ha/yr)]])</f>
        <v>23.1</v>
      </c>
      <c r="F44" s="22">
        <f>IF(Table1[[#This Row],[Loss (kg N, P/ha/yr)]]="N/A","",Table1[[#This Row],[Loss (kg N, P/ha/yr)]])</f>
        <v>25.872</v>
      </c>
      <c r="G44" s="22">
        <f>IF(Table1[[#This Row],[Retention (kg N, P/ha/yr)]]="N/A","",Table1[[#This Row],[Retention (kg N, P/ha/yr)]])</f>
        <v>-2.7720000000000002</v>
      </c>
      <c r="H44" s="22">
        <f>IF(Table1[[#This Row],[Efficiency (%)]]="N/A","",Table1[[#This Row],[Efficiency (%)]])</f>
        <v>-12</v>
      </c>
      <c r="I44" s="22" t="str">
        <f>IF(Table1[[#This Row],[Organic/Mineral Soil]]="N/A","",Table1[[#This Row],[Organic/Mineral Soil]])</f>
        <v>Organic</v>
      </c>
      <c r="J44" s="22" t="str">
        <f>IF(Table1[[#This Row],[Vegetation type]]="N/A","",Table1[[#This Row],[Vegetation type]])</f>
        <v>Aerenchymous</v>
      </c>
      <c r="K44" s="22" t="str">
        <f>IF(Table1[[#This Row],[Reference]]="N/A","",Table1[[#This Row],[Reference]])</f>
        <v>Audet J., et al., 2019</v>
      </c>
      <c r="L44" s="22" t="str">
        <f>IF(Table1[[#This Row],[Main source/flow path in]]="N/A","",Table1[[#This Row],[Main source/flow path in]])</f>
        <v>Stream water</v>
      </c>
      <c r="M44" s="22" t="str">
        <f>IF(Table1[[#This Row],[Main source/flow path in (simple)]]="N/A","",Table1[[#This Row],[Main source/flow path in (simple)]])</f>
        <v>SWR</v>
      </c>
      <c r="N44" s="22" t="str">
        <f>IF(Table1[[#This Row],[Main flow paths in buffer]]="N/A","",Table1[[#This Row],[Main flow paths in buffer]])</f>
        <v>Direct surface runoff</v>
      </c>
      <c r="O44" s="22" t="str">
        <f>IF(Table1[[#This Row],[Inflow=&gt;Outflow]]="N/A","",Table1[[#This Row],[Inflow=&gt;Outflow]])</f>
        <v>SWR=&gt;SR</v>
      </c>
      <c r="P44" s="22">
        <f>IF(Table1[[#This Row],[Width '[m']]]="N/A","",Table1[[#This Row],[Width '[m']]])</f>
        <v>0</v>
      </c>
      <c r="Q44" s="22">
        <f>IF(Table1[[#This Row],[Area '[m²']]]="N/A","",Table1[[#This Row],[Area '[m²']]])</f>
        <v>200000</v>
      </c>
      <c r="R44" s="22">
        <f>IF(Table1[[#This Row],[Qin '[m³/yr']]]="N/A","",Table1[[#This Row],[Qin '[m³/yr']]])</f>
        <v>4925000</v>
      </c>
      <c r="S44" s="22">
        <f>IF(Table1[[#This Row],[Catchment area '[ha']]]="N/A","",Table1[[#This Row],[Catchment area '[ha']]])</f>
        <v>229</v>
      </c>
      <c r="T44" s="22">
        <f>IF(Table1[[#This Row],[HLR '[mm']]]="N/A","",Table1[[#This Row],[HLR '[mm']]])</f>
        <v>24625</v>
      </c>
    </row>
    <row r="45" spans="1:20" hidden="1" x14ac:dyDescent="0.3">
      <c r="A45" s="22" t="str">
        <f>IF(Table1[[#This Row],[Country]]="N/A","",Table1[[#This Row],[Country]])</f>
        <v>Denmark</v>
      </c>
      <c r="B45" s="22" t="str">
        <f>IF(Table1[[#This Row],[Study site]]="N/A","",Table1[[#This Row],[Study site]])</f>
        <v>Geddebækken, DK</v>
      </c>
      <c r="C45" s="22" t="str">
        <f>IF(Table1[[#This Row],[WBZ-type]]="N/A","",Table1[[#This Row],[WBZ-type]])</f>
        <v>Rewetted Fen</v>
      </c>
      <c r="D45" s="22" t="str">
        <f>IF(Table1[[#This Row],[Nutrient]]="N/A","",Table1[[#This Row],[Nutrient]])</f>
        <v>nitrate</v>
      </c>
      <c r="E45" s="22">
        <f>IF(Table1[[#This Row],[Load (kg N, P/ha/yr)]]="N/A","",Table1[[#This Row],[Load (kg N, P/ha/yr)]])</f>
        <v>2000</v>
      </c>
      <c r="F45" s="22">
        <f>IF(Table1[[#This Row],[Loss (kg N, P/ha/yr)]]="N/A","",Table1[[#This Row],[Loss (kg N, P/ha/yr)]])</f>
        <v>0</v>
      </c>
      <c r="G45" s="22">
        <f>IF(Table1[[#This Row],[Retention (kg N, P/ha/yr)]]="N/A","",Table1[[#This Row],[Retention (kg N, P/ha/yr)]])</f>
        <v>56</v>
      </c>
      <c r="H45" s="22">
        <f>IF(Table1[[#This Row],[Efficiency (%)]]="N/A","",Table1[[#This Row],[Efficiency (%)]])</f>
        <v>2.8000000000000003</v>
      </c>
      <c r="I45" s="22" t="str">
        <f>IF(Table1[[#This Row],[Organic/Mineral Soil]]="N/A","",Table1[[#This Row],[Organic/Mineral Soil]])</f>
        <v>Organic</v>
      </c>
      <c r="J45" s="22" t="str">
        <f>IF(Table1[[#This Row],[Vegetation type]]="N/A","",Table1[[#This Row],[Vegetation type]])</f>
        <v>Aerenchymous</v>
      </c>
      <c r="K45" s="22" t="str">
        <f>IF(Table1[[#This Row],[Reference]]="N/A","",Table1[[#This Row],[Reference]])</f>
        <v>Audet J., et al., 2019</v>
      </c>
      <c r="L45" s="22" t="str">
        <f>IF(Table1[[#This Row],[Main source/flow path in]]="N/A","",Table1[[#This Row],[Main source/flow path in]])</f>
        <v>Stream water</v>
      </c>
      <c r="M45" s="22" t="str">
        <f>IF(Table1[[#This Row],[Main source/flow path in (simple)]]="N/A","",Table1[[#This Row],[Main source/flow path in (simple)]])</f>
        <v>SWR</v>
      </c>
      <c r="N45" s="22" t="str">
        <f>IF(Table1[[#This Row],[Main flow paths in buffer]]="N/A","",Table1[[#This Row],[Main flow paths in buffer]])</f>
        <v>Direct surface runoff</v>
      </c>
      <c r="O45" s="22" t="str">
        <f>IF(Table1[[#This Row],[Inflow=&gt;Outflow]]="N/A","",Table1[[#This Row],[Inflow=&gt;Outflow]])</f>
        <v>SWR=&gt;SR</v>
      </c>
      <c r="P45" s="22">
        <f>IF(Table1[[#This Row],[Width '[m']]]="N/A","",Table1[[#This Row],[Width '[m']]])</f>
        <v>0</v>
      </c>
      <c r="Q45" s="22">
        <f>IF(Table1[[#This Row],[Area '[m²']]]="N/A","",Table1[[#This Row],[Area '[m²']]])</f>
        <v>200000</v>
      </c>
      <c r="R45" s="22">
        <f>IF(Table1[[#This Row],[Qin '[m³/yr']]]="N/A","",Table1[[#This Row],[Qin '[m³/yr']]])</f>
        <v>4925000</v>
      </c>
      <c r="S45" s="22">
        <f>IF(Table1[[#This Row],[Catchment area '[ha']]]="N/A","",Table1[[#This Row],[Catchment area '[ha']]])</f>
        <v>229</v>
      </c>
      <c r="T45" s="22">
        <f>IF(Table1[[#This Row],[HLR '[mm']]]="N/A","",Table1[[#This Row],[HLR '[mm']]])</f>
        <v>24625</v>
      </c>
    </row>
    <row r="46" spans="1:20" hidden="1" x14ac:dyDescent="0.3">
      <c r="A46" s="22" t="str">
        <f>IF(Table1[[#This Row],[Country]]="N/A","",Table1[[#This Row],[Country]])</f>
        <v>Denmark</v>
      </c>
      <c r="B46" s="22" t="str">
        <f>IF(Table1[[#This Row],[Study site]]="N/A","",Table1[[#This Row],[Study site]])</f>
        <v>Geddebækken, DK</v>
      </c>
      <c r="C46" s="22" t="str">
        <f>IF(Table1[[#This Row],[WBZ-type]]="N/A","",Table1[[#This Row],[WBZ-type]])</f>
        <v>Rewetted Fen</v>
      </c>
      <c r="D46" s="22" t="str">
        <f>IF(Table1[[#This Row],[Nutrient]]="N/A","",Table1[[#This Row],[Nutrient]])</f>
        <v>SRP</v>
      </c>
      <c r="E46" s="22">
        <f>IF(Table1[[#This Row],[Load (kg N, P/ha/yr)]]="N/A","",Table1[[#This Row],[Load (kg N, P/ha/yr)]])</f>
        <v>10.747028862478778</v>
      </c>
      <c r="F46" s="22">
        <f>IF(Table1[[#This Row],[Loss (kg N, P/ha/yr)]]="N/A","",Table1[[#This Row],[Loss (kg N, P/ha/yr)]])</f>
        <v>0</v>
      </c>
      <c r="G46" s="22">
        <f>IF(Table1[[#This Row],[Retention (kg N, P/ha/yr)]]="N/A","",Table1[[#This Row],[Retention (kg N, P/ha/yr)]])</f>
        <v>6.33</v>
      </c>
      <c r="H46" s="22">
        <f>IF(Table1[[#This Row],[Efficiency (%)]]="N/A","",Table1[[#This Row],[Efficiency (%)]])</f>
        <v>58.9</v>
      </c>
      <c r="I46" s="22" t="str">
        <f>IF(Table1[[#This Row],[Organic/Mineral Soil]]="N/A","",Table1[[#This Row],[Organic/Mineral Soil]])</f>
        <v>Organic</v>
      </c>
      <c r="J46" s="22" t="str">
        <f>IF(Table1[[#This Row],[Vegetation type]]="N/A","",Table1[[#This Row],[Vegetation type]])</f>
        <v>Aerenchymous</v>
      </c>
      <c r="K46" s="22" t="str">
        <f>IF(Table1[[#This Row],[Reference]]="N/A","",Table1[[#This Row],[Reference]])</f>
        <v>Audet J., et al., 2019</v>
      </c>
      <c r="L46" s="22" t="str">
        <f>IF(Table1[[#This Row],[Main source/flow path in]]="N/A","",Table1[[#This Row],[Main source/flow path in]])</f>
        <v>Stream water</v>
      </c>
      <c r="M46" s="22" t="str">
        <f>IF(Table1[[#This Row],[Main source/flow path in (simple)]]="N/A","",Table1[[#This Row],[Main source/flow path in (simple)]])</f>
        <v>SWR</v>
      </c>
      <c r="N46" s="22" t="str">
        <f>IF(Table1[[#This Row],[Main flow paths in buffer]]="N/A","",Table1[[#This Row],[Main flow paths in buffer]])</f>
        <v>Direct surface runoff</v>
      </c>
      <c r="O46" s="22" t="str">
        <f>IF(Table1[[#This Row],[Inflow=&gt;Outflow]]="N/A","",Table1[[#This Row],[Inflow=&gt;Outflow]])</f>
        <v>SWR=&gt;SR</v>
      </c>
      <c r="P46" s="22">
        <f>IF(Table1[[#This Row],[Width '[m']]]="N/A","",Table1[[#This Row],[Width '[m']]])</f>
        <v>0</v>
      </c>
      <c r="Q46" s="22">
        <f>IF(Table1[[#This Row],[Area '[m²']]]="N/A","",Table1[[#This Row],[Area '[m²']]])</f>
        <v>200000</v>
      </c>
      <c r="R46" s="22">
        <f>IF(Table1[[#This Row],[Qin '[m³/yr']]]="N/A","",Table1[[#This Row],[Qin '[m³/yr']]])</f>
        <v>4925000</v>
      </c>
      <c r="S46" s="22">
        <f>IF(Table1[[#This Row],[Catchment area '[ha']]]="N/A","",Table1[[#This Row],[Catchment area '[ha']]])</f>
        <v>229</v>
      </c>
      <c r="T46" s="22">
        <f>IF(Table1[[#This Row],[HLR '[mm']]]="N/A","",Table1[[#This Row],[HLR '[mm']]])</f>
        <v>24625</v>
      </c>
    </row>
    <row r="47" spans="1:20" x14ac:dyDescent="0.3">
      <c r="A47" s="22" t="str">
        <f>IF(Table1[[#This Row],[Country]]="N/A","",Table1[[#This Row],[Country]])</f>
        <v>Denmark</v>
      </c>
      <c r="B47" s="22" t="str">
        <f>IF(Table1[[#This Row],[Study site]]="N/A","",Table1[[#This Row],[Study site]])</f>
        <v>Grøngrøft, DK</v>
      </c>
      <c r="C47" s="22" t="str">
        <f>IF(Table1[[#This Row],[WBZ-type]]="N/A","",Table1[[#This Row],[WBZ-type]])</f>
        <v>Rewetted Fen</v>
      </c>
      <c r="D47" s="22" t="str">
        <f>IF(Table1[[#This Row],[Nutrient]]="N/A","",Table1[[#This Row],[Nutrient]])</f>
        <v>total nitrogen</v>
      </c>
      <c r="E47" s="22">
        <f>IF(Table1[[#This Row],[Load (kg N, P/ha/yr)]]="N/A","",Table1[[#This Row],[Load (kg N, P/ha/yr)]])</f>
        <v>243.7</v>
      </c>
      <c r="F47" s="22">
        <f>IF(Table1[[#This Row],[Loss (kg N, P/ha/yr)]]="N/A","",Table1[[#This Row],[Loss (kg N, P/ha/yr)]])</f>
        <v>146.21999999999997</v>
      </c>
      <c r="G47" s="22">
        <f>IF(Table1[[#This Row],[Retention (kg N, P/ha/yr)]]="N/A","",Table1[[#This Row],[Retention (kg N, P/ha/yr)]])</f>
        <v>97.48</v>
      </c>
      <c r="H47" s="22">
        <f>IF(Table1[[#This Row],[Efficiency (%)]]="N/A","",Table1[[#This Row],[Efficiency (%)]])</f>
        <v>40</v>
      </c>
      <c r="I47" s="22" t="str">
        <f>IF(Table1[[#This Row],[Organic/Mineral Soil]]="N/A","",Table1[[#This Row],[Organic/Mineral Soil]])</f>
        <v>Organic</v>
      </c>
      <c r="J47" s="22" t="str">
        <f>IF(Table1[[#This Row],[Vegetation type]]="N/A","",Table1[[#This Row],[Vegetation type]])</f>
        <v>Aerenchymous</v>
      </c>
      <c r="K47" s="22" t="str">
        <f>IF(Table1[[#This Row],[Reference]]="N/A","",Table1[[#This Row],[Reference]])</f>
        <v>Audet J., et al., 2019</v>
      </c>
      <c r="L47" s="22" t="str">
        <f>IF(Table1[[#This Row],[Main source/flow path in]]="N/A","",Table1[[#This Row],[Main source/flow path in]])</f>
        <v>Stream water</v>
      </c>
      <c r="M47" s="22" t="str">
        <f>IF(Table1[[#This Row],[Main source/flow path in (simple)]]="N/A","",Table1[[#This Row],[Main source/flow path in (simple)]])</f>
        <v>SWR</v>
      </c>
      <c r="N47" s="22" t="str">
        <f>IF(Table1[[#This Row],[Main flow paths in buffer]]="N/A","",Table1[[#This Row],[Main flow paths in buffer]])</f>
        <v>Direct surface runoff</v>
      </c>
      <c r="O47" s="22" t="str">
        <f>IF(Table1[[#This Row],[Inflow=&gt;Outflow]]="N/A","",Table1[[#This Row],[Inflow=&gt;Outflow]])</f>
        <v>SWR=&gt;SR</v>
      </c>
      <c r="P47" s="22">
        <f>IF(Table1[[#This Row],[Width '[m']]]="N/A","",Table1[[#This Row],[Width '[m']]])</f>
        <v>0</v>
      </c>
      <c r="Q47" s="22">
        <f>IF(Table1[[#This Row],[Area '[m²']]]="N/A","",Table1[[#This Row],[Area '[m²']]])</f>
        <v>254000</v>
      </c>
      <c r="R47" s="22">
        <f>IF(Table1[[#This Row],[Qin '[m³/yr']]]="N/A","",Table1[[#This Row],[Qin '[m³/yr']]])</f>
        <v>1404620</v>
      </c>
      <c r="S47" s="22">
        <f>IF(Table1[[#This Row],[Catchment area '[ha']]]="N/A","",Table1[[#This Row],[Catchment area '[ha']]])</f>
        <v>245</v>
      </c>
      <c r="T47" s="22">
        <f>IF(Table1[[#This Row],[HLR '[mm']]]="N/A","",Table1[[#This Row],[HLR '[mm']]])</f>
        <v>5530</v>
      </c>
    </row>
    <row r="48" spans="1:20" hidden="1" x14ac:dyDescent="0.3">
      <c r="A48" s="22" t="str">
        <f>IF(Table1[[#This Row],[Country]]="N/A","",Table1[[#This Row],[Country]])</f>
        <v>Denmark</v>
      </c>
      <c r="B48" s="22" t="str">
        <f>IF(Table1[[#This Row],[Study site]]="N/A","",Table1[[#This Row],[Study site]])</f>
        <v>Grøngrøft, DK</v>
      </c>
      <c r="C48" s="22" t="str">
        <f>IF(Table1[[#This Row],[WBZ-type]]="N/A","",Table1[[#This Row],[WBZ-type]])</f>
        <v>Rewetted Fen</v>
      </c>
      <c r="D48" s="22" t="str">
        <f>IF(Table1[[#This Row],[Nutrient]]="N/A","",Table1[[#This Row],[Nutrient]])</f>
        <v>total phosphorus</v>
      </c>
      <c r="E48" s="22">
        <f>IF(Table1[[#This Row],[Load (kg N, P/ha/yr)]]="N/A","",Table1[[#This Row],[Load (kg N, P/ha/yr)]])</f>
        <v>13.2</v>
      </c>
      <c r="F48" s="22">
        <f>IF(Table1[[#This Row],[Loss (kg N, P/ha/yr)]]="N/A","",Table1[[#This Row],[Loss (kg N, P/ha/yr)]])</f>
        <v>13.2</v>
      </c>
      <c r="G48" s="22">
        <f>IF(Table1[[#This Row],[Retention (kg N, P/ha/yr)]]="N/A","",Table1[[#This Row],[Retention (kg N, P/ha/yr)]])</f>
        <v>0</v>
      </c>
      <c r="H48" s="22">
        <f>IF(Table1[[#This Row],[Efficiency (%)]]="N/A","",Table1[[#This Row],[Efficiency (%)]])</f>
        <v>0</v>
      </c>
      <c r="I48" s="22" t="str">
        <f>IF(Table1[[#This Row],[Organic/Mineral Soil]]="N/A","",Table1[[#This Row],[Organic/Mineral Soil]])</f>
        <v>Organic</v>
      </c>
      <c r="J48" s="22" t="str">
        <f>IF(Table1[[#This Row],[Vegetation type]]="N/A","",Table1[[#This Row],[Vegetation type]])</f>
        <v>Aerenchymous</v>
      </c>
      <c r="K48" s="22" t="str">
        <f>IF(Table1[[#This Row],[Reference]]="N/A","",Table1[[#This Row],[Reference]])</f>
        <v>Audet J., et al., 2019</v>
      </c>
      <c r="L48" s="22" t="str">
        <f>IF(Table1[[#This Row],[Main source/flow path in]]="N/A","",Table1[[#This Row],[Main source/flow path in]])</f>
        <v>Stream water</v>
      </c>
      <c r="M48" s="22" t="str">
        <f>IF(Table1[[#This Row],[Main source/flow path in (simple)]]="N/A","",Table1[[#This Row],[Main source/flow path in (simple)]])</f>
        <v>SWR</v>
      </c>
      <c r="N48" s="22" t="str">
        <f>IF(Table1[[#This Row],[Main flow paths in buffer]]="N/A","",Table1[[#This Row],[Main flow paths in buffer]])</f>
        <v>Direct surface runoff</v>
      </c>
      <c r="O48" s="22" t="str">
        <f>IF(Table1[[#This Row],[Inflow=&gt;Outflow]]="N/A","",Table1[[#This Row],[Inflow=&gt;Outflow]])</f>
        <v>SWR=&gt;SR</v>
      </c>
      <c r="P48" s="22">
        <f>IF(Table1[[#This Row],[Width '[m']]]="N/A","",Table1[[#This Row],[Width '[m']]])</f>
        <v>0</v>
      </c>
      <c r="Q48" s="22">
        <f>IF(Table1[[#This Row],[Area '[m²']]]="N/A","",Table1[[#This Row],[Area '[m²']]])</f>
        <v>254000</v>
      </c>
      <c r="R48" s="22">
        <f>IF(Table1[[#This Row],[Qin '[m³/yr']]]="N/A","",Table1[[#This Row],[Qin '[m³/yr']]])</f>
        <v>1404620</v>
      </c>
      <c r="S48" s="22">
        <f>IF(Table1[[#This Row],[Catchment area '[ha']]]="N/A","",Table1[[#This Row],[Catchment area '[ha']]])</f>
        <v>245</v>
      </c>
      <c r="T48" s="22">
        <f>IF(Table1[[#This Row],[HLR '[mm']]]="N/A","",Table1[[#This Row],[HLR '[mm']]])</f>
        <v>5530</v>
      </c>
    </row>
    <row r="49" spans="1:20" hidden="1" x14ac:dyDescent="0.3">
      <c r="A49" s="22" t="str">
        <f>IF(Table1[[#This Row],[Country]]="N/A","",Table1[[#This Row],[Country]])</f>
        <v>Denmark</v>
      </c>
      <c r="B49" s="22" t="str">
        <f>IF(Table1[[#This Row],[Study site]]="N/A","",Table1[[#This Row],[Study site]])</f>
        <v>Grøngrøft, DK</v>
      </c>
      <c r="C49" s="22" t="str">
        <f>IF(Table1[[#This Row],[WBZ-type]]="N/A","",Table1[[#This Row],[WBZ-type]])</f>
        <v>Rewetted Fen</v>
      </c>
      <c r="D49" s="22" t="str">
        <f>IF(Table1[[#This Row],[Nutrient]]="N/A","",Table1[[#This Row],[Nutrient]])</f>
        <v>nitrate</v>
      </c>
      <c r="E49" s="22">
        <f>IF(Table1[[#This Row],[Load (kg N, P/ha/yr)]]="N/A","",Table1[[#This Row],[Load (kg N, P/ha/yr)]])</f>
        <v>178.64702076872402</v>
      </c>
      <c r="F49" s="22">
        <f>IF(Table1[[#This Row],[Loss (kg N, P/ha/yr)]]="N/A","",Table1[[#This Row],[Loss (kg N, P/ha/yr)]])</f>
        <v>0</v>
      </c>
      <c r="G49" s="22">
        <f>IF(Table1[[#This Row],[Retention (kg N, P/ha/yr)]]="N/A","",Table1[[#This Row],[Retention (kg N, P/ha/yr)]])</f>
        <v>87.521429999999995</v>
      </c>
      <c r="H49" s="22">
        <f>IF(Table1[[#This Row],[Efficiency (%)]]="N/A","",Table1[[#This Row],[Efficiency (%)]])</f>
        <v>48.991261999999999</v>
      </c>
      <c r="I49" s="22" t="str">
        <f>IF(Table1[[#This Row],[Organic/Mineral Soil]]="N/A","",Table1[[#This Row],[Organic/Mineral Soil]])</f>
        <v>Organic</v>
      </c>
      <c r="J49" s="22" t="str">
        <f>IF(Table1[[#This Row],[Vegetation type]]="N/A","",Table1[[#This Row],[Vegetation type]])</f>
        <v>Aerenchymous</v>
      </c>
      <c r="K49" s="22" t="str">
        <f>IF(Table1[[#This Row],[Reference]]="N/A","",Table1[[#This Row],[Reference]])</f>
        <v>Audet J., et al., 2019</v>
      </c>
      <c r="L49" s="22" t="str">
        <f>IF(Table1[[#This Row],[Main source/flow path in]]="N/A","",Table1[[#This Row],[Main source/flow path in]])</f>
        <v>Stream water</v>
      </c>
      <c r="M49" s="22" t="str">
        <f>IF(Table1[[#This Row],[Main source/flow path in (simple)]]="N/A","",Table1[[#This Row],[Main source/flow path in (simple)]])</f>
        <v>SWR</v>
      </c>
      <c r="N49" s="22" t="str">
        <f>IF(Table1[[#This Row],[Main flow paths in buffer]]="N/A","",Table1[[#This Row],[Main flow paths in buffer]])</f>
        <v>Direct surface runoff</v>
      </c>
      <c r="O49" s="22" t="str">
        <f>IF(Table1[[#This Row],[Inflow=&gt;Outflow]]="N/A","",Table1[[#This Row],[Inflow=&gt;Outflow]])</f>
        <v>SWR=&gt;SR</v>
      </c>
      <c r="P49" s="22">
        <f>IF(Table1[[#This Row],[Width '[m']]]="N/A","",Table1[[#This Row],[Width '[m']]])</f>
        <v>0</v>
      </c>
      <c r="Q49" s="22">
        <f>IF(Table1[[#This Row],[Area '[m²']]]="N/A","",Table1[[#This Row],[Area '[m²']]])</f>
        <v>254000</v>
      </c>
      <c r="R49" s="22">
        <f>IF(Table1[[#This Row],[Qin '[m³/yr']]]="N/A","",Table1[[#This Row],[Qin '[m³/yr']]])</f>
        <v>1404620</v>
      </c>
      <c r="S49" s="22">
        <f>IF(Table1[[#This Row],[Catchment area '[ha']]]="N/A","",Table1[[#This Row],[Catchment area '[ha']]])</f>
        <v>245</v>
      </c>
      <c r="T49" s="22">
        <f>IF(Table1[[#This Row],[HLR '[mm']]]="N/A","",Table1[[#This Row],[HLR '[mm']]])</f>
        <v>5530</v>
      </c>
    </row>
    <row r="50" spans="1:20" hidden="1" x14ac:dyDescent="0.3">
      <c r="A50" s="22" t="str">
        <f>IF(Table1[[#This Row],[Country]]="N/A","",Table1[[#This Row],[Country]])</f>
        <v>Denmark</v>
      </c>
      <c r="B50" s="22" t="str">
        <f>IF(Table1[[#This Row],[Study site]]="N/A","",Table1[[#This Row],[Study site]])</f>
        <v>Grøngrøft, DK</v>
      </c>
      <c r="C50" s="22" t="str">
        <f>IF(Table1[[#This Row],[WBZ-type]]="N/A","",Table1[[#This Row],[WBZ-type]])</f>
        <v>Rewetted Fen</v>
      </c>
      <c r="D50" s="22" t="str">
        <f>IF(Table1[[#This Row],[Nutrient]]="N/A","",Table1[[#This Row],[Nutrient]])</f>
        <v>SRP</v>
      </c>
      <c r="E50" s="22">
        <f>IF(Table1[[#This Row],[Load (kg N, P/ha/yr)]]="N/A","",Table1[[#This Row],[Load (kg N, P/ha/yr)]])</f>
        <v>6.6613441069859913</v>
      </c>
      <c r="F50" s="22">
        <f>IF(Table1[[#This Row],[Loss (kg N, P/ha/yr)]]="N/A","",Table1[[#This Row],[Loss (kg N, P/ha/yr)]])</f>
        <v>0</v>
      </c>
      <c r="G50" s="22">
        <f>IF(Table1[[#This Row],[Retention (kg N, P/ha/yr)]]="N/A","",Table1[[#This Row],[Retention (kg N, P/ha/yr)]])</f>
        <v>-1.0745221</v>
      </c>
      <c r="H50" s="22">
        <f>IF(Table1[[#This Row],[Efficiency (%)]]="N/A","",Table1[[#This Row],[Efficiency (%)]])</f>
        <v>-16.130710000000001</v>
      </c>
      <c r="I50" s="22" t="str">
        <f>IF(Table1[[#This Row],[Organic/Mineral Soil]]="N/A","",Table1[[#This Row],[Organic/Mineral Soil]])</f>
        <v>Organic</v>
      </c>
      <c r="J50" s="22" t="str">
        <f>IF(Table1[[#This Row],[Vegetation type]]="N/A","",Table1[[#This Row],[Vegetation type]])</f>
        <v>Aerenchymous</v>
      </c>
      <c r="K50" s="22" t="str">
        <f>IF(Table1[[#This Row],[Reference]]="N/A","",Table1[[#This Row],[Reference]])</f>
        <v>Audet J., et al., 2019</v>
      </c>
      <c r="L50" s="22" t="str">
        <f>IF(Table1[[#This Row],[Main source/flow path in]]="N/A","",Table1[[#This Row],[Main source/flow path in]])</f>
        <v>Stream water</v>
      </c>
      <c r="M50" s="22" t="str">
        <f>IF(Table1[[#This Row],[Main source/flow path in (simple)]]="N/A","",Table1[[#This Row],[Main source/flow path in (simple)]])</f>
        <v>SWR</v>
      </c>
      <c r="N50" s="22" t="str">
        <f>IF(Table1[[#This Row],[Main flow paths in buffer]]="N/A","",Table1[[#This Row],[Main flow paths in buffer]])</f>
        <v>Direct surface runoff</v>
      </c>
      <c r="O50" s="22" t="str">
        <f>IF(Table1[[#This Row],[Inflow=&gt;Outflow]]="N/A","",Table1[[#This Row],[Inflow=&gt;Outflow]])</f>
        <v>SWR=&gt;SR</v>
      </c>
      <c r="P50" s="22">
        <f>IF(Table1[[#This Row],[Width '[m']]]="N/A","",Table1[[#This Row],[Width '[m']]])</f>
        <v>0</v>
      </c>
      <c r="Q50" s="22">
        <f>IF(Table1[[#This Row],[Area '[m²']]]="N/A","",Table1[[#This Row],[Area '[m²']]])</f>
        <v>254000</v>
      </c>
      <c r="R50" s="22">
        <f>IF(Table1[[#This Row],[Qin '[m³/yr']]]="N/A","",Table1[[#This Row],[Qin '[m³/yr']]])</f>
        <v>1404620</v>
      </c>
      <c r="S50" s="22">
        <f>IF(Table1[[#This Row],[Catchment area '[ha']]]="N/A","",Table1[[#This Row],[Catchment area '[ha']]])</f>
        <v>245</v>
      </c>
      <c r="T50" s="22">
        <f>IF(Table1[[#This Row],[HLR '[mm']]]="N/A","",Table1[[#This Row],[HLR '[mm']]])</f>
        <v>5530</v>
      </c>
    </row>
    <row r="51" spans="1:20" hidden="1" x14ac:dyDescent="0.3">
      <c r="A51" s="22" t="str">
        <f>IF(Table1[[#This Row],[Country]]="N/A","",Table1[[#This Row],[Country]])</f>
        <v>Denmark</v>
      </c>
      <c r="B51" s="22" t="str">
        <f>IF(Table1[[#This Row],[Study site]]="N/A","",Table1[[#This Row],[Study site]])</f>
        <v>Hjarup Bæk, DK</v>
      </c>
      <c r="C51" s="22" t="str">
        <f>IF(Table1[[#This Row],[WBZ-type]]="N/A","",Table1[[#This Row],[WBZ-type]])</f>
        <v>Floodplain</v>
      </c>
      <c r="D51" s="22" t="str">
        <f>IF(Table1[[#This Row],[Nutrient]]="N/A","",Table1[[#This Row],[Nutrient]])</f>
        <v>total phosphorus</v>
      </c>
      <c r="E51" s="22">
        <f>IF(Table1[[#This Row],[Load (kg N, P/ha/yr)]]="N/A","",Table1[[#This Row],[Load (kg N, P/ha/yr)]])</f>
        <v>28.571428571428569</v>
      </c>
      <c r="F51" s="22">
        <f>IF(Table1[[#This Row],[Loss (kg N, P/ha/yr)]]="N/A","",Table1[[#This Row],[Loss (kg N, P/ha/yr)]])</f>
        <v>16.571428571428569</v>
      </c>
      <c r="G51" s="22">
        <f>IF(Table1[[#This Row],[Retention (kg N, P/ha/yr)]]="N/A","",Table1[[#This Row],[Retention (kg N, P/ha/yr)]])</f>
        <v>12</v>
      </c>
      <c r="H51" s="22">
        <f>IF(Table1[[#This Row],[Efficiency (%)]]="N/A","",Table1[[#This Row],[Efficiency (%)]])</f>
        <v>42</v>
      </c>
      <c r="I51" s="22" t="str">
        <f>IF(Table1[[#This Row],[Organic/Mineral Soil]]="N/A","",Table1[[#This Row],[Organic/Mineral Soil]])</f>
        <v>Organic</v>
      </c>
      <c r="J51" s="22" t="str">
        <f>IF(Table1[[#This Row],[Vegetation type]]="N/A","",Table1[[#This Row],[Vegetation type]])</f>
        <v>Aerenchymous</v>
      </c>
      <c r="K51" s="22" t="str">
        <f>IF(Table1[[#This Row],[Reference]]="N/A","",Table1[[#This Row],[Reference]])</f>
        <v>Hoffmann et al., 2009</v>
      </c>
      <c r="L51" s="22" t="str">
        <f>IF(Table1[[#This Row],[Main source/flow path in]]="N/A","",Table1[[#This Row],[Main source/flow path in]])</f>
        <v>River inundation and drain discharge from upland</v>
      </c>
      <c r="M51" s="22" t="str">
        <f>IF(Table1[[#This Row],[Main source/flow path in (simple)]]="N/A","",Table1[[#This Row],[Main source/flow path in (simple)]])</f>
        <v>SWR</v>
      </c>
      <c r="N51" s="22" t="str">
        <f>IF(Table1[[#This Row],[Main flow paths in buffer]]="N/A","",Table1[[#This Row],[Main flow paths in buffer]])</f>
        <v>Direct surface runoff</v>
      </c>
      <c r="O51" s="22" t="str">
        <f>IF(Table1[[#This Row],[Inflow=&gt;Outflow]]="N/A","",Table1[[#This Row],[Inflow=&gt;Outflow]])</f>
        <v>SWR=&gt;SR</v>
      </c>
      <c r="P51" s="22" t="str">
        <f>IF(Table1[[#This Row],[Width '[m']]]="N/A","",Table1[[#This Row],[Width '[m']]])</f>
        <v/>
      </c>
      <c r="Q51" s="22">
        <f>IF(Table1[[#This Row],[Area '[m²']]]="N/A","",Table1[[#This Row],[Area '[m²']]])</f>
        <v>310000</v>
      </c>
      <c r="R51" s="22" t="str">
        <f>IF(Table1[[#This Row],[Qin '[m³/yr']]]="N/A","",Table1[[#This Row],[Qin '[m³/yr']]])</f>
        <v/>
      </c>
      <c r="S51" s="22" t="str">
        <f>IF(Table1[[#This Row],[Catchment area '[ha']]]="N/A","",Table1[[#This Row],[Catchment area '[ha']]])</f>
        <v/>
      </c>
      <c r="T51" s="22" t="str">
        <f>IF(Table1[[#This Row],[HLR '[mm']]]="N/A","",Table1[[#This Row],[HLR '[mm']]])</f>
        <v/>
      </c>
    </row>
    <row r="52" spans="1:20" x14ac:dyDescent="0.3">
      <c r="A52" s="22" t="str">
        <f>IF(Table1[[#This Row],[Country]]="N/A","",Table1[[#This Row],[Country]])</f>
        <v>Denmark</v>
      </c>
      <c r="B52" s="22" t="str">
        <f>IF(Table1[[#This Row],[Study site]]="N/A","",Table1[[#This Row],[Study site]])</f>
        <v>Hjarup Bæk, DK</v>
      </c>
      <c r="C52" s="22" t="str">
        <f>IF(Table1[[#This Row],[WBZ-type]]="N/A","",Table1[[#This Row],[WBZ-type]])</f>
        <v>Floodplain</v>
      </c>
      <c r="D52" s="22" t="str">
        <f>IF(Table1[[#This Row],[Nutrient]]="N/A","",Table1[[#This Row],[Nutrient]])</f>
        <v>total nitrogen</v>
      </c>
      <c r="E52" s="22">
        <f>IF(Table1[[#This Row],[Load (kg N, P/ha/yr)]]="N/A","",Table1[[#This Row],[Load (kg N, P/ha/yr)]])</f>
        <v>0</v>
      </c>
      <c r="F52" s="22">
        <f>IF(Table1[[#This Row],[Loss (kg N, P/ha/yr)]]="N/A","",Table1[[#This Row],[Loss (kg N, P/ha/yr)]])</f>
        <v>0</v>
      </c>
      <c r="G52" s="22">
        <f>IF(Table1[[#This Row],[Retention (kg N, P/ha/yr)]]="N/A","",Table1[[#This Row],[Retention (kg N, P/ha/yr)]])</f>
        <v>170</v>
      </c>
      <c r="H52" s="22">
        <f>IF(Table1[[#This Row],[Efficiency (%)]]="N/A","",Table1[[#This Row],[Efficiency (%)]])</f>
        <v>0</v>
      </c>
      <c r="I52" s="22" t="str">
        <f>IF(Table1[[#This Row],[Organic/Mineral Soil]]="N/A","",Table1[[#This Row],[Organic/Mineral Soil]])</f>
        <v>Organic</v>
      </c>
      <c r="J52" s="22" t="str">
        <f>IF(Table1[[#This Row],[Vegetation type]]="N/A","",Table1[[#This Row],[Vegetation type]])</f>
        <v>Aerenchymous</v>
      </c>
      <c r="K52" s="22" t="str">
        <f>IF(Table1[[#This Row],[Reference]]="N/A","",Table1[[#This Row],[Reference]])</f>
        <v>Jeppesen E., et al., 2011</v>
      </c>
      <c r="L52" s="22" t="str">
        <f>IF(Table1[[#This Row],[Main source/flow path in]]="N/A","",Table1[[#This Row],[Main source/flow path in]])</f>
        <v>River inundation and drain discharge from upland</v>
      </c>
      <c r="M52" s="22" t="str">
        <f>IF(Table1[[#This Row],[Main source/flow path in (simple)]]="N/A","",Table1[[#This Row],[Main source/flow path in (simple)]])</f>
        <v>SWR</v>
      </c>
      <c r="N52" s="22" t="str">
        <f>IF(Table1[[#This Row],[Main flow paths in buffer]]="N/A","",Table1[[#This Row],[Main flow paths in buffer]])</f>
        <v>Direct surface runoff</v>
      </c>
      <c r="O52" s="22" t="str">
        <f>IF(Table1[[#This Row],[Inflow=&gt;Outflow]]="N/A","",Table1[[#This Row],[Inflow=&gt;Outflow]])</f>
        <v>SWR=&gt;SR</v>
      </c>
      <c r="P52" s="22" t="str">
        <f>IF(Table1[[#This Row],[Width '[m']]]="N/A","",Table1[[#This Row],[Width '[m']]])</f>
        <v/>
      </c>
      <c r="Q52" s="22">
        <f>IF(Table1[[#This Row],[Area '[m²']]]="N/A","",Table1[[#This Row],[Area '[m²']]])</f>
        <v>310000</v>
      </c>
      <c r="R52" s="22" t="str">
        <f>IF(Table1[[#This Row],[Qin '[m³/yr']]]="N/A","",Table1[[#This Row],[Qin '[m³/yr']]])</f>
        <v/>
      </c>
      <c r="S52" s="22" t="str">
        <f>IF(Table1[[#This Row],[Catchment area '[ha']]]="N/A","",Table1[[#This Row],[Catchment area '[ha']]])</f>
        <v/>
      </c>
      <c r="T52" s="22" t="str">
        <f>IF(Table1[[#This Row],[HLR '[mm']]]="N/A","",Table1[[#This Row],[HLR '[mm']]])</f>
        <v/>
      </c>
    </row>
    <row r="53" spans="1:20" x14ac:dyDescent="0.3">
      <c r="A53" s="22" t="str">
        <f>IF(Table1[[#This Row],[Country]]="N/A","",Table1[[#This Row],[Country]])</f>
        <v>Denmark</v>
      </c>
      <c r="B53" s="22" t="str">
        <f>IF(Table1[[#This Row],[Study site]]="N/A","",Table1[[#This Row],[Study site]])</f>
        <v>Horne Mølleå, DK</v>
      </c>
      <c r="C53" s="22" t="str">
        <f>IF(Table1[[#This Row],[WBZ-type]]="N/A","",Table1[[#This Row],[WBZ-type]])</f>
        <v>Rewetted Fen</v>
      </c>
      <c r="D53" s="22" t="str">
        <f>IF(Table1[[#This Row],[Nutrient]]="N/A","",Table1[[#This Row],[Nutrient]])</f>
        <v>total nitrogen</v>
      </c>
      <c r="E53" s="22">
        <f>IF(Table1[[#This Row],[Load (kg N, P/ha/yr)]]="N/A","",Table1[[#This Row],[Load (kg N, P/ha/yr)]])</f>
        <v>310</v>
      </c>
      <c r="F53" s="22">
        <f>IF(Table1[[#This Row],[Loss (kg N, P/ha/yr)]]="N/A","",Table1[[#This Row],[Loss (kg N, P/ha/yr)]])</f>
        <v>89.9</v>
      </c>
      <c r="G53" s="22">
        <f>IF(Table1[[#This Row],[Retention (kg N, P/ha/yr)]]="N/A","",Table1[[#This Row],[Retention (kg N, P/ha/yr)]])</f>
        <v>220.1</v>
      </c>
      <c r="H53" s="22">
        <f>IF(Table1[[#This Row],[Efficiency (%)]]="N/A","",Table1[[#This Row],[Efficiency (%)]])</f>
        <v>71</v>
      </c>
      <c r="I53" s="22" t="str">
        <f>IF(Table1[[#This Row],[Organic/Mineral Soil]]="N/A","",Table1[[#This Row],[Organic/Mineral Soil]])</f>
        <v>Organic</v>
      </c>
      <c r="J53" s="22" t="str">
        <f>IF(Table1[[#This Row],[Vegetation type]]="N/A","",Table1[[#This Row],[Vegetation type]])</f>
        <v>Aerenchymous</v>
      </c>
      <c r="K53" s="22" t="str">
        <f>IF(Table1[[#This Row],[Reference]]="N/A","",Table1[[#This Row],[Reference]])</f>
        <v xml:space="preserve">Hoffmann C. &amp; Baattrup-Pedersen A., 2007 </v>
      </c>
      <c r="L53" s="22" t="str">
        <f>IF(Table1[[#This Row],[Main source/flow path in]]="N/A","",Table1[[#This Row],[Main source/flow path in]])</f>
        <v>Drain discharge from upland</v>
      </c>
      <c r="M53" s="22" t="str">
        <f>IF(Table1[[#This Row],[Main source/flow path in (simple)]]="N/A","",Table1[[#This Row],[Main source/flow path in (simple)]])</f>
        <v>SWU</v>
      </c>
      <c r="N53" s="22" t="str">
        <f>IF(Table1[[#This Row],[Main flow paths in buffer]]="N/A","",Table1[[#This Row],[Main flow paths in buffer]])</f>
        <v>Direct surface runoff</v>
      </c>
      <c r="O53" s="22" t="str">
        <f>IF(Table1[[#This Row],[Inflow=&gt;Outflow]]="N/A","",Table1[[#This Row],[Inflow=&gt;Outflow]])</f>
        <v>SWU=&gt;SR</v>
      </c>
      <c r="P53" s="22" t="str">
        <f>IF(Table1[[#This Row],[Width '[m']]]="N/A","",Table1[[#This Row],[Width '[m']]])</f>
        <v/>
      </c>
      <c r="Q53" s="22">
        <f>IF(Table1[[#This Row],[Area '[m²']]]="N/A","",Table1[[#This Row],[Area '[m²']]])</f>
        <v>150000</v>
      </c>
      <c r="R53" s="22" t="str">
        <f>IF(Table1[[#This Row],[Qin '[m³/yr']]]="N/A","",Table1[[#This Row],[Qin '[m³/yr']]])</f>
        <v/>
      </c>
      <c r="S53" s="22">
        <f>IF(Table1[[#This Row],[Catchment area '[ha']]]="N/A","",Table1[[#This Row],[Catchment area '[ha']]])</f>
        <v>240</v>
      </c>
      <c r="T53" s="22" t="str">
        <f>IF(Table1[[#This Row],[HLR '[mm']]]="N/A","",Table1[[#This Row],[HLR '[mm']]])</f>
        <v/>
      </c>
    </row>
    <row r="54" spans="1:20" x14ac:dyDescent="0.3">
      <c r="A54" s="22" t="str">
        <f>IF(Table1[[#This Row],[Country]]="N/A","",Table1[[#This Row],[Country]])</f>
        <v>Denmark</v>
      </c>
      <c r="B54" s="22" t="str">
        <f>IF(Table1[[#This Row],[Study site]]="N/A","",Table1[[#This Row],[Study site]])</f>
        <v>Kappel, DK</v>
      </c>
      <c r="C54" s="22" t="str">
        <f>IF(Table1[[#This Row],[WBZ-type]]="N/A","",Table1[[#This Row],[WBZ-type]])</f>
        <v>Rewetted Fen</v>
      </c>
      <c r="D54" s="22" t="str">
        <f>IF(Table1[[#This Row],[Nutrient]]="N/A","",Table1[[#This Row],[Nutrient]])</f>
        <v>total nitrogen</v>
      </c>
      <c r="E54" s="22">
        <f>IF(Table1[[#This Row],[Load (kg N, P/ha/yr)]]="N/A","",Table1[[#This Row],[Load (kg N, P/ha/yr)]])</f>
        <v>39</v>
      </c>
      <c r="F54" s="22">
        <f>IF(Table1[[#This Row],[Loss (kg N, P/ha/yr)]]="N/A","",Table1[[#This Row],[Loss (kg N, P/ha/yr)]])</f>
        <v>24.999000000000002</v>
      </c>
      <c r="G54" s="22">
        <f>IF(Table1[[#This Row],[Retention (kg N, P/ha/yr)]]="N/A","",Table1[[#This Row],[Retention (kg N, P/ha/yr)]])</f>
        <v>14.000999999999999</v>
      </c>
      <c r="H54" s="22">
        <f>IF(Table1[[#This Row],[Efficiency (%)]]="N/A","",Table1[[#This Row],[Efficiency (%)]])</f>
        <v>35.9</v>
      </c>
      <c r="I54" s="22" t="str">
        <f>IF(Table1[[#This Row],[Organic/Mineral Soil]]="N/A","",Table1[[#This Row],[Organic/Mineral Soil]])</f>
        <v>Organic</v>
      </c>
      <c r="J54" s="22" t="str">
        <f>IF(Table1[[#This Row],[Vegetation type]]="N/A","",Table1[[#This Row],[Vegetation type]])</f>
        <v>Aerenchymous</v>
      </c>
      <c r="K54" s="22" t="str">
        <f>IF(Table1[[#This Row],[Reference]]="N/A","",Table1[[#This Row],[Reference]])</f>
        <v xml:space="preserve">Hoffmann C. &amp; Baattrup-Pedersen A., 2007 </v>
      </c>
      <c r="L54" s="22" t="str">
        <f>IF(Table1[[#This Row],[Main source/flow path in]]="N/A","",Table1[[#This Row],[Main source/flow path in]])</f>
        <v>Drain discharge from upland</v>
      </c>
      <c r="M54" s="22" t="str">
        <f>IF(Table1[[#This Row],[Main source/flow path in (simple)]]="N/A","",Table1[[#This Row],[Main source/flow path in (simple)]])</f>
        <v>SWU</v>
      </c>
      <c r="N54" s="22" t="str">
        <f>IF(Table1[[#This Row],[Main flow paths in buffer]]="N/A","",Table1[[#This Row],[Main flow paths in buffer]])</f>
        <v>Direct surface runoff</v>
      </c>
      <c r="O54" s="22" t="str">
        <f>IF(Table1[[#This Row],[Inflow=&gt;Outflow]]="N/A","",Table1[[#This Row],[Inflow=&gt;Outflow]])</f>
        <v>SWU=&gt;SR</v>
      </c>
      <c r="P54" s="22" t="str">
        <f>IF(Table1[[#This Row],[Width '[m']]]="N/A","",Table1[[#This Row],[Width '[m']]])</f>
        <v/>
      </c>
      <c r="Q54" s="22">
        <f>IF(Table1[[#This Row],[Area '[m²']]]="N/A","",Table1[[#This Row],[Area '[m²']]])</f>
        <v>280000</v>
      </c>
      <c r="R54" s="22" t="str">
        <f>IF(Table1[[#This Row],[Qin '[m³/yr']]]="N/A","",Table1[[#This Row],[Qin '[m³/yr']]])</f>
        <v/>
      </c>
      <c r="S54" s="22">
        <f>IF(Table1[[#This Row],[Catchment area '[ha']]]="N/A","",Table1[[#This Row],[Catchment area '[ha']]])</f>
        <v>86</v>
      </c>
      <c r="T54" s="22" t="str">
        <f>IF(Table1[[#This Row],[HLR '[mm']]]="N/A","",Table1[[#This Row],[HLR '[mm']]])</f>
        <v/>
      </c>
    </row>
    <row r="55" spans="1:20" x14ac:dyDescent="0.3">
      <c r="A55" s="22" t="str">
        <f>IF(Table1[[#This Row],[Country]]="N/A","",Table1[[#This Row],[Country]])</f>
        <v>Denmark</v>
      </c>
      <c r="B55" s="22" t="str">
        <f>IF(Table1[[#This Row],[Study site]]="N/A","",Table1[[#This Row],[Study site]])</f>
        <v>Karlsmosen, DK</v>
      </c>
      <c r="C55" s="22" t="str">
        <f>IF(Table1[[#This Row],[WBZ-type]]="N/A","",Table1[[#This Row],[WBZ-type]])</f>
        <v>Rewetted Fen</v>
      </c>
      <c r="D55" s="22" t="str">
        <f>IF(Table1[[#This Row],[Nutrient]]="N/A","",Table1[[#This Row],[Nutrient]])</f>
        <v>total nitrogen</v>
      </c>
      <c r="E55" s="22">
        <f>IF(Table1[[#This Row],[Load (kg N, P/ha/yr)]]="N/A","",Table1[[#This Row],[Load (kg N, P/ha/yr)]])</f>
        <v>674</v>
      </c>
      <c r="F55" s="22">
        <f>IF(Table1[[#This Row],[Loss (kg N, P/ha/yr)]]="N/A","",Table1[[#This Row],[Loss (kg N, P/ha/yr)]])</f>
        <v>337</v>
      </c>
      <c r="G55" s="22">
        <f>IF(Table1[[#This Row],[Retention (kg N, P/ha/yr)]]="N/A","",Table1[[#This Row],[Retention (kg N, P/ha/yr)]])</f>
        <v>337</v>
      </c>
      <c r="H55" s="22">
        <f>IF(Table1[[#This Row],[Efficiency (%)]]="N/A","",Table1[[#This Row],[Efficiency (%)]])</f>
        <v>50</v>
      </c>
      <c r="I55" s="22" t="str">
        <f>IF(Table1[[#This Row],[Organic/Mineral Soil]]="N/A","",Table1[[#This Row],[Organic/Mineral Soil]])</f>
        <v>Organic</v>
      </c>
      <c r="J55" s="22" t="str">
        <f>IF(Table1[[#This Row],[Vegetation type]]="N/A","",Table1[[#This Row],[Vegetation type]])</f>
        <v>Aerenchymous</v>
      </c>
      <c r="K55" s="22" t="str">
        <f>IF(Table1[[#This Row],[Reference]]="N/A","",Table1[[#This Row],[Reference]])</f>
        <v>Hoffmann C., et al, 2011</v>
      </c>
      <c r="L55" s="22" t="str">
        <f>IF(Table1[[#This Row],[Main source/flow path in]]="N/A","",Table1[[#This Row],[Main source/flow path in]])</f>
        <v>inundation and drain discharge</v>
      </c>
      <c r="M55" s="22" t="str">
        <f>IF(Table1[[#This Row],[Main source/flow path in (simple)]]="N/A","",Table1[[#This Row],[Main source/flow path in (simple)]])</f>
        <v>SWR</v>
      </c>
      <c r="N55" s="22" t="str">
        <f>IF(Table1[[#This Row],[Main flow paths in buffer]]="N/A","",Table1[[#This Row],[Main flow paths in buffer]])</f>
        <v>inundation from river and direct surface runoff</v>
      </c>
      <c r="O55" s="22" t="str">
        <f>IF(Table1[[#This Row],[Inflow=&gt;Outflow]]="N/A","",Table1[[#This Row],[Inflow=&gt;Outflow]])</f>
        <v>SWR=&gt;SR</v>
      </c>
      <c r="P55" s="22">
        <f>IF(Table1[[#This Row],[Width '[m']]]="N/A","",Table1[[#This Row],[Width '[m']]])</f>
        <v>250</v>
      </c>
      <c r="Q55" s="22">
        <f>IF(Table1[[#This Row],[Area '[m²']]]="N/A","",Table1[[#This Row],[Area '[m²']]])</f>
        <v>650000</v>
      </c>
      <c r="R55" s="22" t="str">
        <f>IF(Table1[[#This Row],[Qin '[m³/yr']]]="N/A","",Table1[[#This Row],[Qin '[m³/yr']]])</f>
        <v/>
      </c>
      <c r="S55" s="22">
        <f>IF(Table1[[#This Row],[Catchment area '[ha']]]="N/A","",Table1[[#This Row],[Catchment area '[ha']]])</f>
        <v>195</v>
      </c>
      <c r="T55" s="22" t="str">
        <f>IF(Table1[[#This Row],[HLR '[mm']]]="N/A","",Table1[[#This Row],[HLR '[mm']]])</f>
        <v/>
      </c>
    </row>
    <row r="56" spans="1:20" hidden="1" x14ac:dyDescent="0.3">
      <c r="A56" s="22" t="str">
        <f>IF(Table1[[#This Row],[Country]]="N/A","",Table1[[#This Row],[Country]])</f>
        <v>Denmark</v>
      </c>
      <c r="B56" s="22" t="str">
        <f>IF(Table1[[#This Row],[Study site]]="N/A","",Table1[[#This Row],[Study site]])</f>
        <v>Karlsmosen, DK</v>
      </c>
      <c r="C56" s="22" t="str">
        <f>IF(Table1[[#This Row],[WBZ-type]]="N/A","",Table1[[#This Row],[WBZ-type]])</f>
        <v>Rewetted Fen</v>
      </c>
      <c r="D56" s="22" t="str">
        <f>IF(Table1[[#This Row],[Nutrient]]="N/A","",Table1[[#This Row],[Nutrient]])</f>
        <v>total phosphorus</v>
      </c>
      <c r="E56" s="22">
        <f>IF(Table1[[#This Row],[Load (kg N, P/ha/yr)]]="N/A","",Table1[[#This Row],[Load (kg N, P/ha/yr)]])</f>
        <v>13.566666666666668</v>
      </c>
      <c r="F56" s="22">
        <f>IF(Table1[[#This Row],[Loss (kg N, P/ha/yr)]]="N/A","",Table1[[#This Row],[Loss (kg N, P/ha/yr)]])</f>
        <v>5.4266666666666676</v>
      </c>
      <c r="G56" s="22">
        <f>IF(Table1[[#This Row],[Retention (kg N, P/ha/yr)]]="N/A","",Table1[[#This Row],[Retention (kg N, P/ha/yr)]])</f>
        <v>8.14</v>
      </c>
      <c r="H56" s="22">
        <f>IF(Table1[[#This Row],[Efficiency (%)]]="N/A","",Table1[[#This Row],[Efficiency (%)]])</f>
        <v>60</v>
      </c>
      <c r="I56" s="22" t="str">
        <f>IF(Table1[[#This Row],[Organic/Mineral Soil]]="N/A","",Table1[[#This Row],[Organic/Mineral Soil]])</f>
        <v>Organic</v>
      </c>
      <c r="J56" s="22" t="str">
        <f>IF(Table1[[#This Row],[Vegetation type]]="N/A","",Table1[[#This Row],[Vegetation type]])</f>
        <v>Aerenchymous</v>
      </c>
      <c r="K56" s="22" t="str">
        <f>IF(Table1[[#This Row],[Reference]]="N/A","",Table1[[#This Row],[Reference]])</f>
        <v>Hoffmann C., et al, 2011; Hoffmann et al. 2009</v>
      </c>
      <c r="L56" s="22" t="str">
        <f>IF(Table1[[#This Row],[Main source/flow path in]]="N/A","",Table1[[#This Row],[Main source/flow path in]])</f>
        <v>inundation and drain discharge</v>
      </c>
      <c r="M56" s="22" t="str">
        <f>IF(Table1[[#This Row],[Main source/flow path in (simple)]]="N/A","",Table1[[#This Row],[Main source/flow path in (simple)]])</f>
        <v>SWR</v>
      </c>
      <c r="N56" s="22" t="str">
        <f>IF(Table1[[#This Row],[Main flow paths in buffer]]="N/A","",Table1[[#This Row],[Main flow paths in buffer]])</f>
        <v>inundation from river and direct surface runoff</v>
      </c>
      <c r="O56" s="22" t="str">
        <f>IF(Table1[[#This Row],[Inflow=&gt;Outflow]]="N/A","",Table1[[#This Row],[Inflow=&gt;Outflow]])</f>
        <v>SWR=&gt;SR</v>
      </c>
      <c r="P56" s="22">
        <f>IF(Table1[[#This Row],[Width '[m']]]="N/A","",Table1[[#This Row],[Width '[m']]])</f>
        <v>250</v>
      </c>
      <c r="Q56" s="22">
        <f>IF(Table1[[#This Row],[Area '[m²']]]="N/A","",Table1[[#This Row],[Area '[m²']]])</f>
        <v>650000</v>
      </c>
      <c r="R56" s="22" t="str">
        <f>IF(Table1[[#This Row],[Qin '[m³/yr']]]="N/A","",Table1[[#This Row],[Qin '[m³/yr']]])</f>
        <v/>
      </c>
      <c r="S56" s="22">
        <f>IF(Table1[[#This Row],[Catchment area '[ha']]]="N/A","",Table1[[#This Row],[Catchment area '[ha']]])</f>
        <v>195</v>
      </c>
      <c r="T56" s="22" t="str">
        <f>IF(Table1[[#This Row],[HLR '[mm']]]="N/A","",Table1[[#This Row],[HLR '[mm']]])</f>
        <v/>
      </c>
    </row>
    <row r="57" spans="1:20" x14ac:dyDescent="0.3">
      <c r="A57" s="22" t="str">
        <f>IF(Table1[[#This Row],[Country]]="N/A","",Table1[[#This Row],[Country]])</f>
        <v>Denmark</v>
      </c>
      <c r="B57" s="22" t="str">
        <f>IF(Table1[[#This Row],[Study site]]="N/A","",Table1[[#This Row],[Study site]])</f>
        <v>Karlsmosen, DK</v>
      </c>
      <c r="C57" s="22" t="str">
        <f>IF(Table1[[#This Row],[WBZ-type]]="N/A","",Table1[[#This Row],[WBZ-type]])</f>
        <v>Rewetted Fen</v>
      </c>
      <c r="D57" s="22" t="str">
        <f>IF(Table1[[#This Row],[Nutrient]]="N/A","",Table1[[#This Row],[Nutrient]])</f>
        <v>total nitrogen</v>
      </c>
      <c r="E57" s="22">
        <f>IF(Table1[[#This Row],[Load (kg N, P/ha/yr)]]="N/A","",Table1[[#This Row],[Load (kg N, P/ha/yr)]])</f>
        <v>668</v>
      </c>
      <c r="F57" s="22">
        <f>IF(Table1[[#This Row],[Loss (kg N, P/ha/yr)]]="N/A","",Table1[[#This Row],[Loss (kg N, P/ha/yr)]])</f>
        <v>331.32799999999997</v>
      </c>
      <c r="G57" s="22">
        <f>IF(Table1[[#This Row],[Retention (kg N, P/ha/yr)]]="N/A","",Table1[[#This Row],[Retention (kg N, P/ha/yr)]])</f>
        <v>336.67200000000003</v>
      </c>
      <c r="H57" s="22">
        <f>IF(Table1[[#This Row],[Efficiency (%)]]="N/A","",Table1[[#This Row],[Efficiency (%)]])</f>
        <v>50.4</v>
      </c>
      <c r="I57" s="22" t="str">
        <f>IF(Table1[[#This Row],[Organic/Mineral Soil]]="N/A","",Table1[[#This Row],[Organic/Mineral Soil]])</f>
        <v>Organic</v>
      </c>
      <c r="J57" s="22" t="str">
        <f>IF(Table1[[#This Row],[Vegetation type]]="N/A","",Table1[[#This Row],[Vegetation type]])</f>
        <v>Aerenchymous</v>
      </c>
      <c r="K57" s="22" t="str">
        <f>IF(Table1[[#This Row],[Reference]]="N/A","",Table1[[#This Row],[Reference]])</f>
        <v xml:space="preserve">Hoffmann C. &amp; Baattrup-Pedersen A., 2007 </v>
      </c>
      <c r="L57" s="22" t="str">
        <f>IF(Table1[[#This Row],[Main source/flow path in]]="N/A","",Table1[[#This Row],[Main source/flow path in]])</f>
        <v>Drain discharge from upland and river inundation</v>
      </c>
      <c r="M57" s="22" t="str">
        <f>IF(Table1[[#This Row],[Main source/flow path in (simple)]]="N/A","",Table1[[#This Row],[Main source/flow path in (simple)]])</f>
        <v>SWR</v>
      </c>
      <c r="N57" s="22" t="str">
        <f>IF(Table1[[#This Row],[Main flow paths in buffer]]="N/A","",Table1[[#This Row],[Main flow paths in buffer]])</f>
        <v>Direct surface runoff</v>
      </c>
      <c r="O57" s="22" t="str">
        <f>IF(Table1[[#This Row],[Inflow=&gt;Outflow]]="N/A","",Table1[[#This Row],[Inflow=&gt;Outflow]])</f>
        <v>SWR=&gt;SR</v>
      </c>
      <c r="P57" s="22" t="str">
        <f>IF(Table1[[#This Row],[Width '[m']]]="N/A","",Table1[[#This Row],[Width '[m']]])</f>
        <v/>
      </c>
      <c r="Q57" s="22">
        <f>IF(Table1[[#This Row],[Area '[m²']]]="N/A","",Table1[[#This Row],[Area '[m²']]])</f>
        <v>650000</v>
      </c>
      <c r="R57" s="22" t="str">
        <f>IF(Table1[[#This Row],[Qin '[m³/yr']]]="N/A","",Table1[[#This Row],[Qin '[m³/yr']]])</f>
        <v/>
      </c>
      <c r="S57" s="22">
        <f>IF(Table1[[#This Row],[Catchment area '[ha']]]="N/A","",Table1[[#This Row],[Catchment area '[ha']]])</f>
        <v>2140</v>
      </c>
      <c r="T57" s="22" t="str">
        <f>IF(Table1[[#This Row],[HLR '[mm']]]="N/A","",Table1[[#This Row],[HLR '[mm']]])</f>
        <v/>
      </c>
    </row>
    <row r="58" spans="1:20" hidden="1" x14ac:dyDescent="0.3">
      <c r="A58" s="22" t="str">
        <f>IF(Table1[[#This Row],[Country]]="N/A","",Table1[[#This Row],[Country]])</f>
        <v>Denmark</v>
      </c>
      <c r="B58" s="22" t="str">
        <f>IF(Table1[[#This Row],[Study site]]="N/A","",Table1[[#This Row],[Study site]])</f>
        <v>Langevad Å, DK</v>
      </c>
      <c r="C58" s="22" t="str">
        <f>IF(Table1[[#This Row],[WBZ-type]]="N/A","",Table1[[#This Row],[WBZ-type]])</f>
        <v>Rewetted Fen</v>
      </c>
      <c r="D58" s="22" t="str">
        <f>IF(Table1[[#This Row],[Nutrient]]="N/A","",Table1[[#This Row],[Nutrient]])</f>
        <v>nitrate</v>
      </c>
      <c r="E58" s="22">
        <f>IF(Table1[[#This Row],[Load (kg N, P/ha/yr)]]="N/A","",Table1[[#This Row],[Load (kg N, P/ha/yr)]])</f>
        <v>682.55000000000007</v>
      </c>
      <c r="F58" s="22">
        <f>IF(Table1[[#This Row],[Loss (kg N, P/ha/yr)]]="N/A","",Table1[[#This Row],[Loss (kg N, P/ha/yr)]])</f>
        <v>191.11400000000003</v>
      </c>
      <c r="G58" s="22">
        <f>IF(Table1[[#This Row],[Retention (kg N, P/ha/yr)]]="N/A","",Table1[[#This Row],[Retention (kg N, P/ha/yr)]])</f>
        <v>491.43600000000004</v>
      </c>
      <c r="H58" s="22">
        <f>IF(Table1[[#This Row],[Efficiency (%)]]="N/A","",Table1[[#This Row],[Efficiency (%)]])</f>
        <v>72</v>
      </c>
      <c r="I58" s="22" t="str">
        <f>IF(Table1[[#This Row],[Organic/Mineral Soil]]="N/A","",Table1[[#This Row],[Organic/Mineral Soil]])</f>
        <v>Organic</v>
      </c>
      <c r="J58" s="22" t="str">
        <f>IF(Table1[[#This Row],[Vegetation type]]="N/A","",Table1[[#This Row],[Vegetation type]])</f>
        <v>Aerenchymous</v>
      </c>
      <c r="K58" s="22" t="str">
        <f>IF(Table1[[#This Row],[Reference]]="N/A","",Table1[[#This Row],[Reference]])</f>
        <v>Hoffmann et al., 2009, Mander et al 1997; Hoffmann 1991</v>
      </c>
      <c r="L58" s="22" t="str">
        <f>IF(Table1[[#This Row],[Main source/flow path in]]="N/A","",Table1[[#This Row],[Main source/flow path in]])</f>
        <v>Drain discharge from upland</v>
      </c>
      <c r="M58" s="22" t="str">
        <f>IF(Table1[[#This Row],[Main source/flow path in (simple)]]="N/A","",Table1[[#This Row],[Main source/flow path in (simple)]])</f>
        <v>SWU</v>
      </c>
      <c r="N58" s="22" t="str">
        <f>IF(Table1[[#This Row],[Main flow paths in buffer]]="N/A","",Table1[[#This Row],[Main flow paths in buffer]])</f>
        <v>Infiltration and direct surface runoff</v>
      </c>
      <c r="O58" s="22" t="str">
        <f>IF(Table1[[#This Row],[Inflow=&gt;Outflow]]="N/A","",Table1[[#This Row],[Inflow=&gt;Outflow]])</f>
        <v>SWU=&gt;GW</v>
      </c>
      <c r="P58" s="22">
        <f>IF(Table1[[#This Row],[Width '[m']]]="N/A","",Table1[[#This Row],[Width '[m']]])</f>
        <v>30</v>
      </c>
      <c r="Q58" s="22">
        <f>IF(Table1[[#This Row],[Area '[m²']]]="N/A","",Table1[[#This Row],[Area '[m²']]])</f>
        <v>1370</v>
      </c>
      <c r="R58" s="22">
        <f>IF(Table1[[#This Row],[Qin '[m³/yr']]]="N/A","",Table1[[#This Row],[Qin '[m³/yr']]])</f>
        <v>24502.45</v>
      </c>
      <c r="S58" s="22" t="str">
        <f>IF(Table1[[#This Row],[Catchment area '[ha']]]="N/A","",Table1[[#This Row],[Catchment area '[ha']]])</f>
        <v/>
      </c>
      <c r="T58" s="22">
        <f>IF(Table1[[#This Row],[HLR '[mm']]]="N/A","",Table1[[#This Row],[HLR '[mm']]])</f>
        <v>17885</v>
      </c>
    </row>
    <row r="59" spans="1:20" hidden="1" x14ac:dyDescent="0.3">
      <c r="A59" s="22" t="str">
        <f>IF(Table1[[#This Row],[Country]]="N/A","",Table1[[#This Row],[Country]])</f>
        <v>Denmark</v>
      </c>
      <c r="B59" s="22" t="str">
        <f>IF(Table1[[#This Row],[Study site]]="N/A","",Table1[[#This Row],[Study site]])</f>
        <v>Langevad Å, DK</v>
      </c>
      <c r="C59" s="22" t="str">
        <f>IF(Table1[[#This Row],[WBZ-type]]="N/A","",Table1[[#This Row],[WBZ-type]])</f>
        <v>Rewetted Fen</v>
      </c>
      <c r="D59" s="22" t="str">
        <f>IF(Table1[[#This Row],[Nutrient]]="N/A","",Table1[[#This Row],[Nutrient]])</f>
        <v>SRP</v>
      </c>
      <c r="E59" s="22">
        <f>IF(Table1[[#This Row],[Load (kg N, P/ha/yr)]]="N/A","",Table1[[#This Row],[Load (kg N, P/ha/yr)]])</f>
        <v>3.33</v>
      </c>
      <c r="F59" s="22">
        <f>IF(Table1[[#This Row],[Loss (kg N, P/ha/yr)]]="N/A","",Table1[[#This Row],[Loss (kg N, P/ha/yr)]])</f>
        <v>4.33</v>
      </c>
      <c r="G59" s="22">
        <f>IF(Table1[[#This Row],[Retention (kg N, P/ha/yr)]]="N/A","",Table1[[#This Row],[Retention (kg N, P/ha/yr)]])</f>
        <v>-1</v>
      </c>
      <c r="H59" s="22">
        <f>IF(Table1[[#This Row],[Efficiency (%)]]="N/A","",Table1[[#This Row],[Efficiency (%)]])</f>
        <v>-30</v>
      </c>
      <c r="I59" s="22" t="str">
        <f>IF(Table1[[#This Row],[Organic/Mineral Soil]]="N/A","",Table1[[#This Row],[Organic/Mineral Soil]])</f>
        <v>Organic</v>
      </c>
      <c r="J59" s="22" t="str">
        <f>IF(Table1[[#This Row],[Vegetation type]]="N/A","",Table1[[#This Row],[Vegetation type]])</f>
        <v>Aerenchymous</v>
      </c>
      <c r="K59" s="22" t="str">
        <f>IF(Table1[[#This Row],[Reference]]="N/A","",Table1[[#This Row],[Reference]])</f>
        <v>Hoffmann et al., 2009, Mander et al 1997; Hoffmann 1991</v>
      </c>
      <c r="L59" s="22" t="str">
        <f>IF(Table1[[#This Row],[Main source/flow path in]]="N/A","",Table1[[#This Row],[Main source/flow path in]])</f>
        <v>Drain discharge from upland</v>
      </c>
      <c r="M59" s="22" t="str">
        <f>IF(Table1[[#This Row],[Main source/flow path in (simple)]]="N/A","",Table1[[#This Row],[Main source/flow path in (simple)]])</f>
        <v>SWU</v>
      </c>
      <c r="N59" s="22" t="str">
        <f>IF(Table1[[#This Row],[Main flow paths in buffer]]="N/A","",Table1[[#This Row],[Main flow paths in buffer]])</f>
        <v>Infiltration and direct surface runoff</v>
      </c>
      <c r="O59" s="22" t="str">
        <f>IF(Table1[[#This Row],[Inflow=&gt;Outflow]]="N/A","",Table1[[#This Row],[Inflow=&gt;Outflow]])</f>
        <v>SWU=&gt;GW</v>
      </c>
      <c r="P59" s="22">
        <f>IF(Table1[[#This Row],[Width '[m']]]="N/A","",Table1[[#This Row],[Width '[m']]])</f>
        <v>30</v>
      </c>
      <c r="Q59" s="22">
        <f>IF(Table1[[#This Row],[Area '[m²']]]="N/A","",Table1[[#This Row],[Area '[m²']]])</f>
        <v>1370</v>
      </c>
      <c r="R59" s="22">
        <f>IF(Table1[[#This Row],[Qin '[m³/yr']]]="N/A","",Table1[[#This Row],[Qin '[m³/yr']]])</f>
        <v>24502.45</v>
      </c>
      <c r="S59" s="22" t="str">
        <f>IF(Table1[[#This Row],[Catchment area '[ha']]]="N/A","",Table1[[#This Row],[Catchment area '[ha']]])</f>
        <v/>
      </c>
      <c r="T59" s="22">
        <f>IF(Table1[[#This Row],[HLR '[mm']]]="N/A","",Table1[[#This Row],[HLR '[mm']]])</f>
        <v>17885</v>
      </c>
    </row>
    <row r="60" spans="1:20" hidden="1" x14ac:dyDescent="0.3">
      <c r="A60" s="22" t="str">
        <f>IF(Table1[[#This Row],[Country]]="N/A","",Table1[[#This Row],[Country]])</f>
        <v>Denmark</v>
      </c>
      <c r="B60" s="22" t="str">
        <f>IF(Table1[[#This Row],[Study site]]="N/A","",Table1[[#This Row],[Study site]])</f>
        <v>Langevad Å, DK</v>
      </c>
      <c r="C60" s="22" t="str">
        <f>IF(Table1[[#This Row],[WBZ-type]]="N/A","",Table1[[#This Row],[WBZ-type]])</f>
        <v>Rewetted Fen</v>
      </c>
      <c r="D60" s="22" t="str">
        <f>IF(Table1[[#This Row],[Nutrient]]="N/A","",Table1[[#This Row],[Nutrient]])</f>
        <v>total phosphorus</v>
      </c>
      <c r="E60" s="22">
        <f>IF(Table1[[#This Row],[Load (kg N, P/ha/yr)]]="N/A","",Table1[[#This Row],[Load (kg N, P/ha/yr)]])</f>
        <v>7</v>
      </c>
      <c r="F60" s="22">
        <f>IF(Table1[[#This Row],[Loss (kg N, P/ha/yr)]]="N/A","",Table1[[#This Row],[Loss (kg N, P/ha/yr)]])</f>
        <v>6.93</v>
      </c>
      <c r="G60" s="22">
        <f>IF(Table1[[#This Row],[Retention (kg N, P/ha/yr)]]="N/A","",Table1[[#This Row],[Retention (kg N, P/ha/yr)]])</f>
        <v>7.0000000000000007E-2</v>
      </c>
      <c r="H60" s="22">
        <f>IF(Table1[[#This Row],[Efficiency (%)]]="N/A","",Table1[[#This Row],[Efficiency (%)]])</f>
        <v>1</v>
      </c>
      <c r="I60" s="22" t="str">
        <f>IF(Table1[[#This Row],[Organic/Mineral Soil]]="N/A","",Table1[[#This Row],[Organic/Mineral Soil]])</f>
        <v>Organic</v>
      </c>
      <c r="J60" s="22" t="str">
        <f>IF(Table1[[#This Row],[Vegetation type]]="N/A","",Table1[[#This Row],[Vegetation type]])</f>
        <v>Aerenchymous</v>
      </c>
      <c r="K60" s="22" t="str">
        <f>IF(Table1[[#This Row],[Reference]]="N/A","",Table1[[#This Row],[Reference]])</f>
        <v>Hoffmann et al., 2009, Mander et al 1997; Hoffmann 1991</v>
      </c>
      <c r="L60" s="22" t="str">
        <f>IF(Table1[[#This Row],[Main source/flow path in]]="N/A","",Table1[[#This Row],[Main source/flow path in]])</f>
        <v>Drain discharge from upland</v>
      </c>
      <c r="M60" s="22" t="str">
        <f>IF(Table1[[#This Row],[Main source/flow path in (simple)]]="N/A","",Table1[[#This Row],[Main source/flow path in (simple)]])</f>
        <v>SWU</v>
      </c>
      <c r="N60" s="22" t="str">
        <f>IF(Table1[[#This Row],[Main flow paths in buffer]]="N/A","",Table1[[#This Row],[Main flow paths in buffer]])</f>
        <v>Infiltration and direct surface runoff</v>
      </c>
      <c r="O60" s="22" t="str">
        <f>IF(Table1[[#This Row],[Inflow=&gt;Outflow]]="N/A","",Table1[[#This Row],[Inflow=&gt;Outflow]])</f>
        <v>SWU=&gt;GW</v>
      </c>
      <c r="P60" s="22">
        <f>IF(Table1[[#This Row],[Width '[m']]]="N/A","",Table1[[#This Row],[Width '[m']]])</f>
        <v>30</v>
      </c>
      <c r="Q60" s="22">
        <f>IF(Table1[[#This Row],[Area '[m²']]]="N/A","",Table1[[#This Row],[Area '[m²']]])</f>
        <v>1370</v>
      </c>
      <c r="R60" s="22">
        <f>IF(Table1[[#This Row],[Qin '[m³/yr']]]="N/A","",Table1[[#This Row],[Qin '[m³/yr']]])</f>
        <v>24502.45</v>
      </c>
      <c r="S60" s="22" t="str">
        <f>IF(Table1[[#This Row],[Catchment area '[ha']]]="N/A","",Table1[[#This Row],[Catchment area '[ha']]])</f>
        <v/>
      </c>
      <c r="T60" s="22">
        <f>IF(Table1[[#This Row],[HLR '[mm']]]="N/A","",Table1[[#This Row],[HLR '[mm']]])</f>
        <v>17885</v>
      </c>
    </row>
    <row r="61" spans="1:20" x14ac:dyDescent="0.3">
      <c r="A61" s="22" t="str">
        <f>IF(Table1[[#This Row],[Country]]="N/A","",Table1[[#This Row],[Country]])</f>
        <v>Denmark</v>
      </c>
      <c r="B61" s="22" t="str">
        <f>IF(Table1[[#This Row],[Study site]]="N/A","",Table1[[#This Row],[Study site]])</f>
        <v>Lindkær, DK</v>
      </c>
      <c r="C61" s="22" t="str">
        <f>IF(Table1[[#This Row],[WBZ-type]]="N/A","",Table1[[#This Row],[WBZ-type]])</f>
        <v>Rewetted Fen</v>
      </c>
      <c r="D61" s="22" t="str">
        <f>IF(Table1[[#This Row],[Nutrient]]="N/A","",Table1[[#This Row],[Nutrient]])</f>
        <v>total nitrogen</v>
      </c>
      <c r="E61" s="22">
        <f>IF(Table1[[#This Row],[Load (kg N, P/ha/yr)]]="N/A","",Table1[[#This Row],[Load (kg N, P/ha/yr)]])</f>
        <v>297</v>
      </c>
      <c r="F61" s="22">
        <f>IF(Table1[[#This Row],[Loss (kg N, P/ha/yr)]]="N/A","",Table1[[#This Row],[Loss (kg N, P/ha/yr)]])</f>
        <v>106.029</v>
      </c>
      <c r="G61" s="22">
        <f>IF(Table1[[#This Row],[Retention (kg N, P/ha/yr)]]="N/A","",Table1[[#This Row],[Retention (kg N, P/ha/yr)]])</f>
        <v>190.971</v>
      </c>
      <c r="H61" s="22">
        <f>IF(Table1[[#This Row],[Efficiency (%)]]="N/A","",Table1[[#This Row],[Efficiency (%)]])</f>
        <v>64.3</v>
      </c>
      <c r="I61" s="22" t="str">
        <f>IF(Table1[[#This Row],[Organic/Mineral Soil]]="N/A","",Table1[[#This Row],[Organic/Mineral Soil]])</f>
        <v>Organic</v>
      </c>
      <c r="J61" s="22" t="str">
        <f>IF(Table1[[#This Row],[Vegetation type]]="N/A","",Table1[[#This Row],[Vegetation type]])</f>
        <v>Aerenchymous</v>
      </c>
      <c r="K61" s="22" t="str">
        <f>IF(Table1[[#This Row],[Reference]]="N/A","",Table1[[#This Row],[Reference]])</f>
        <v xml:space="preserve">Hoffmann C. &amp; Baattrup-Pedersen A., 2007 </v>
      </c>
      <c r="L61" s="22" t="str">
        <f>IF(Table1[[#This Row],[Main source/flow path in]]="N/A","",Table1[[#This Row],[Main source/flow path in]])</f>
        <v>Drain discharge from upland</v>
      </c>
      <c r="M61" s="22" t="str">
        <f>IF(Table1[[#This Row],[Main source/flow path in (simple)]]="N/A","",Table1[[#This Row],[Main source/flow path in (simple)]])</f>
        <v>SWU</v>
      </c>
      <c r="N61" s="22" t="str">
        <f>IF(Table1[[#This Row],[Main flow paths in buffer]]="N/A","",Table1[[#This Row],[Main flow paths in buffer]])</f>
        <v>Direct surface runoff</v>
      </c>
      <c r="O61" s="22" t="str">
        <f>IF(Table1[[#This Row],[Inflow=&gt;Outflow]]="N/A","",Table1[[#This Row],[Inflow=&gt;Outflow]])</f>
        <v>SWU=&gt;SR</v>
      </c>
      <c r="P61" s="22" t="str">
        <f>IF(Table1[[#This Row],[Width '[m']]]="N/A","",Table1[[#This Row],[Width '[m']]])</f>
        <v/>
      </c>
      <c r="Q61" s="22">
        <f>IF(Table1[[#This Row],[Area '[m²']]]="N/A","",Table1[[#This Row],[Area '[m²']]])</f>
        <v>840000</v>
      </c>
      <c r="R61" s="22" t="str">
        <f>IF(Table1[[#This Row],[Qin '[m³/yr']]]="N/A","",Table1[[#This Row],[Qin '[m³/yr']]])</f>
        <v/>
      </c>
      <c r="S61" s="22">
        <f>IF(Table1[[#This Row],[Catchment area '[ha']]]="N/A","",Table1[[#This Row],[Catchment area '[ha']]])</f>
        <v>916</v>
      </c>
      <c r="T61" s="22" t="str">
        <f>IF(Table1[[#This Row],[HLR '[mm']]]="N/A","",Table1[[#This Row],[HLR '[mm']]])</f>
        <v/>
      </c>
    </row>
    <row r="62" spans="1:20" x14ac:dyDescent="0.3">
      <c r="A62" s="22" t="str">
        <f>IF(Table1[[#This Row],[Country]]="N/A","",Table1[[#This Row],[Country]])</f>
        <v>Denmark</v>
      </c>
      <c r="B62" s="22" t="str">
        <f>IF(Table1[[#This Row],[Study site]]="N/A","",Table1[[#This Row],[Study site]])</f>
        <v>Lyngbygaards Å, DK</v>
      </c>
      <c r="C62" s="22" t="str">
        <f>IF(Table1[[#This Row],[WBZ-type]]="N/A","",Table1[[#This Row],[WBZ-type]])</f>
        <v>Rewetted fen</v>
      </c>
      <c r="D62" s="22" t="str">
        <f>IF(Table1[[#This Row],[Nutrient]]="N/A","",Table1[[#This Row],[Nutrient]])</f>
        <v>total nitrogen</v>
      </c>
      <c r="E62" s="22">
        <f>IF(Table1[[#This Row],[Load (kg N, P/ha/yr)]]="N/A","",Table1[[#This Row],[Load (kg N, P/ha/yr)]])</f>
        <v>2631.3</v>
      </c>
      <c r="F62" s="22">
        <f>IF(Table1[[#This Row],[Loss (kg N, P/ha/yr)]]="N/A","",Table1[[#This Row],[Loss (kg N, P/ha/yr)]])</f>
        <v>2323.4379000000004</v>
      </c>
      <c r="G62" s="22">
        <f>IF(Table1[[#This Row],[Retention (kg N, P/ha/yr)]]="N/A","",Table1[[#This Row],[Retention (kg N, P/ha/yr)]])</f>
        <v>307.8621</v>
      </c>
      <c r="H62" s="22">
        <f>IF(Table1[[#This Row],[Efficiency (%)]]="N/A","",Table1[[#This Row],[Efficiency (%)]])</f>
        <v>11.7</v>
      </c>
      <c r="I62" s="22" t="str">
        <f>IF(Table1[[#This Row],[Organic/Mineral Soil]]="N/A","",Table1[[#This Row],[Organic/Mineral Soil]])</f>
        <v>Organic</v>
      </c>
      <c r="J62" s="22" t="str">
        <f>IF(Table1[[#This Row],[Vegetation type]]="N/A","",Table1[[#This Row],[Vegetation type]])</f>
        <v>Aerenchymous</v>
      </c>
      <c r="K62" s="22" t="str">
        <f>IF(Table1[[#This Row],[Reference]]="N/A","",Table1[[#This Row],[Reference]])</f>
        <v>Audet J., et al., 2019</v>
      </c>
      <c r="L62" s="22" t="str">
        <f>IF(Table1[[#This Row],[Main source/flow path in]]="N/A","",Table1[[#This Row],[Main source/flow path in]])</f>
        <v>Stream water</v>
      </c>
      <c r="M62" s="22" t="str">
        <f>IF(Table1[[#This Row],[Main source/flow path in (simple)]]="N/A","",Table1[[#This Row],[Main source/flow path in (simple)]])</f>
        <v>SWR</v>
      </c>
      <c r="N62" s="22" t="str">
        <f>IF(Table1[[#This Row],[Main flow paths in buffer]]="N/A","",Table1[[#This Row],[Main flow paths in buffer]])</f>
        <v>Direct surface runoff</v>
      </c>
      <c r="O62" s="22" t="str">
        <f>IF(Table1[[#This Row],[Inflow=&gt;Outflow]]="N/A","",Table1[[#This Row],[Inflow=&gt;Outflow]])</f>
        <v>SWR=&gt;SR</v>
      </c>
      <c r="P62" s="22">
        <f>IF(Table1[[#This Row],[Width '[m']]]="N/A","",Table1[[#This Row],[Width '[m']]])</f>
        <v>0</v>
      </c>
      <c r="Q62" s="22">
        <f>IF(Table1[[#This Row],[Area '[m²']]]="N/A","",Table1[[#This Row],[Area '[m²']]])</f>
        <v>400000</v>
      </c>
      <c r="R62" s="22">
        <f>IF(Table1[[#This Row],[Qin '[m³/yr']]]="N/A","",Table1[[#This Row],[Qin '[m³/yr']]])</f>
        <v>22652000</v>
      </c>
      <c r="S62" s="22">
        <f>IF(Table1[[#This Row],[Catchment area '[ha']]]="N/A","",Table1[[#This Row],[Catchment area '[ha']]])</f>
        <v>5721</v>
      </c>
      <c r="T62" s="22">
        <f>IF(Table1[[#This Row],[HLR '[mm']]]="N/A","",Table1[[#This Row],[HLR '[mm']]])</f>
        <v>56630</v>
      </c>
    </row>
    <row r="63" spans="1:20" hidden="1" x14ac:dyDescent="0.3">
      <c r="A63" s="22" t="str">
        <f>IF(Table1[[#This Row],[Country]]="N/A","",Table1[[#This Row],[Country]])</f>
        <v>Denmark</v>
      </c>
      <c r="B63" s="22" t="str">
        <f>IF(Table1[[#This Row],[Study site]]="N/A","",Table1[[#This Row],[Study site]])</f>
        <v>Lyngbygaards Å, DK</v>
      </c>
      <c r="C63" s="22" t="str">
        <f>IF(Table1[[#This Row],[WBZ-type]]="N/A","",Table1[[#This Row],[WBZ-type]])</f>
        <v>Rewetted fen</v>
      </c>
      <c r="D63" s="22" t="str">
        <f>IF(Table1[[#This Row],[Nutrient]]="N/A","",Table1[[#This Row],[Nutrient]])</f>
        <v>total phosphorus</v>
      </c>
      <c r="E63" s="22">
        <f>IF(Table1[[#This Row],[Load (kg N, P/ha/yr)]]="N/A","",Table1[[#This Row],[Load (kg N, P/ha/yr)]])</f>
        <v>50</v>
      </c>
      <c r="F63" s="22">
        <f>IF(Table1[[#This Row],[Loss (kg N, P/ha/yr)]]="N/A","",Table1[[#This Row],[Loss (kg N, P/ha/yr)]])</f>
        <v>43.5</v>
      </c>
      <c r="G63" s="22">
        <f>IF(Table1[[#This Row],[Retention (kg N, P/ha/yr)]]="N/A","",Table1[[#This Row],[Retention (kg N, P/ha/yr)]])</f>
        <v>6.5</v>
      </c>
      <c r="H63" s="22">
        <f>IF(Table1[[#This Row],[Efficiency (%)]]="N/A","",Table1[[#This Row],[Efficiency (%)]])</f>
        <v>13</v>
      </c>
      <c r="I63" s="22" t="str">
        <f>IF(Table1[[#This Row],[Organic/Mineral Soil]]="N/A","",Table1[[#This Row],[Organic/Mineral Soil]])</f>
        <v>Organic</v>
      </c>
      <c r="J63" s="22" t="str">
        <f>IF(Table1[[#This Row],[Vegetation type]]="N/A","",Table1[[#This Row],[Vegetation type]])</f>
        <v>Aerenchymous</v>
      </c>
      <c r="K63" s="22" t="str">
        <f>IF(Table1[[#This Row],[Reference]]="N/A","",Table1[[#This Row],[Reference]])</f>
        <v>Audet J., et al., 2019</v>
      </c>
      <c r="L63" s="22" t="str">
        <f>IF(Table1[[#This Row],[Main source/flow path in]]="N/A","",Table1[[#This Row],[Main source/flow path in]])</f>
        <v>Stream water</v>
      </c>
      <c r="M63" s="22" t="str">
        <f>IF(Table1[[#This Row],[Main source/flow path in (simple)]]="N/A","",Table1[[#This Row],[Main source/flow path in (simple)]])</f>
        <v>SWR</v>
      </c>
      <c r="N63" s="22" t="str">
        <f>IF(Table1[[#This Row],[Main flow paths in buffer]]="N/A","",Table1[[#This Row],[Main flow paths in buffer]])</f>
        <v>Direct surface runoff</v>
      </c>
      <c r="O63" s="22" t="str">
        <f>IF(Table1[[#This Row],[Inflow=&gt;Outflow]]="N/A","",Table1[[#This Row],[Inflow=&gt;Outflow]])</f>
        <v>SWR=&gt;SR</v>
      </c>
      <c r="P63" s="22">
        <f>IF(Table1[[#This Row],[Width '[m']]]="N/A","",Table1[[#This Row],[Width '[m']]])</f>
        <v>0</v>
      </c>
      <c r="Q63" s="22">
        <f>IF(Table1[[#This Row],[Area '[m²']]]="N/A","",Table1[[#This Row],[Area '[m²']]])</f>
        <v>400000</v>
      </c>
      <c r="R63" s="22">
        <f>IF(Table1[[#This Row],[Qin '[m³/yr']]]="N/A","",Table1[[#This Row],[Qin '[m³/yr']]])</f>
        <v>22652000</v>
      </c>
      <c r="S63" s="22">
        <f>IF(Table1[[#This Row],[Catchment area '[ha']]]="N/A","",Table1[[#This Row],[Catchment area '[ha']]])</f>
        <v>5721</v>
      </c>
      <c r="T63" s="22">
        <f>IF(Table1[[#This Row],[HLR '[mm']]]="N/A","",Table1[[#This Row],[HLR '[mm']]])</f>
        <v>56630</v>
      </c>
    </row>
    <row r="64" spans="1:20" hidden="1" x14ac:dyDescent="0.3">
      <c r="A64" s="22" t="str">
        <f>IF(Table1[[#This Row],[Country]]="N/A","",Table1[[#This Row],[Country]])</f>
        <v>Denmark</v>
      </c>
      <c r="B64" s="22" t="str">
        <f>IF(Table1[[#This Row],[Study site]]="N/A","",Table1[[#This Row],[Study site]])</f>
        <v>Lyngbygaards Å, DK</v>
      </c>
      <c r="C64" s="22" t="str">
        <f>IF(Table1[[#This Row],[WBZ-type]]="N/A","",Table1[[#This Row],[WBZ-type]])</f>
        <v>Rewetted fen</v>
      </c>
      <c r="D64" s="22" t="str">
        <f>IF(Table1[[#This Row],[Nutrient]]="N/A","",Table1[[#This Row],[Nutrient]])</f>
        <v>nitrate</v>
      </c>
      <c r="E64" s="22">
        <f>IF(Table1[[#This Row],[Load (kg N, P/ha/yr)]]="N/A","",Table1[[#This Row],[Load (kg N, P/ha/yr)]])</f>
        <v>2379.0626935917812</v>
      </c>
      <c r="F64" s="22">
        <f>IF(Table1[[#This Row],[Loss (kg N, P/ha/yr)]]="N/A","",Table1[[#This Row],[Loss (kg N, P/ha/yr)]])</f>
        <v>0</v>
      </c>
      <c r="G64" s="22">
        <f>IF(Table1[[#This Row],[Retention (kg N, P/ha/yr)]]="N/A","",Table1[[#This Row],[Retention (kg N, P/ha/yr)]])</f>
        <v>304.03924000000001</v>
      </c>
      <c r="H64" s="22">
        <f>IF(Table1[[#This Row],[Efficiency (%)]]="N/A","",Table1[[#This Row],[Efficiency (%)]])</f>
        <v>12.779790999999999</v>
      </c>
      <c r="I64" s="22" t="str">
        <f>IF(Table1[[#This Row],[Organic/Mineral Soil]]="N/A","",Table1[[#This Row],[Organic/Mineral Soil]])</f>
        <v>Organic</v>
      </c>
      <c r="J64" s="22" t="str">
        <f>IF(Table1[[#This Row],[Vegetation type]]="N/A","",Table1[[#This Row],[Vegetation type]])</f>
        <v>Aerenchymous</v>
      </c>
      <c r="K64" s="22" t="str">
        <f>IF(Table1[[#This Row],[Reference]]="N/A","",Table1[[#This Row],[Reference]])</f>
        <v>Audet J., et al., 2019</v>
      </c>
      <c r="L64" s="22" t="str">
        <f>IF(Table1[[#This Row],[Main source/flow path in]]="N/A","",Table1[[#This Row],[Main source/flow path in]])</f>
        <v>Stream water</v>
      </c>
      <c r="M64" s="22" t="str">
        <f>IF(Table1[[#This Row],[Main source/flow path in (simple)]]="N/A","",Table1[[#This Row],[Main source/flow path in (simple)]])</f>
        <v>SWR</v>
      </c>
      <c r="N64" s="22" t="str">
        <f>IF(Table1[[#This Row],[Main flow paths in buffer]]="N/A","",Table1[[#This Row],[Main flow paths in buffer]])</f>
        <v>Direct surface runoff</v>
      </c>
      <c r="O64" s="22" t="str">
        <f>IF(Table1[[#This Row],[Inflow=&gt;Outflow]]="N/A","",Table1[[#This Row],[Inflow=&gt;Outflow]])</f>
        <v>SWR=&gt;SR</v>
      </c>
      <c r="P64" s="22">
        <f>IF(Table1[[#This Row],[Width '[m']]]="N/A","",Table1[[#This Row],[Width '[m']]])</f>
        <v>0</v>
      </c>
      <c r="Q64" s="22">
        <f>IF(Table1[[#This Row],[Area '[m²']]]="N/A","",Table1[[#This Row],[Area '[m²']]])</f>
        <v>400000</v>
      </c>
      <c r="R64" s="22">
        <f>IF(Table1[[#This Row],[Qin '[m³/yr']]]="N/A","",Table1[[#This Row],[Qin '[m³/yr']]])</f>
        <v>22652000</v>
      </c>
      <c r="S64" s="22">
        <f>IF(Table1[[#This Row],[Catchment area '[ha']]]="N/A","",Table1[[#This Row],[Catchment area '[ha']]])</f>
        <v>5721</v>
      </c>
      <c r="T64" s="22">
        <f>IF(Table1[[#This Row],[HLR '[mm']]]="N/A","",Table1[[#This Row],[HLR '[mm']]])</f>
        <v>56630</v>
      </c>
    </row>
    <row r="65" spans="1:20" hidden="1" x14ac:dyDescent="0.3">
      <c r="A65" s="22" t="str">
        <f>IF(Table1[[#This Row],[Country]]="N/A","",Table1[[#This Row],[Country]])</f>
        <v>Denmark</v>
      </c>
      <c r="B65" s="22" t="str">
        <f>IF(Table1[[#This Row],[Study site]]="N/A","",Table1[[#This Row],[Study site]])</f>
        <v>Lyngbygaards Å, DK</v>
      </c>
      <c r="C65" s="22" t="str">
        <f>IF(Table1[[#This Row],[WBZ-type]]="N/A","",Table1[[#This Row],[WBZ-type]])</f>
        <v>Rewetted fen</v>
      </c>
      <c r="D65" s="22" t="str">
        <f>IF(Table1[[#This Row],[Nutrient]]="N/A","",Table1[[#This Row],[Nutrient]])</f>
        <v>SRP</v>
      </c>
      <c r="E65" s="22">
        <f>IF(Table1[[#This Row],[Load (kg N, P/ha/yr)]]="N/A","",Table1[[#This Row],[Load (kg N, P/ha/yr)]])</f>
        <v>15.686550956402336</v>
      </c>
      <c r="F65" s="22">
        <f>IF(Table1[[#This Row],[Loss (kg N, P/ha/yr)]]="N/A","",Table1[[#This Row],[Loss (kg N, P/ha/yr)]])</f>
        <v>0</v>
      </c>
      <c r="G65" s="22">
        <f>IF(Table1[[#This Row],[Retention (kg N, P/ha/yr)]]="N/A","",Table1[[#This Row],[Retention (kg N, P/ha/yr)]])</f>
        <v>3.1895416999999999</v>
      </c>
      <c r="H65" s="22">
        <f>IF(Table1[[#This Row],[Efficiency (%)]]="N/A","",Table1[[#This Row],[Efficiency (%)]])</f>
        <v>20.33297</v>
      </c>
      <c r="I65" s="22" t="str">
        <f>IF(Table1[[#This Row],[Organic/Mineral Soil]]="N/A","",Table1[[#This Row],[Organic/Mineral Soil]])</f>
        <v>Organic</v>
      </c>
      <c r="J65" s="22" t="str">
        <f>IF(Table1[[#This Row],[Vegetation type]]="N/A","",Table1[[#This Row],[Vegetation type]])</f>
        <v>Aerenchymous</v>
      </c>
      <c r="K65" s="22" t="str">
        <f>IF(Table1[[#This Row],[Reference]]="N/A","",Table1[[#This Row],[Reference]])</f>
        <v>Audet J., et al., 2019</v>
      </c>
      <c r="L65" s="22" t="str">
        <f>IF(Table1[[#This Row],[Main source/flow path in]]="N/A","",Table1[[#This Row],[Main source/flow path in]])</f>
        <v>Stream water</v>
      </c>
      <c r="M65" s="22" t="str">
        <f>IF(Table1[[#This Row],[Main source/flow path in (simple)]]="N/A","",Table1[[#This Row],[Main source/flow path in (simple)]])</f>
        <v>SWR</v>
      </c>
      <c r="N65" s="22" t="str">
        <f>IF(Table1[[#This Row],[Main flow paths in buffer]]="N/A","",Table1[[#This Row],[Main flow paths in buffer]])</f>
        <v>Direct surface runoff</v>
      </c>
      <c r="O65" s="22" t="str">
        <f>IF(Table1[[#This Row],[Inflow=&gt;Outflow]]="N/A","",Table1[[#This Row],[Inflow=&gt;Outflow]])</f>
        <v>SWR=&gt;SR</v>
      </c>
      <c r="P65" s="22">
        <f>IF(Table1[[#This Row],[Width '[m']]]="N/A","",Table1[[#This Row],[Width '[m']]])</f>
        <v>0</v>
      </c>
      <c r="Q65" s="22">
        <f>IF(Table1[[#This Row],[Area '[m²']]]="N/A","",Table1[[#This Row],[Area '[m²']]])</f>
        <v>400000</v>
      </c>
      <c r="R65" s="22">
        <f>IF(Table1[[#This Row],[Qin '[m³/yr']]]="N/A","",Table1[[#This Row],[Qin '[m³/yr']]])</f>
        <v>22652000</v>
      </c>
      <c r="S65" s="22">
        <f>IF(Table1[[#This Row],[Catchment area '[ha']]]="N/A","",Table1[[#This Row],[Catchment area '[ha']]])</f>
        <v>5721</v>
      </c>
      <c r="T65" s="22">
        <f>IF(Table1[[#This Row],[HLR '[mm']]]="N/A","",Table1[[#This Row],[HLR '[mm']]])</f>
        <v>56630</v>
      </c>
    </row>
    <row r="66" spans="1:20" hidden="1" x14ac:dyDescent="0.3">
      <c r="A66" s="22" t="str">
        <f>IF(Table1[[#This Row],[Country]]="N/A","",Table1[[#This Row],[Country]])</f>
        <v>Denmark</v>
      </c>
      <c r="B66" s="22" t="str">
        <f>IF(Table1[[#This Row],[Study site]]="N/A","",Table1[[#This Row],[Study site]])</f>
        <v>Nagbøl Å, DK</v>
      </c>
      <c r="C66" s="22" t="str">
        <f>IF(Table1[[#This Row],[WBZ-type]]="N/A","",Table1[[#This Row],[WBZ-type]])</f>
        <v>Rewetted Fen</v>
      </c>
      <c r="D66" s="22" t="str">
        <f>IF(Table1[[#This Row],[Nutrient]]="N/A","",Table1[[#This Row],[Nutrient]])</f>
        <v>total phosphorus</v>
      </c>
      <c r="E66" s="22">
        <f>IF(Table1[[#This Row],[Load (kg N, P/ha/yr)]]="N/A","",Table1[[#This Row],[Load (kg N, P/ha/yr)]])</f>
        <v>8.1818181818181834</v>
      </c>
      <c r="F66" s="22">
        <f>IF(Table1[[#This Row],[Loss (kg N, P/ha/yr)]]="N/A","",Table1[[#This Row],[Loss (kg N, P/ha/yr)]])</f>
        <v>7.2818181818181831</v>
      </c>
      <c r="G66" s="22">
        <f>IF(Table1[[#This Row],[Retention (kg N, P/ha/yr)]]="N/A","",Table1[[#This Row],[Retention (kg N, P/ha/yr)]])</f>
        <v>0.9</v>
      </c>
      <c r="H66" s="22">
        <f>IF(Table1[[#This Row],[Efficiency (%)]]="N/A","",Table1[[#This Row],[Efficiency (%)]])</f>
        <v>11</v>
      </c>
      <c r="I66" s="22" t="str">
        <f>IF(Table1[[#This Row],[Organic/Mineral Soil]]="N/A","",Table1[[#This Row],[Organic/Mineral Soil]])</f>
        <v>Organic</v>
      </c>
      <c r="J66" s="22" t="str">
        <f>IF(Table1[[#This Row],[Vegetation type]]="N/A","",Table1[[#This Row],[Vegetation type]])</f>
        <v>Aerenchymous</v>
      </c>
      <c r="K66" s="22" t="str">
        <f>IF(Table1[[#This Row],[Reference]]="N/A","",Table1[[#This Row],[Reference]])</f>
        <v>Hoffmann et al., 2009</v>
      </c>
      <c r="L66" s="22" t="str">
        <f>IF(Table1[[#This Row],[Main source/flow path in]]="N/A","",Table1[[#This Row],[Main source/flow path in]])</f>
        <v>River inundation and drain discharge from upland</v>
      </c>
      <c r="M66" s="22" t="str">
        <f>IF(Table1[[#This Row],[Main source/flow path in (simple)]]="N/A","",Table1[[#This Row],[Main source/flow path in (simple)]])</f>
        <v>SWR</v>
      </c>
      <c r="N66" s="22" t="str">
        <f>IF(Table1[[#This Row],[Main flow paths in buffer]]="N/A","",Table1[[#This Row],[Main flow paths in buffer]])</f>
        <v>Direct surface runoff</v>
      </c>
      <c r="O66" s="22" t="str">
        <f>IF(Table1[[#This Row],[Inflow=&gt;Outflow]]="N/A","",Table1[[#This Row],[Inflow=&gt;Outflow]])</f>
        <v>SWR=&gt;SR</v>
      </c>
      <c r="P66" s="22" t="str">
        <f>IF(Table1[[#This Row],[Width '[m']]]="N/A","",Table1[[#This Row],[Width '[m']]])</f>
        <v/>
      </c>
      <c r="Q66" s="22">
        <f>IF(Table1[[#This Row],[Area '[m²']]]="N/A","",Table1[[#This Row],[Area '[m²']]])</f>
        <v>640000</v>
      </c>
      <c r="R66" s="22" t="str">
        <f>IF(Table1[[#This Row],[Qin '[m³/yr']]]="N/A","",Table1[[#This Row],[Qin '[m³/yr']]])</f>
        <v/>
      </c>
      <c r="S66" s="22" t="str">
        <f>IF(Table1[[#This Row],[Catchment area '[ha']]]="N/A","",Table1[[#This Row],[Catchment area '[ha']]])</f>
        <v/>
      </c>
      <c r="T66" s="22" t="str">
        <f>IF(Table1[[#This Row],[HLR '[mm']]]="N/A","",Table1[[#This Row],[HLR '[mm']]])</f>
        <v/>
      </c>
    </row>
    <row r="67" spans="1:20" x14ac:dyDescent="0.3">
      <c r="A67" s="22" t="str">
        <f>IF(Table1[[#This Row],[Country]]="N/A","",Table1[[#This Row],[Country]])</f>
        <v>Denmark</v>
      </c>
      <c r="B67" s="22" t="str">
        <f>IF(Table1[[#This Row],[Study site]]="N/A","",Table1[[#This Row],[Study site]])</f>
        <v>Nagbøl Å, DK</v>
      </c>
      <c r="C67" s="22" t="str">
        <f>IF(Table1[[#This Row],[WBZ-type]]="N/A","",Table1[[#This Row],[WBZ-type]])</f>
        <v>Rewetted Fen</v>
      </c>
      <c r="D67" s="22" t="str">
        <f>IF(Table1[[#This Row],[Nutrient]]="N/A","",Table1[[#This Row],[Nutrient]])</f>
        <v>total nitrogen</v>
      </c>
      <c r="E67" s="22">
        <f>IF(Table1[[#This Row],[Load (kg N, P/ha/yr)]]="N/A","",Table1[[#This Row],[Load (kg N, P/ha/yr)]])</f>
        <v>0</v>
      </c>
      <c r="F67" s="22">
        <f>IF(Table1[[#This Row],[Loss (kg N, P/ha/yr)]]="N/A","",Table1[[#This Row],[Loss (kg N, P/ha/yr)]])</f>
        <v>0</v>
      </c>
      <c r="G67" s="22">
        <f>IF(Table1[[#This Row],[Retention (kg N, P/ha/yr)]]="N/A","",Table1[[#This Row],[Retention (kg N, P/ha/yr)]])</f>
        <v>163</v>
      </c>
      <c r="H67" s="22">
        <f>IF(Table1[[#This Row],[Efficiency (%)]]="N/A","",Table1[[#This Row],[Efficiency (%)]])</f>
        <v>0</v>
      </c>
      <c r="I67" s="22" t="str">
        <f>IF(Table1[[#This Row],[Organic/Mineral Soil]]="N/A","",Table1[[#This Row],[Organic/Mineral Soil]])</f>
        <v>Organic</v>
      </c>
      <c r="J67" s="22" t="str">
        <f>IF(Table1[[#This Row],[Vegetation type]]="N/A","",Table1[[#This Row],[Vegetation type]])</f>
        <v>Aerenchymous</v>
      </c>
      <c r="K67" s="22" t="str">
        <f>IF(Table1[[#This Row],[Reference]]="N/A","",Table1[[#This Row],[Reference]])</f>
        <v>Jeppesen E., et al., 2011</v>
      </c>
      <c r="L67" s="22" t="str">
        <f>IF(Table1[[#This Row],[Main source/flow path in]]="N/A","",Table1[[#This Row],[Main source/flow path in]])</f>
        <v>River inundation and drain discharge from upland</v>
      </c>
      <c r="M67" s="22" t="str">
        <f>IF(Table1[[#This Row],[Main source/flow path in (simple)]]="N/A","",Table1[[#This Row],[Main source/flow path in (simple)]])</f>
        <v>SWR</v>
      </c>
      <c r="N67" s="22" t="str">
        <f>IF(Table1[[#This Row],[Main flow paths in buffer]]="N/A","",Table1[[#This Row],[Main flow paths in buffer]])</f>
        <v>Direct surface runoff</v>
      </c>
      <c r="O67" s="22" t="str">
        <f>IF(Table1[[#This Row],[Inflow=&gt;Outflow]]="N/A","",Table1[[#This Row],[Inflow=&gt;Outflow]])</f>
        <v>SWR=&gt;SR</v>
      </c>
      <c r="P67" s="22" t="str">
        <f>IF(Table1[[#This Row],[Width '[m']]]="N/A","",Table1[[#This Row],[Width '[m']]])</f>
        <v/>
      </c>
      <c r="Q67" s="22">
        <f>IF(Table1[[#This Row],[Area '[m²']]]="N/A","",Table1[[#This Row],[Area '[m²']]])</f>
        <v>640000</v>
      </c>
      <c r="R67" s="22" t="str">
        <f>IF(Table1[[#This Row],[Qin '[m³/yr']]]="N/A","",Table1[[#This Row],[Qin '[m³/yr']]])</f>
        <v/>
      </c>
      <c r="S67" s="22" t="str">
        <f>IF(Table1[[#This Row],[Catchment area '[ha']]]="N/A","",Table1[[#This Row],[Catchment area '[ha']]])</f>
        <v/>
      </c>
      <c r="T67" s="22" t="str">
        <f>IF(Table1[[#This Row],[HLR '[mm']]]="N/A","",Table1[[#This Row],[HLR '[mm']]])</f>
        <v/>
      </c>
    </row>
    <row r="68" spans="1:20" hidden="1" x14ac:dyDescent="0.3">
      <c r="A68" s="22" t="str">
        <f>IF(Table1[[#This Row],[Country]]="N/A","",Table1[[#This Row],[Country]])</f>
        <v>Denmark</v>
      </c>
      <c r="B68" s="22" t="str">
        <f>IF(Table1[[#This Row],[Study site]]="N/A","",Table1[[#This Row],[Study site]])</f>
        <v>Rabis Bæk, DK</v>
      </c>
      <c r="C68" s="22" t="str">
        <f>IF(Table1[[#This Row],[WBZ-type]]="N/A","",Table1[[#This Row],[WBZ-type]])</f>
        <v>Rewetted Fen</v>
      </c>
      <c r="D68" s="22" t="str">
        <f>IF(Table1[[#This Row],[Nutrient]]="N/A","",Table1[[#This Row],[Nutrient]])</f>
        <v>nitrate</v>
      </c>
      <c r="E68" s="22">
        <f>IF(Table1[[#This Row],[Load (kg N, P/ha/yr)]]="N/A","",Table1[[#This Row],[Load (kg N, P/ha/yr)]])</f>
        <v>709.02</v>
      </c>
      <c r="F68" s="22">
        <f>IF(Table1[[#This Row],[Loss (kg N, P/ha/yr)]]="N/A","",Table1[[#This Row],[Loss (kg N, P/ha/yr)]])</f>
        <v>319.02</v>
      </c>
      <c r="G68" s="22">
        <f>IF(Table1[[#This Row],[Retention (kg N, P/ha/yr)]]="N/A","",Table1[[#This Row],[Retention (kg N, P/ha/yr)]])</f>
        <v>390</v>
      </c>
      <c r="H68" s="22">
        <f>IF(Table1[[#This Row],[Efficiency (%)]]="N/A","",Table1[[#This Row],[Efficiency (%)]])</f>
        <v>55</v>
      </c>
      <c r="I68" s="22" t="str">
        <f>IF(Table1[[#This Row],[Organic/Mineral Soil]]="N/A","",Table1[[#This Row],[Organic/Mineral Soil]])</f>
        <v>Organic</v>
      </c>
      <c r="J68" s="22" t="str">
        <f>IF(Table1[[#This Row],[Vegetation type]]="N/A","",Table1[[#This Row],[Vegetation type]])</f>
        <v>Herbaceous</v>
      </c>
      <c r="K68" s="22" t="str">
        <f>IF(Table1[[#This Row],[Reference]]="N/A","",Table1[[#This Row],[Reference]])</f>
        <v>Brüsch &amp; Nilsson, 1993</v>
      </c>
      <c r="L68" s="22" t="str">
        <f>IF(Table1[[#This Row],[Main source/flow path in]]="N/A","",Table1[[#This Row],[Main source/flow path in]])</f>
        <v>Groundwater</v>
      </c>
      <c r="M68" s="22" t="str">
        <f>IF(Table1[[#This Row],[Main source/flow path in (simple)]]="N/A","",Table1[[#This Row],[Main source/flow path in (simple)]])</f>
        <v>GW</v>
      </c>
      <c r="N68" s="22" t="str">
        <f>IF(Table1[[#This Row],[Main flow paths in buffer]]="N/A","",Table1[[#This Row],[Main flow paths in buffer]])</f>
        <v>GW exfiltration =&gt; surface flow (return flow)</v>
      </c>
      <c r="O68" s="22" t="str">
        <f>IF(Table1[[#This Row],[Inflow=&gt;Outflow]]="N/A","",Table1[[#This Row],[Inflow=&gt;Outflow]])</f>
        <v>GW=&gt;SR</v>
      </c>
      <c r="P68" s="22">
        <f>IF(Table1[[#This Row],[Width '[m']]]="N/A","",Table1[[#This Row],[Width '[m']]])</f>
        <v>16</v>
      </c>
      <c r="Q68" s="22">
        <f>IF(Table1[[#This Row],[Area '[m²']]]="N/A","",Table1[[#This Row],[Area '[m²']]])</f>
        <v>1600</v>
      </c>
      <c r="R68" s="22">
        <f>IF(Table1[[#This Row],[Qin '[m³/yr']]]="N/A","",Table1[[#This Row],[Qin '[m³/yr']]])</f>
        <v>8260</v>
      </c>
      <c r="S68" s="22" t="str">
        <f>IF(Table1[[#This Row],[Catchment area '[ha']]]="N/A","",Table1[[#This Row],[Catchment area '[ha']]])</f>
        <v/>
      </c>
      <c r="T68" s="22">
        <f>IF(Table1[[#This Row],[HLR '[mm']]]="N/A","",Table1[[#This Row],[HLR '[mm']]])</f>
        <v>5162.5</v>
      </c>
    </row>
    <row r="69" spans="1:20" x14ac:dyDescent="0.3">
      <c r="A69" s="22" t="str">
        <f>IF(Table1[[#This Row],[Country]]="N/A","",Table1[[#This Row],[Country]])</f>
        <v>Denmark</v>
      </c>
      <c r="B69" s="22" t="str">
        <f>IF(Table1[[#This Row],[Study site]]="N/A","",Table1[[#This Row],[Study site]])</f>
        <v>Sandskær, DK</v>
      </c>
      <c r="C69" s="22" t="str">
        <f>IF(Table1[[#This Row],[WBZ-type]]="N/A","",Table1[[#This Row],[WBZ-type]])</f>
        <v>Rewetted Fen</v>
      </c>
      <c r="D69" s="22" t="str">
        <f>IF(Table1[[#This Row],[Nutrient]]="N/A","",Table1[[#This Row],[Nutrient]])</f>
        <v>total nitrogen</v>
      </c>
      <c r="E69" s="22">
        <f>IF(Table1[[#This Row],[Load (kg N, P/ha/yr)]]="N/A","",Table1[[#This Row],[Load (kg N, P/ha/yr)]])</f>
        <v>421.7</v>
      </c>
      <c r="F69" s="22">
        <f>IF(Table1[[#This Row],[Loss (kg N, P/ha/yr)]]="N/A","",Table1[[#This Row],[Loss (kg N, P/ha/yr)]])</f>
        <v>245.42939999999999</v>
      </c>
      <c r="G69" s="22">
        <f>IF(Table1[[#This Row],[Retention (kg N, P/ha/yr)]]="N/A","",Table1[[#This Row],[Retention (kg N, P/ha/yr)]])</f>
        <v>176.2706</v>
      </c>
      <c r="H69" s="22">
        <f>IF(Table1[[#This Row],[Efficiency (%)]]="N/A","",Table1[[#This Row],[Efficiency (%)]])</f>
        <v>41.8</v>
      </c>
      <c r="I69" s="22" t="str">
        <f>IF(Table1[[#This Row],[Organic/Mineral Soil]]="N/A","",Table1[[#This Row],[Organic/Mineral Soil]])</f>
        <v>Organic</v>
      </c>
      <c r="J69" s="22" t="str">
        <f>IF(Table1[[#This Row],[Vegetation type]]="N/A","",Table1[[#This Row],[Vegetation type]])</f>
        <v>Aerenchymous</v>
      </c>
      <c r="K69" s="22" t="str">
        <f>IF(Table1[[#This Row],[Reference]]="N/A","",Table1[[#This Row],[Reference]])</f>
        <v>Audet J., et al., 2019</v>
      </c>
      <c r="L69" s="22" t="str">
        <f>IF(Table1[[#This Row],[Main source/flow path in]]="N/A","",Table1[[#This Row],[Main source/flow path in]])</f>
        <v>Stream water</v>
      </c>
      <c r="M69" s="22" t="str">
        <f>IF(Table1[[#This Row],[Main source/flow path in (simple)]]="N/A","",Table1[[#This Row],[Main source/flow path in (simple)]])</f>
        <v>SWR</v>
      </c>
      <c r="N69" s="22" t="str">
        <f>IF(Table1[[#This Row],[Main flow paths in buffer]]="N/A","",Table1[[#This Row],[Main flow paths in buffer]])</f>
        <v>Direct surface runoff</v>
      </c>
      <c r="O69" s="22" t="str">
        <f>IF(Table1[[#This Row],[Inflow=&gt;Outflow]]="N/A","",Table1[[#This Row],[Inflow=&gt;Outflow]])</f>
        <v>SWR=&gt;SR</v>
      </c>
      <c r="P69" s="22">
        <f>IF(Table1[[#This Row],[Width '[m']]]="N/A","",Table1[[#This Row],[Width '[m']]])</f>
        <v>0</v>
      </c>
      <c r="Q69" s="22">
        <f>IF(Table1[[#This Row],[Area '[m²']]]="N/A","",Table1[[#This Row],[Area '[m²']]])</f>
        <v>58000</v>
      </c>
      <c r="R69" s="22">
        <f>IF(Table1[[#This Row],[Qin '[m³/yr']]]="N/A","",Table1[[#This Row],[Qin '[m³/yr']]])</f>
        <v>461680</v>
      </c>
      <c r="S69" s="22">
        <f>IF(Table1[[#This Row],[Catchment area '[ha']]]="N/A","",Table1[[#This Row],[Catchment area '[ha']]])</f>
        <v>114</v>
      </c>
      <c r="T69" s="22">
        <f>IF(Table1[[#This Row],[HLR '[mm']]]="N/A","",Table1[[#This Row],[HLR '[mm']]])</f>
        <v>7960</v>
      </c>
    </row>
    <row r="70" spans="1:20" hidden="1" x14ac:dyDescent="0.3">
      <c r="A70" s="22" t="str">
        <f>IF(Table1[[#This Row],[Country]]="N/A","",Table1[[#This Row],[Country]])</f>
        <v>Denmark</v>
      </c>
      <c r="B70" s="22" t="str">
        <f>IF(Table1[[#This Row],[Study site]]="N/A","",Table1[[#This Row],[Study site]])</f>
        <v>Sandskær, DK</v>
      </c>
      <c r="C70" s="22" t="str">
        <f>IF(Table1[[#This Row],[WBZ-type]]="N/A","",Table1[[#This Row],[WBZ-type]])</f>
        <v>Rewetted Fen</v>
      </c>
      <c r="D70" s="22" t="str">
        <f>IF(Table1[[#This Row],[Nutrient]]="N/A","",Table1[[#This Row],[Nutrient]])</f>
        <v>total phosphorus</v>
      </c>
      <c r="E70" s="22">
        <f>IF(Table1[[#This Row],[Load (kg N, P/ha/yr)]]="N/A","",Table1[[#This Row],[Load (kg N, P/ha/yr)]])</f>
        <v>11.5</v>
      </c>
      <c r="F70" s="22">
        <f>IF(Table1[[#This Row],[Loss (kg N, P/ha/yr)]]="N/A","",Table1[[#This Row],[Loss (kg N, P/ha/yr)]])</f>
        <v>12.074999999999999</v>
      </c>
      <c r="G70" s="22">
        <f>IF(Table1[[#This Row],[Retention (kg N, P/ha/yr)]]="N/A","",Table1[[#This Row],[Retention (kg N, P/ha/yr)]])</f>
        <v>-0.57500000000000007</v>
      </c>
      <c r="H70" s="22">
        <f>IF(Table1[[#This Row],[Efficiency (%)]]="N/A","",Table1[[#This Row],[Efficiency (%)]])</f>
        <v>-5</v>
      </c>
      <c r="I70" s="22" t="str">
        <f>IF(Table1[[#This Row],[Organic/Mineral Soil]]="N/A","",Table1[[#This Row],[Organic/Mineral Soil]])</f>
        <v>Organic</v>
      </c>
      <c r="J70" s="22" t="str">
        <f>IF(Table1[[#This Row],[Vegetation type]]="N/A","",Table1[[#This Row],[Vegetation type]])</f>
        <v>Aerenchymous</v>
      </c>
      <c r="K70" s="22" t="str">
        <f>IF(Table1[[#This Row],[Reference]]="N/A","",Table1[[#This Row],[Reference]])</f>
        <v>Audet J., et al., 2019</v>
      </c>
      <c r="L70" s="22" t="str">
        <f>IF(Table1[[#This Row],[Main source/flow path in]]="N/A","",Table1[[#This Row],[Main source/flow path in]])</f>
        <v>Stream water</v>
      </c>
      <c r="M70" s="22" t="str">
        <f>IF(Table1[[#This Row],[Main source/flow path in (simple)]]="N/A","",Table1[[#This Row],[Main source/flow path in (simple)]])</f>
        <v>SWR</v>
      </c>
      <c r="N70" s="22" t="str">
        <f>IF(Table1[[#This Row],[Main flow paths in buffer]]="N/A","",Table1[[#This Row],[Main flow paths in buffer]])</f>
        <v>Direct surface runoff</v>
      </c>
      <c r="O70" s="22" t="str">
        <f>IF(Table1[[#This Row],[Inflow=&gt;Outflow]]="N/A","",Table1[[#This Row],[Inflow=&gt;Outflow]])</f>
        <v>SWR=&gt;SR</v>
      </c>
      <c r="P70" s="22">
        <f>IF(Table1[[#This Row],[Width '[m']]]="N/A","",Table1[[#This Row],[Width '[m']]])</f>
        <v>0</v>
      </c>
      <c r="Q70" s="22">
        <f>IF(Table1[[#This Row],[Area '[m²']]]="N/A","",Table1[[#This Row],[Area '[m²']]])</f>
        <v>58000</v>
      </c>
      <c r="R70" s="22">
        <f>IF(Table1[[#This Row],[Qin '[m³/yr']]]="N/A","",Table1[[#This Row],[Qin '[m³/yr']]])</f>
        <v>461680</v>
      </c>
      <c r="S70" s="22">
        <f>IF(Table1[[#This Row],[Catchment area '[ha']]]="N/A","",Table1[[#This Row],[Catchment area '[ha']]])</f>
        <v>114</v>
      </c>
      <c r="T70" s="22">
        <f>IF(Table1[[#This Row],[HLR '[mm']]]="N/A","",Table1[[#This Row],[HLR '[mm']]])</f>
        <v>7960</v>
      </c>
    </row>
    <row r="71" spans="1:20" hidden="1" x14ac:dyDescent="0.3">
      <c r="A71" s="22" t="str">
        <f>IF(Table1[[#This Row],[Country]]="N/A","",Table1[[#This Row],[Country]])</f>
        <v>Denmark</v>
      </c>
      <c r="B71" s="22" t="str">
        <f>IF(Table1[[#This Row],[Study site]]="N/A","",Table1[[#This Row],[Study site]])</f>
        <v>Sandskær, DK</v>
      </c>
      <c r="C71" s="22" t="str">
        <f>IF(Table1[[#This Row],[WBZ-type]]="N/A","",Table1[[#This Row],[WBZ-type]])</f>
        <v>Rewetted Fen</v>
      </c>
      <c r="D71" s="22" t="str">
        <f>IF(Table1[[#This Row],[Nutrient]]="N/A","",Table1[[#This Row],[Nutrient]])</f>
        <v>nitrate</v>
      </c>
      <c r="E71" s="22">
        <f>IF(Table1[[#This Row],[Load (kg N, P/ha/yr)]]="N/A","",Table1[[#This Row],[Load (kg N, P/ha/yr)]])</f>
        <v>372.94009390488242</v>
      </c>
      <c r="F71" s="22">
        <f>IF(Table1[[#This Row],[Loss (kg N, P/ha/yr)]]="N/A","",Table1[[#This Row],[Loss (kg N, P/ha/yr)]])</f>
        <v>0</v>
      </c>
      <c r="G71" s="22">
        <f>IF(Table1[[#This Row],[Retention (kg N, P/ha/yr)]]="N/A","",Table1[[#This Row],[Retention (kg N, P/ha/yr)]])</f>
        <v>203.19213999999999</v>
      </c>
      <c r="H71" s="22">
        <f>IF(Table1[[#This Row],[Efficiency (%)]]="N/A","",Table1[[#This Row],[Efficiency (%)]])</f>
        <v>54.483855000000005</v>
      </c>
      <c r="I71" s="22" t="str">
        <f>IF(Table1[[#This Row],[Organic/Mineral Soil]]="N/A","",Table1[[#This Row],[Organic/Mineral Soil]])</f>
        <v>Organic</v>
      </c>
      <c r="J71" s="22" t="str">
        <f>IF(Table1[[#This Row],[Vegetation type]]="N/A","",Table1[[#This Row],[Vegetation type]])</f>
        <v>Aerenchymous</v>
      </c>
      <c r="K71" s="22" t="str">
        <f>IF(Table1[[#This Row],[Reference]]="N/A","",Table1[[#This Row],[Reference]])</f>
        <v>Audet J., et al., 2019</v>
      </c>
      <c r="L71" s="22" t="str">
        <f>IF(Table1[[#This Row],[Main source/flow path in]]="N/A","",Table1[[#This Row],[Main source/flow path in]])</f>
        <v>Stream water</v>
      </c>
      <c r="M71" s="22" t="str">
        <f>IF(Table1[[#This Row],[Main source/flow path in (simple)]]="N/A","",Table1[[#This Row],[Main source/flow path in (simple)]])</f>
        <v>SWR</v>
      </c>
      <c r="N71" s="22" t="str">
        <f>IF(Table1[[#This Row],[Main flow paths in buffer]]="N/A","",Table1[[#This Row],[Main flow paths in buffer]])</f>
        <v>Direct surface runoff</v>
      </c>
      <c r="O71" s="22" t="str">
        <f>IF(Table1[[#This Row],[Inflow=&gt;Outflow]]="N/A","",Table1[[#This Row],[Inflow=&gt;Outflow]])</f>
        <v>SWR=&gt;SR</v>
      </c>
      <c r="P71" s="22">
        <f>IF(Table1[[#This Row],[Width '[m']]]="N/A","",Table1[[#This Row],[Width '[m']]])</f>
        <v>0</v>
      </c>
      <c r="Q71" s="22">
        <f>IF(Table1[[#This Row],[Area '[m²']]]="N/A","",Table1[[#This Row],[Area '[m²']]])</f>
        <v>58000</v>
      </c>
      <c r="R71" s="22">
        <f>IF(Table1[[#This Row],[Qin '[m³/yr']]]="N/A","",Table1[[#This Row],[Qin '[m³/yr']]])</f>
        <v>461680</v>
      </c>
      <c r="S71" s="22">
        <f>IF(Table1[[#This Row],[Catchment area '[ha']]]="N/A","",Table1[[#This Row],[Catchment area '[ha']]])</f>
        <v>114</v>
      </c>
      <c r="T71" s="22">
        <f>IF(Table1[[#This Row],[HLR '[mm']]]="N/A","",Table1[[#This Row],[HLR '[mm']]])</f>
        <v>7960</v>
      </c>
    </row>
    <row r="72" spans="1:20" hidden="1" x14ac:dyDescent="0.3">
      <c r="A72" s="22" t="str">
        <f>IF(Table1[[#This Row],[Country]]="N/A","",Table1[[#This Row],[Country]])</f>
        <v>Denmark</v>
      </c>
      <c r="B72" s="22" t="str">
        <f>IF(Table1[[#This Row],[Study site]]="N/A","",Table1[[#This Row],[Study site]])</f>
        <v>Sandskær, DK</v>
      </c>
      <c r="C72" s="22" t="str">
        <f>IF(Table1[[#This Row],[WBZ-type]]="N/A","",Table1[[#This Row],[WBZ-type]])</f>
        <v>Rewetted Fen</v>
      </c>
      <c r="D72" s="22" t="str">
        <f>IF(Table1[[#This Row],[Nutrient]]="N/A","",Table1[[#This Row],[Nutrient]])</f>
        <v>SRP</v>
      </c>
      <c r="E72" s="22">
        <f>IF(Table1[[#This Row],[Load (kg N, P/ha/yr)]]="N/A","",Table1[[#This Row],[Load (kg N, P/ha/yr)]])</f>
        <v>6.0370268599299317</v>
      </c>
      <c r="F72" s="22">
        <f>IF(Table1[[#This Row],[Loss (kg N, P/ha/yr)]]="N/A","",Table1[[#This Row],[Loss (kg N, P/ha/yr)]])</f>
        <v>0</v>
      </c>
      <c r="G72" s="22">
        <f>IF(Table1[[#This Row],[Retention (kg N, P/ha/yr)]]="N/A","",Table1[[#This Row],[Retention (kg N, P/ha/yr)]])</f>
        <v>-2.1618726000000001</v>
      </c>
      <c r="H72" s="22">
        <f>IF(Table1[[#This Row],[Efficiency (%)]]="N/A","",Table1[[#This Row],[Efficiency (%)]])</f>
        <v>-35.810220000000001</v>
      </c>
      <c r="I72" s="22" t="str">
        <f>IF(Table1[[#This Row],[Organic/Mineral Soil]]="N/A","",Table1[[#This Row],[Organic/Mineral Soil]])</f>
        <v>Organic</v>
      </c>
      <c r="J72" s="22" t="str">
        <f>IF(Table1[[#This Row],[Vegetation type]]="N/A","",Table1[[#This Row],[Vegetation type]])</f>
        <v>Aerenchymous</v>
      </c>
      <c r="K72" s="22" t="str">
        <f>IF(Table1[[#This Row],[Reference]]="N/A","",Table1[[#This Row],[Reference]])</f>
        <v>Audet J., et al., 2019</v>
      </c>
      <c r="L72" s="22" t="str">
        <f>IF(Table1[[#This Row],[Main source/flow path in]]="N/A","",Table1[[#This Row],[Main source/flow path in]])</f>
        <v>Stream water</v>
      </c>
      <c r="M72" s="22" t="str">
        <f>IF(Table1[[#This Row],[Main source/flow path in (simple)]]="N/A","",Table1[[#This Row],[Main source/flow path in (simple)]])</f>
        <v>SWR</v>
      </c>
      <c r="N72" s="22" t="str">
        <f>IF(Table1[[#This Row],[Main flow paths in buffer]]="N/A","",Table1[[#This Row],[Main flow paths in buffer]])</f>
        <v>Direct surface runoff</v>
      </c>
      <c r="O72" s="22" t="str">
        <f>IF(Table1[[#This Row],[Inflow=&gt;Outflow]]="N/A","",Table1[[#This Row],[Inflow=&gt;Outflow]])</f>
        <v>SWR=&gt;SR</v>
      </c>
      <c r="P72" s="22">
        <f>IF(Table1[[#This Row],[Width '[m']]]="N/A","",Table1[[#This Row],[Width '[m']]])</f>
        <v>0</v>
      </c>
      <c r="Q72" s="22">
        <f>IF(Table1[[#This Row],[Area '[m²']]]="N/A","",Table1[[#This Row],[Area '[m²']]])</f>
        <v>58000</v>
      </c>
      <c r="R72" s="22">
        <f>IF(Table1[[#This Row],[Qin '[m³/yr']]]="N/A","",Table1[[#This Row],[Qin '[m³/yr']]])</f>
        <v>461680</v>
      </c>
      <c r="S72" s="22">
        <f>IF(Table1[[#This Row],[Catchment area '[ha']]]="N/A","",Table1[[#This Row],[Catchment area '[ha']]])</f>
        <v>114</v>
      </c>
      <c r="T72" s="22">
        <f>IF(Table1[[#This Row],[HLR '[mm']]]="N/A","",Table1[[#This Row],[HLR '[mm']]])</f>
        <v>7960</v>
      </c>
    </row>
    <row r="73" spans="1:20" x14ac:dyDescent="0.3">
      <c r="A73" s="22" t="str">
        <f>IF(Table1[[#This Row],[Country]]="N/A","",Table1[[#This Row],[Country]])</f>
        <v>Denmark</v>
      </c>
      <c r="B73" s="22" t="str">
        <f>IF(Table1[[#This Row],[Study site]]="N/A","",Table1[[#This Row],[Study site]])</f>
        <v>Snaremose Sø, DK</v>
      </c>
      <c r="C73" s="22" t="str">
        <f>IF(Table1[[#This Row],[WBZ-type]]="N/A","",Table1[[#This Row],[WBZ-type]])</f>
        <v>Floodplain</v>
      </c>
      <c r="D73" s="22" t="str">
        <f>IF(Table1[[#This Row],[Nutrient]]="N/A","",Table1[[#This Row],[Nutrient]])</f>
        <v>total nitrogen</v>
      </c>
      <c r="E73" s="22">
        <f>IF(Table1[[#This Row],[Load (kg N, P/ha/yr)]]="N/A","",Table1[[#This Row],[Load (kg N, P/ha/yr)]])</f>
        <v>496.3</v>
      </c>
      <c r="F73" s="22">
        <f>IF(Table1[[#This Row],[Loss (kg N, P/ha/yr)]]="N/A","",Table1[[#This Row],[Loss (kg N, P/ha/yr)]])</f>
        <v>304.72820000000002</v>
      </c>
      <c r="G73" s="22">
        <f>IF(Table1[[#This Row],[Retention (kg N, P/ha/yr)]]="N/A","",Table1[[#This Row],[Retention (kg N, P/ha/yr)]])</f>
        <v>191.5718</v>
      </c>
      <c r="H73" s="22">
        <f>IF(Table1[[#This Row],[Efficiency (%)]]="N/A","",Table1[[#This Row],[Efficiency (%)]])</f>
        <v>38.6</v>
      </c>
      <c r="I73" s="22" t="str">
        <f>IF(Table1[[#This Row],[Organic/Mineral Soil]]="N/A","",Table1[[#This Row],[Organic/Mineral Soil]])</f>
        <v>Mineral</v>
      </c>
      <c r="J73" s="22" t="str">
        <f>IF(Table1[[#This Row],[Vegetation type]]="N/A","",Table1[[#This Row],[Vegetation type]])</f>
        <v>Aerenchymous</v>
      </c>
      <c r="K73" s="22" t="str">
        <f>IF(Table1[[#This Row],[Reference]]="N/A","",Table1[[#This Row],[Reference]])</f>
        <v>Audet J., et al., 2019</v>
      </c>
      <c r="L73" s="22" t="str">
        <f>IF(Table1[[#This Row],[Main source/flow path in]]="N/A","",Table1[[#This Row],[Main source/flow path in]])</f>
        <v>Stream water</v>
      </c>
      <c r="M73" s="22" t="str">
        <f>IF(Table1[[#This Row],[Main source/flow path in (simple)]]="N/A","",Table1[[#This Row],[Main source/flow path in (simple)]])</f>
        <v>SWR</v>
      </c>
      <c r="N73" s="22" t="str">
        <f>IF(Table1[[#This Row],[Main flow paths in buffer]]="N/A","",Table1[[#This Row],[Main flow paths in buffer]])</f>
        <v>Direct surface runoff</v>
      </c>
      <c r="O73" s="22" t="str">
        <f>IF(Table1[[#This Row],[Inflow=&gt;Outflow]]="N/A","",Table1[[#This Row],[Inflow=&gt;Outflow]])</f>
        <v>SWR=&gt;SR</v>
      </c>
      <c r="P73" s="22">
        <f>IF(Table1[[#This Row],[Width '[m']]]="N/A","",Table1[[#This Row],[Width '[m']]])</f>
        <v>0</v>
      </c>
      <c r="Q73" s="22">
        <f>IF(Table1[[#This Row],[Area '[m²']]]="N/A","",Table1[[#This Row],[Area '[m²']]])</f>
        <v>310000</v>
      </c>
      <c r="R73" s="22">
        <f>IF(Table1[[#This Row],[Qin '[m³/yr']]]="N/A","",Table1[[#This Row],[Qin '[m³/yr']]])</f>
        <v>1726700</v>
      </c>
      <c r="S73" s="22">
        <f>IF(Table1[[#This Row],[Catchment area '[ha']]]="N/A","",Table1[[#This Row],[Catchment area '[ha']]])</f>
        <v>565</v>
      </c>
      <c r="T73" s="22">
        <f>IF(Table1[[#This Row],[HLR '[mm']]]="N/A","",Table1[[#This Row],[HLR '[mm']]])</f>
        <v>5570</v>
      </c>
    </row>
    <row r="74" spans="1:20" hidden="1" x14ac:dyDescent="0.3">
      <c r="A74" s="22" t="str">
        <f>IF(Table1[[#This Row],[Country]]="N/A","",Table1[[#This Row],[Country]])</f>
        <v>Denmark</v>
      </c>
      <c r="B74" s="22" t="str">
        <f>IF(Table1[[#This Row],[Study site]]="N/A","",Table1[[#This Row],[Study site]])</f>
        <v>Snaremose Sø, DK</v>
      </c>
      <c r="C74" s="22" t="str">
        <f>IF(Table1[[#This Row],[WBZ-type]]="N/A","",Table1[[#This Row],[WBZ-type]])</f>
        <v>Floodplain</v>
      </c>
      <c r="D74" s="22" t="str">
        <f>IF(Table1[[#This Row],[Nutrient]]="N/A","",Table1[[#This Row],[Nutrient]])</f>
        <v>total phosphorus</v>
      </c>
      <c r="E74" s="22">
        <f>IF(Table1[[#This Row],[Load (kg N, P/ha/yr)]]="N/A","",Table1[[#This Row],[Load (kg N, P/ha/yr)]])</f>
        <v>6.2</v>
      </c>
      <c r="F74" s="22">
        <f>IF(Table1[[#This Row],[Loss (kg N, P/ha/yr)]]="N/A","",Table1[[#This Row],[Loss (kg N, P/ha/yr)]])</f>
        <v>6.82</v>
      </c>
      <c r="G74" s="22">
        <f>IF(Table1[[#This Row],[Retention (kg N, P/ha/yr)]]="N/A","",Table1[[#This Row],[Retention (kg N, P/ha/yr)]])</f>
        <v>-0.62000000000000011</v>
      </c>
      <c r="H74" s="22">
        <f>IF(Table1[[#This Row],[Efficiency (%)]]="N/A","",Table1[[#This Row],[Efficiency (%)]])</f>
        <v>-10</v>
      </c>
      <c r="I74" s="22" t="str">
        <f>IF(Table1[[#This Row],[Organic/Mineral Soil]]="N/A","",Table1[[#This Row],[Organic/Mineral Soil]])</f>
        <v>Mineral</v>
      </c>
      <c r="J74" s="22" t="str">
        <f>IF(Table1[[#This Row],[Vegetation type]]="N/A","",Table1[[#This Row],[Vegetation type]])</f>
        <v>Aerenchymous</v>
      </c>
      <c r="K74" s="22" t="str">
        <f>IF(Table1[[#This Row],[Reference]]="N/A","",Table1[[#This Row],[Reference]])</f>
        <v>Audet J., et al., 2019</v>
      </c>
      <c r="L74" s="22" t="str">
        <f>IF(Table1[[#This Row],[Main source/flow path in]]="N/A","",Table1[[#This Row],[Main source/flow path in]])</f>
        <v>Stream water</v>
      </c>
      <c r="M74" s="22" t="str">
        <f>IF(Table1[[#This Row],[Main source/flow path in (simple)]]="N/A","",Table1[[#This Row],[Main source/flow path in (simple)]])</f>
        <v>SWR</v>
      </c>
      <c r="N74" s="22" t="str">
        <f>IF(Table1[[#This Row],[Main flow paths in buffer]]="N/A","",Table1[[#This Row],[Main flow paths in buffer]])</f>
        <v>Direct surface runoff</v>
      </c>
      <c r="O74" s="22" t="str">
        <f>IF(Table1[[#This Row],[Inflow=&gt;Outflow]]="N/A","",Table1[[#This Row],[Inflow=&gt;Outflow]])</f>
        <v>SWR=&gt;SR</v>
      </c>
      <c r="P74" s="22">
        <f>IF(Table1[[#This Row],[Width '[m']]]="N/A","",Table1[[#This Row],[Width '[m']]])</f>
        <v>0</v>
      </c>
      <c r="Q74" s="22">
        <f>IF(Table1[[#This Row],[Area '[m²']]]="N/A","",Table1[[#This Row],[Area '[m²']]])</f>
        <v>310000</v>
      </c>
      <c r="R74" s="22">
        <f>IF(Table1[[#This Row],[Qin '[m³/yr']]]="N/A","",Table1[[#This Row],[Qin '[m³/yr']]])</f>
        <v>1726700</v>
      </c>
      <c r="S74" s="22">
        <f>IF(Table1[[#This Row],[Catchment area '[ha']]]="N/A","",Table1[[#This Row],[Catchment area '[ha']]])</f>
        <v>565</v>
      </c>
      <c r="T74" s="22">
        <f>IF(Table1[[#This Row],[HLR '[mm']]]="N/A","",Table1[[#This Row],[HLR '[mm']]])</f>
        <v>5570</v>
      </c>
    </row>
    <row r="75" spans="1:20" hidden="1" x14ac:dyDescent="0.3">
      <c r="A75" s="22" t="str">
        <f>IF(Table1[[#This Row],[Country]]="N/A","",Table1[[#This Row],[Country]])</f>
        <v>Denmark</v>
      </c>
      <c r="B75" s="22" t="str">
        <f>IF(Table1[[#This Row],[Study site]]="N/A","",Table1[[#This Row],[Study site]])</f>
        <v>Snaremose Sø, DK</v>
      </c>
      <c r="C75" s="22" t="str">
        <f>IF(Table1[[#This Row],[WBZ-type]]="N/A","",Table1[[#This Row],[WBZ-type]])</f>
        <v>Floodplain</v>
      </c>
      <c r="D75" s="22" t="str">
        <f>IF(Table1[[#This Row],[Nutrient]]="N/A","",Table1[[#This Row],[Nutrient]])</f>
        <v>nitrate</v>
      </c>
      <c r="E75" s="22">
        <f>IF(Table1[[#This Row],[Load (kg N, P/ha/yr)]]="N/A","",Table1[[#This Row],[Load (kg N, P/ha/yr)]])</f>
        <v>456.46047203932778</v>
      </c>
      <c r="F75" s="22">
        <f>IF(Table1[[#This Row],[Loss (kg N, P/ha/yr)]]="N/A","",Table1[[#This Row],[Loss (kg N, P/ha/yr)]])</f>
        <v>0</v>
      </c>
      <c r="G75" s="22">
        <f>IF(Table1[[#This Row],[Retention (kg N, P/ha/yr)]]="N/A","",Table1[[#This Row],[Retention (kg N, P/ha/yr)]])</f>
        <v>190.44032999999999</v>
      </c>
      <c r="H75" s="22">
        <f>IF(Table1[[#This Row],[Efficiency (%)]]="N/A","",Table1[[#This Row],[Efficiency (%)]])</f>
        <v>41.7211</v>
      </c>
      <c r="I75" s="22" t="str">
        <f>IF(Table1[[#This Row],[Organic/Mineral Soil]]="N/A","",Table1[[#This Row],[Organic/Mineral Soil]])</f>
        <v>Mineral</v>
      </c>
      <c r="J75" s="22" t="str">
        <f>IF(Table1[[#This Row],[Vegetation type]]="N/A","",Table1[[#This Row],[Vegetation type]])</f>
        <v>Aerenchymous</v>
      </c>
      <c r="K75" s="22" t="str">
        <f>IF(Table1[[#This Row],[Reference]]="N/A","",Table1[[#This Row],[Reference]])</f>
        <v>Audet J., et al., 2019</v>
      </c>
      <c r="L75" s="22" t="str">
        <f>IF(Table1[[#This Row],[Main source/flow path in]]="N/A","",Table1[[#This Row],[Main source/flow path in]])</f>
        <v>Stream water</v>
      </c>
      <c r="M75" s="22" t="str">
        <f>IF(Table1[[#This Row],[Main source/flow path in (simple)]]="N/A","",Table1[[#This Row],[Main source/flow path in (simple)]])</f>
        <v>SWR</v>
      </c>
      <c r="N75" s="22" t="str">
        <f>IF(Table1[[#This Row],[Main flow paths in buffer]]="N/A","",Table1[[#This Row],[Main flow paths in buffer]])</f>
        <v>Direct surface runoff</v>
      </c>
      <c r="O75" s="22" t="str">
        <f>IF(Table1[[#This Row],[Inflow=&gt;Outflow]]="N/A","",Table1[[#This Row],[Inflow=&gt;Outflow]])</f>
        <v>SWR=&gt;SR</v>
      </c>
      <c r="P75" s="22">
        <f>IF(Table1[[#This Row],[Width '[m']]]="N/A","",Table1[[#This Row],[Width '[m']]])</f>
        <v>0</v>
      </c>
      <c r="Q75" s="22">
        <f>IF(Table1[[#This Row],[Area '[m²']]]="N/A","",Table1[[#This Row],[Area '[m²']]])</f>
        <v>310000</v>
      </c>
      <c r="R75" s="22">
        <f>IF(Table1[[#This Row],[Qin '[m³/yr']]]="N/A","",Table1[[#This Row],[Qin '[m³/yr']]])</f>
        <v>1726700</v>
      </c>
      <c r="S75" s="22">
        <f>IF(Table1[[#This Row],[Catchment area '[ha']]]="N/A","",Table1[[#This Row],[Catchment area '[ha']]])</f>
        <v>565</v>
      </c>
      <c r="T75" s="22">
        <f>IF(Table1[[#This Row],[HLR '[mm']]]="N/A","",Table1[[#This Row],[HLR '[mm']]])</f>
        <v>5570</v>
      </c>
    </row>
    <row r="76" spans="1:20" hidden="1" x14ac:dyDescent="0.3">
      <c r="A76" s="22" t="str">
        <f>IF(Table1[[#This Row],[Country]]="N/A","",Table1[[#This Row],[Country]])</f>
        <v>Denmark</v>
      </c>
      <c r="B76" s="22" t="str">
        <f>IF(Table1[[#This Row],[Study site]]="N/A","",Table1[[#This Row],[Study site]])</f>
        <v>Snaremose Sø, DK</v>
      </c>
      <c r="C76" s="22" t="str">
        <f>IF(Table1[[#This Row],[WBZ-type]]="N/A","",Table1[[#This Row],[WBZ-type]])</f>
        <v>Floodplain</v>
      </c>
      <c r="D76" s="22" t="str">
        <f>IF(Table1[[#This Row],[Nutrient]]="N/A","",Table1[[#This Row],[Nutrient]])</f>
        <v>SRP</v>
      </c>
      <c r="E76" s="22">
        <f>IF(Table1[[#This Row],[Load (kg N, P/ha/yr)]]="N/A","",Table1[[#This Row],[Load (kg N, P/ha/yr)]])</f>
        <v>4.3679292938151377</v>
      </c>
      <c r="F76" s="22">
        <f>IF(Table1[[#This Row],[Loss (kg N, P/ha/yr)]]="N/A","",Table1[[#This Row],[Loss (kg N, P/ha/yr)]])</f>
        <v>0</v>
      </c>
      <c r="G76" s="22">
        <f>IF(Table1[[#This Row],[Retention (kg N, P/ha/yr)]]="N/A","",Table1[[#This Row],[Retention (kg N, P/ha/yr)]])</f>
        <v>-0.49806099999999998</v>
      </c>
      <c r="H76" s="22">
        <f>IF(Table1[[#This Row],[Efficiency (%)]]="N/A","",Table1[[#This Row],[Efficiency (%)]])</f>
        <v>-11.40268</v>
      </c>
      <c r="I76" s="22" t="str">
        <f>IF(Table1[[#This Row],[Organic/Mineral Soil]]="N/A","",Table1[[#This Row],[Organic/Mineral Soil]])</f>
        <v>Mineral</v>
      </c>
      <c r="J76" s="22" t="str">
        <f>IF(Table1[[#This Row],[Vegetation type]]="N/A","",Table1[[#This Row],[Vegetation type]])</f>
        <v>Aerenchymous</v>
      </c>
      <c r="K76" s="22" t="str">
        <f>IF(Table1[[#This Row],[Reference]]="N/A","",Table1[[#This Row],[Reference]])</f>
        <v>Audet J., et al., 2019</v>
      </c>
      <c r="L76" s="22" t="str">
        <f>IF(Table1[[#This Row],[Main source/flow path in]]="N/A","",Table1[[#This Row],[Main source/flow path in]])</f>
        <v>Stream water</v>
      </c>
      <c r="M76" s="22" t="str">
        <f>IF(Table1[[#This Row],[Main source/flow path in (simple)]]="N/A","",Table1[[#This Row],[Main source/flow path in (simple)]])</f>
        <v>SWR</v>
      </c>
      <c r="N76" s="22" t="str">
        <f>IF(Table1[[#This Row],[Main flow paths in buffer]]="N/A","",Table1[[#This Row],[Main flow paths in buffer]])</f>
        <v>Direct surface runoff</v>
      </c>
      <c r="O76" s="22" t="str">
        <f>IF(Table1[[#This Row],[Inflow=&gt;Outflow]]="N/A","",Table1[[#This Row],[Inflow=&gt;Outflow]])</f>
        <v>SWR=&gt;SR</v>
      </c>
      <c r="P76" s="22">
        <f>IF(Table1[[#This Row],[Width '[m']]]="N/A","",Table1[[#This Row],[Width '[m']]])</f>
        <v>0</v>
      </c>
      <c r="Q76" s="22">
        <f>IF(Table1[[#This Row],[Area '[m²']]]="N/A","",Table1[[#This Row],[Area '[m²']]])</f>
        <v>310000</v>
      </c>
      <c r="R76" s="22">
        <f>IF(Table1[[#This Row],[Qin '[m³/yr']]]="N/A","",Table1[[#This Row],[Qin '[m³/yr']]])</f>
        <v>1726700</v>
      </c>
      <c r="S76" s="22">
        <f>IF(Table1[[#This Row],[Catchment area '[ha']]]="N/A","",Table1[[#This Row],[Catchment area '[ha']]])</f>
        <v>565</v>
      </c>
      <c r="T76" s="22">
        <f>IF(Table1[[#This Row],[HLR '[mm']]]="N/A","",Table1[[#This Row],[HLR '[mm']]])</f>
        <v>5570</v>
      </c>
    </row>
    <row r="77" spans="1:20" x14ac:dyDescent="0.3">
      <c r="A77" s="22" t="str">
        <f>IF(Table1[[#This Row],[Country]]="N/A","",Table1[[#This Row],[Country]])</f>
        <v>Denmark</v>
      </c>
      <c r="B77" s="22" t="str">
        <f>IF(Table1[[#This Row],[Study site]]="N/A","",Table1[[#This Row],[Study site]])</f>
        <v>Snaremose Sø, DK</v>
      </c>
      <c r="C77" s="22" t="str">
        <f>IF(Table1[[#This Row],[WBZ-type]]="N/A","",Table1[[#This Row],[WBZ-type]])</f>
        <v>Floodplain</v>
      </c>
      <c r="D77" s="22" t="str">
        <f>IF(Table1[[#This Row],[Nutrient]]="N/A","",Table1[[#This Row],[Nutrient]])</f>
        <v>total nitrogen</v>
      </c>
      <c r="E77" s="22">
        <f>IF(Table1[[#This Row],[Load (kg N, P/ha/yr)]]="N/A","",Table1[[#This Row],[Load (kg N, P/ha/yr)]])</f>
        <v>812</v>
      </c>
      <c r="F77" s="22">
        <f>IF(Table1[[#This Row],[Loss (kg N, P/ha/yr)]]="N/A","",Table1[[#This Row],[Loss (kg N, P/ha/yr)]])</f>
        <v>583.82799999999997</v>
      </c>
      <c r="G77" s="22">
        <f>IF(Table1[[#This Row],[Retention (kg N, P/ha/yr)]]="N/A","",Table1[[#This Row],[Retention (kg N, P/ha/yr)]])</f>
        <v>228.17200000000003</v>
      </c>
      <c r="H77" s="22">
        <f>IF(Table1[[#This Row],[Efficiency (%)]]="N/A","",Table1[[#This Row],[Efficiency (%)]])</f>
        <v>28.1</v>
      </c>
      <c r="I77" s="22" t="str">
        <f>IF(Table1[[#This Row],[Organic/Mineral Soil]]="N/A","",Table1[[#This Row],[Organic/Mineral Soil]])</f>
        <v>Organic</v>
      </c>
      <c r="J77" s="22" t="str">
        <f>IF(Table1[[#This Row],[Vegetation type]]="N/A","",Table1[[#This Row],[Vegetation type]])</f>
        <v>Aerenchymous</v>
      </c>
      <c r="K77" s="22" t="str">
        <f>IF(Table1[[#This Row],[Reference]]="N/A","",Table1[[#This Row],[Reference]])</f>
        <v xml:space="preserve">Hoffmann C. &amp; Baattrup-Pedersen A., 2007 </v>
      </c>
      <c r="L77" s="22" t="str">
        <f>IF(Table1[[#This Row],[Main source/flow path in]]="N/A","",Table1[[#This Row],[Main source/flow path in]])</f>
        <v>Drain discharge from upland</v>
      </c>
      <c r="M77" s="22" t="str">
        <f>IF(Table1[[#This Row],[Main source/flow path in (simple)]]="N/A","",Table1[[#This Row],[Main source/flow path in (simple)]])</f>
        <v>SWU</v>
      </c>
      <c r="N77" s="22" t="str">
        <f>IF(Table1[[#This Row],[Main flow paths in buffer]]="N/A","",Table1[[#This Row],[Main flow paths in buffer]])</f>
        <v>Direct surface runoff</v>
      </c>
      <c r="O77" s="22" t="str">
        <f>IF(Table1[[#This Row],[Inflow=&gt;Outflow]]="N/A","",Table1[[#This Row],[Inflow=&gt;Outflow]])</f>
        <v>SWU=&gt;SR</v>
      </c>
      <c r="P77" s="22" t="str">
        <f>IF(Table1[[#This Row],[Width '[m']]]="N/A","",Table1[[#This Row],[Width '[m']]])</f>
        <v/>
      </c>
      <c r="Q77" s="22">
        <f>IF(Table1[[#This Row],[Area '[m²']]]="N/A","",Table1[[#This Row],[Area '[m²']]])</f>
        <v>340000</v>
      </c>
      <c r="R77" s="22" t="str">
        <f>IF(Table1[[#This Row],[Qin '[m³/yr']]]="N/A","",Table1[[#This Row],[Qin '[m³/yr']]])</f>
        <v/>
      </c>
      <c r="S77" s="22">
        <f>IF(Table1[[#This Row],[Catchment area '[ha']]]="N/A","",Table1[[#This Row],[Catchment area '[ha']]])</f>
        <v>515</v>
      </c>
      <c r="T77" s="22" t="str">
        <f>IF(Table1[[#This Row],[HLR '[mm']]]="N/A","",Table1[[#This Row],[HLR '[mm']]])</f>
        <v/>
      </c>
    </row>
    <row r="78" spans="1:20" hidden="1" x14ac:dyDescent="0.3">
      <c r="A78" s="22" t="str">
        <f>IF(Table1[[#This Row],[Country]]="N/A","",Table1[[#This Row],[Country]])</f>
        <v>Denmark</v>
      </c>
      <c r="B78" s="22" t="str">
        <f>IF(Table1[[#This Row],[Study site]]="N/A","",Table1[[#This Row],[Study site]])</f>
        <v>Stevns Å, DK</v>
      </c>
      <c r="C78" s="22" t="str">
        <f>IF(Table1[[#This Row],[WBZ-type]]="N/A","",Table1[[#This Row],[WBZ-type]])</f>
        <v>Rewetted Fen</v>
      </c>
      <c r="D78" s="22" t="str">
        <f>IF(Table1[[#This Row],[Nutrient]]="N/A","",Table1[[#This Row],[Nutrient]])</f>
        <v>total phosphorus</v>
      </c>
      <c r="E78" s="22">
        <f>IF(Table1[[#This Row],[Load (kg N, P/ha/yr)]]="N/A","",Table1[[#This Row],[Load (kg N, P/ha/yr)]])</f>
        <v>15.161290322580644</v>
      </c>
      <c r="F78" s="22">
        <f>IF(Table1[[#This Row],[Loss (kg N, P/ha/yr)]]="N/A","",Table1[[#This Row],[Loss (kg N, P/ha/yr)]])</f>
        <v>1.0612903225806445</v>
      </c>
      <c r="G78" s="22">
        <f>IF(Table1[[#This Row],[Retention (kg N, P/ha/yr)]]="N/A","",Table1[[#This Row],[Retention (kg N, P/ha/yr)]])</f>
        <v>14.1</v>
      </c>
      <c r="H78" s="22">
        <f>IF(Table1[[#This Row],[Efficiency (%)]]="N/A","",Table1[[#This Row],[Efficiency (%)]])</f>
        <v>93</v>
      </c>
      <c r="I78" s="22" t="str">
        <f>IF(Table1[[#This Row],[Organic/Mineral Soil]]="N/A","",Table1[[#This Row],[Organic/Mineral Soil]])</f>
        <v>Organic</v>
      </c>
      <c r="J78" s="22" t="str">
        <f>IF(Table1[[#This Row],[Vegetation type]]="N/A","",Table1[[#This Row],[Vegetation type]])</f>
        <v>Herbaceous</v>
      </c>
      <c r="K78" s="22" t="str">
        <f>IF(Table1[[#This Row],[Reference]]="N/A","",Table1[[#This Row],[Reference]])</f>
        <v>Hoffmann et al., 2009, Hoffmann 1993</v>
      </c>
      <c r="L78" s="22" t="str">
        <f>IF(Table1[[#This Row],[Main source/flow path in]]="N/A","",Table1[[#This Row],[Main source/flow path in]])</f>
        <v>Deep groundwater and precipitation</v>
      </c>
      <c r="M78" s="22" t="str">
        <f>IF(Table1[[#This Row],[Main source/flow path in (simple)]]="N/A","",Table1[[#This Row],[Main source/flow path in (simple)]])</f>
        <v>GW</v>
      </c>
      <c r="N78" s="22" t="str">
        <f>IF(Table1[[#This Row],[Main flow paths in buffer]]="N/A","",Table1[[#This Row],[Main flow paths in buffer]])</f>
        <v>70% shallow lateral GW, 30% surface runoff</v>
      </c>
      <c r="O78" s="22" t="str">
        <f>IF(Table1[[#This Row],[Inflow=&gt;Outflow]]="N/A","",Table1[[#This Row],[Inflow=&gt;Outflow]])</f>
        <v>GW=&gt;GW</v>
      </c>
      <c r="P78" s="22">
        <f>IF(Table1[[#This Row],[Width '[m']]]="N/A","",Table1[[#This Row],[Width '[m']]])</f>
        <v>100</v>
      </c>
      <c r="Q78" s="22">
        <f>IF(Table1[[#This Row],[Area '[m²']]]="N/A","",Table1[[#This Row],[Area '[m²']]])</f>
        <v>400</v>
      </c>
      <c r="R78" s="22">
        <f>IF(Table1[[#This Row],[Qin '[m³/yr']]]="N/A","",Table1[[#This Row],[Qin '[m³/yr']]])</f>
        <v>712</v>
      </c>
      <c r="S78" s="22" t="str">
        <f>IF(Table1[[#This Row],[Catchment area '[ha']]]="N/A","",Table1[[#This Row],[Catchment area '[ha']]])</f>
        <v/>
      </c>
      <c r="T78" s="22">
        <f>IF(Table1[[#This Row],[HLR '[mm']]]="N/A","",Table1[[#This Row],[HLR '[mm']]])</f>
        <v>1780</v>
      </c>
    </row>
    <row r="79" spans="1:20" x14ac:dyDescent="0.3">
      <c r="A79" s="22" t="str">
        <f>IF(Table1[[#This Row],[Country]]="N/A","",Table1[[#This Row],[Country]])</f>
        <v>Denmark</v>
      </c>
      <c r="B79" s="22" t="str">
        <f>IF(Table1[[#This Row],[Study site]]="N/A","",Table1[[#This Row],[Study site]])</f>
        <v>Stevns Å, DK</v>
      </c>
      <c r="C79" s="22" t="str">
        <f>IF(Table1[[#This Row],[WBZ-type]]="N/A","",Table1[[#This Row],[WBZ-type]])</f>
        <v>Rewetted Fen</v>
      </c>
      <c r="D79" s="22" t="str">
        <f>IF(Table1[[#This Row],[Nutrient]]="N/A","",Table1[[#This Row],[Nutrient]])</f>
        <v>total nitrogen</v>
      </c>
      <c r="E79" s="22">
        <f>IF(Table1[[#This Row],[Load (kg N, P/ha/yr)]]="N/A","",Table1[[#This Row],[Load (kg N, P/ha/yr)]])</f>
        <v>60</v>
      </c>
      <c r="F79" s="22">
        <f>IF(Table1[[#This Row],[Loss (kg N, P/ha/yr)]]="N/A","",Table1[[#This Row],[Loss (kg N, P/ha/yr)]])</f>
        <v>3</v>
      </c>
      <c r="G79" s="22">
        <f>IF(Table1[[#This Row],[Retention (kg N, P/ha/yr)]]="N/A","",Table1[[#This Row],[Retention (kg N, P/ha/yr)]])</f>
        <v>57</v>
      </c>
      <c r="H79" s="22">
        <f>IF(Table1[[#This Row],[Efficiency (%)]]="N/A","",Table1[[#This Row],[Efficiency (%)]])</f>
        <v>95</v>
      </c>
      <c r="I79" s="22" t="str">
        <f>IF(Table1[[#This Row],[Organic/Mineral Soil]]="N/A","",Table1[[#This Row],[Organic/Mineral Soil]])</f>
        <v>Organic</v>
      </c>
      <c r="J79" s="22" t="str">
        <f>IF(Table1[[#This Row],[Vegetation type]]="N/A","",Table1[[#This Row],[Vegetation type]])</f>
        <v>Herbaceous</v>
      </c>
      <c r="K79" s="22" t="str">
        <f>IF(Table1[[#This Row],[Reference]]="N/A","",Table1[[#This Row],[Reference]])</f>
        <v>Hoffmann et al., 2009, Hoffmann 1993</v>
      </c>
      <c r="L79" s="22" t="str">
        <f>IF(Table1[[#This Row],[Main source/flow path in]]="N/A","",Table1[[#This Row],[Main source/flow path in]])</f>
        <v>Deep groundwater and precipitation</v>
      </c>
      <c r="M79" s="22" t="str">
        <f>IF(Table1[[#This Row],[Main source/flow path in (simple)]]="N/A","",Table1[[#This Row],[Main source/flow path in (simple)]])</f>
        <v>GW</v>
      </c>
      <c r="N79" s="22" t="str">
        <f>IF(Table1[[#This Row],[Main flow paths in buffer]]="N/A","",Table1[[#This Row],[Main flow paths in buffer]])</f>
        <v>70% shallow lateral GW, 30% surface runoff</v>
      </c>
      <c r="O79" s="22" t="str">
        <f>IF(Table1[[#This Row],[Inflow=&gt;Outflow]]="N/A","",Table1[[#This Row],[Inflow=&gt;Outflow]])</f>
        <v>GW=&gt;GW</v>
      </c>
      <c r="P79" s="22">
        <f>IF(Table1[[#This Row],[Width '[m']]]="N/A","",Table1[[#This Row],[Width '[m']]])</f>
        <v>100</v>
      </c>
      <c r="Q79" s="22">
        <f>IF(Table1[[#This Row],[Area '[m²']]]="N/A","",Table1[[#This Row],[Area '[m²']]])</f>
        <v>400</v>
      </c>
      <c r="R79" s="22">
        <f>IF(Table1[[#This Row],[Qin '[m³/yr']]]="N/A","",Table1[[#This Row],[Qin '[m³/yr']]])</f>
        <v>712</v>
      </c>
      <c r="S79" s="22" t="str">
        <f>IF(Table1[[#This Row],[Catchment area '[ha']]]="N/A","",Table1[[#This Row],[Catchment area '[ha']]])</f>
        <v/>
      </c>
      <c r="T79" s="22">
        <f>IF(Table1[[#This Row],[HLR '[mm']]]="N/A","",Table1[[#This Row],[HLR '[mm']]])</f>
        <v>1780</v>
      </c>
    </row>
    <row r="80" spans="1:20" hidden="1" x14ac:dyDescent="0.3">
      <c r="A80" s="22" t="str">
        <f>IF(Table1[[#This Row],[Country]]="N/A","",Table1[[#This Row],[Country]])</f>
        <v>Denmark</v>
      </c>
      <c r="B80" s="22" t="str">
        <f>IF(Table1[[#This Row],[Study site]]="N/A","",Table1[[#This Row],[Study site]])</f>
        <v>Stor Å, DK</v>
      </c>
      <c r="C80" s="22" t="str">
        <f>IF(Table1[[#This Row],[WBZ-type]]="N/A","",Table1[[#This Row],[WBZ-type]])</f>
        <v>Floodplain</v>
      </c>
      <c r="D80" s="22" t="str">
        <f>IF(Table1[[#This Row],[Nutrient]]="N/A","",Table1[[#This Row],[Nutrient]])</f>
        <v>nitrate</v>
      </c>
      <c r="E80" s="22">
        <f>IF(Table1[[#This Row],[Load (kg N, P/ha/yr)]]="N/A","",Table1[[#This Row],[Load (kg N, P/ha/yr)]])</f>
        <v>637</v>
      </c>
      <c r="F80" s="22">
        <f>IF(Table1[[#This Row],[Loss (kg N, P/ha/yr)]]="N/A","",Table1[[#This Row],[Loss (kg N, P/ha/yr)]])</f>
        <v>452</v>
      </c>
      <c r="G80" s="22">
        <f>IF(Table1[[#This Row],[Retention (kg N, P/ha/yr)]]="N/A","",Table1[[#This Row],[Retention (kg N, P/ha/yr)]])</f>
        <v>184.5</v>
      </c>
      <c r="H80" s="22">
        <f>IF(Table1[[#This Row],[Efficiency (%)]]="N/A","",Table1[[#This Row],[Efficiency (%)]])</f>
        <v>28.963893249607537</v>
      </c>
      <c r="I80" s="22" t="str">
        <f>IF(Table1[[#This Row],[Organic/Mineral Soil]]="N/A","",Table1[[#This Row],[Organic/Mineral Soil]])</f>
        <v>Mineral</v>
      </c>
      <c r="J80" s="22" t="str">
        <f>IF(Table1[[#This Row],[Vegetation type]]="N/A","",Table1[[#This Row],[Vegetation type]])</f>
        <v>Aerenchymous</v>
      </c>
      <c r="K80" s="22" t="str">
        <f>IF(Table1[[#This Row],[Reference]]="N/A","",Table1[[#This Row],[Reference]])</f>
        <v>Hoffmann C., et al., 2012</v>
      </c>
      <c r="L80" s="22" t="str">
        <f>IF(Table1[[#This Row],[Main source/flow path in]]="N/A","",Table1[[#This Row],[Main source/flow path in]])</f>
        <v>Drain discharge from upland</v>
      </c>
      <c r="M80" s="22" t="str">
        <f>IF(Table1[[#This Row],[Main source/flow path in (simple)]]="N/A","",Table1[[#This Row],[Main source/flow path in (simple)]])</f>
        <v>SWU</v>
      </c>
      <c r="N80" s="22" t="str">
        <f>IF(Table1[[#This Row],[Main flow paths in buffer]]="N/A","",Table1[[#This Row],[Main flow paths in buffer]])</f>
        <v>Direct surface runoff</v>
      </c>
      <c r="O80" s="22" t="str">
        <f>IF(Table1[[#This Row],[Inflow=&gt;Outflow]]="N/A","",Table1[[#This Row],[Inflow=&gt;Outflow]])</f>
        <v>SWU=&gt;SR</v>
      </c>
      <c r="P80" s="22" t="str">
        <f>IF(Table1[[#This Row],[Width '[m']]]="N/A","",Table1[[#This Row],[Width '[m']]])</f>
        <v/>
      </c>
      <c r="Q80" s="22">
        <f>IF(Table1[[#This Row],[Area '[m²']]]="N/A","",Table1[[#This Row],[Area '[m²']]])</f>
        <v>5870</v>
      </c>
      <c r="R80" s="22">
        <f>IF(Table1[[#This Row],[Qin '[m³/yr']]]="N/A","",Table1[[#This Row],[Qin '[m³/yr']]])</f>
        <v>25907.244999999999</v>
      </c>
      <c r="S80" s="22">
        <f>IF(Table1[[#This Row],[Catchment area '[ha']]]="N/A","",Table1[[#This Row],[Catchment area '[ha']]])</f>
        <v>24</v>
      </c>
      <c r="T80" s="22">
        <f>IF(Table1[[#This Row],[HLR '[mm']]]="N/A","",Table1[[#This Row],[HLR '[mm']]])</f>
        <v>4413.5</v>
      </c>
    </row>
    <row r="81" spans="1:20" x14ac:dyDescent="0.3">
      <c r="A81" s="22" t="str">
        <f>IF(Table1[[#This Row],[Country]]="N/A","",Table1[[#This Row],[Country]])</f>
        <v>Denmark</v>
      </c>
      <c r="B81" s="22" t="str">
        <f>IF(Table1[[#This Row],[Study site]]="N/A","",Table1[[#This Row],[Study site]])</f>
        <v>Stor Å, DK</v>
      </c>
      <c r="C81" s="22" t="str">
        <f>IF(Table1[[#This Row],[WBZ-type]]="N/A","",Table1[[#This Row],[WBZ-type]])</f>
        <v>Floodplain</v>
      </c>
      <c r="D81" s="22" t="str">
        <f>IF(Table1[[#This Row],[Nutrient]]="N/A","",Table1[[#This Row],[Nutrient]])</f>
        <v>total nitrogen</v>
      </c>
      <c r="E81" s="22">
        <f>IF(Table1[[#This Row],[Load (kg N, P/ha/yr)]]="N/A","",Table1[[#This Row],[Load (kg N, P/ha/yr)]])</f>
        <v>672.5</v>
      </c>
      <c r="F81" s="22">
        <f>IF(Table1[[#This Row],[Loss (kg N, P/ha/yr)]]="N/A","",Table1[[#This Row],[Loss (kg N, P/ha/yr)]])</f>
        <v>479.5</v>
      </c>
      <c r="G81" s="22">
        <f>IF(Table1[[#This Row],[Retention (kg N, P/ha/yr)]]="N/A","",Table1[[#This Row],[Retention (kg N, P/ha/yr)]])</f>
        <v>193</v>
      </c>
      <c r="H81" s="22">
        <f>IF(Table1[[#This Row],[Efficiency (%)]]="N/A","",Table1[[#This Row],[Efficiency (%)]])</f>
        <v>28.698884758364311</v>
      </c>
      <c r="I81" s="22" t="str">
        <f>IF(Table1[[#This Row],[Organic/Mineral Soil]]="N/A","",Table1[[#This Row],[Organic/Mineral Soil]])</f>
        <v>Mineral</v>
      </c>
      <c r="J81" s="22" t="str">
        <f>IF(Table1[[#This Row],[Vegetation type]]="N/A","",Table1[[#This Row],[Vegetation type]])</f>
        <v>Aerenchymous</v>
      </c>
      <c r="K81" s="22" t="str">
        <f>IF(Table1[[#This Row],[Reference]]="N/A","",Table1[[#This Row],[Reference]])</f>
        <v>Hoffmann C., et al., 2012</v>
      </c>
      <c r="L81" s="22" t="str">
        <f>IF(Table1[[#This Row],[Main source/flow path in]]="N/A","",Table1[[#This Row],[Main source/flow path in]])</f>
        <v>Drain discharge from upland</v>
      </c>
      <c r="M81" s="22" t="str">
        <f>IF(Table1[[#This Row],[Main source/flow path in (simple)]]="N/A","",Table1[[#This Row],[Main source/flow path in (simple)]])</f>
        <v>SWU</v>
      </c>
      <c r="N81" s="22" t="str">
        <f>IF(Table1[[#This Row],[Main flow paths in buffer]]="N/A","",Table1[[#This Row],[Main flow paths in buffer]])</f>
        <v>Direct surface runoff</v>
      </c>
      <c r="O81" s="22" t="str">
        <f>IF(Table1[[#This Row],[Inflow=&gt;Outflow]]="N/A","",Table1[[#This Row],[Inflow=&gt;Outflow]])</f>
        <v>SWU=&gt;SR</v>
      </c>
      <c r="P81" s="22" t="str">
        <f>IF(Table1[[#This Row],[Width '[m']]]="N/A","",Table1[[#This Row],[Width '[m']]])</f>
        <v/>
      </c>
      <c r="Q81" s="22">
        <f>IF(Table1[[#This Row],[Area '[m²']]]="N/A","",Table1[[#This Row],[Area '[m²']]])</f>
        <v>5870</v>
      </c>
      <c r="R81" s="22">
        <f>IF(Table1[[#This Row],[Qin '[m³/yr']]]="N/A","",Table1[[#This Row],[Qin '[m³/yr']]])</f>
        <v>25907.244999999999</v>
      </c>
      <c r="S81" s="22">
        <f>IF(Table1[[#This Row],[Catchment area '[ha']]]="N/A","",Table1[[#This Row],[Catchment area '[ha']]])</f>
        <v>24</v>
      </c>
      <c r="T81" s="22">
        <f>IF(Table1[[#This Row],[HLR '[mm']]]="N/A","",Table1[[#This Row],[HLR '[mm']]])</f>
        <v>4413.5</v>
      </c>
    </row>
    <row r="82" spans="1:20" hidden="1" x14ac:dyDescent="0.3">
      <c r="A82" s="22" t="str">
        <f>IF(Table1[[#This Row],[Country]]="N/A","",Table1[[#This Row],[Country]])</f>
        <v>Denmark</v>
      </c>
      <c r="B82" s="22" t="str">
        <f>IF(Table1[[#This Row],[Study site]]="N/A","",Table1[[#This Row],[Study site]])</f>
        <v>Stor Å, DK</v>
      </c>
      <c r="C82" s="22" t="str">
        <f>IF(Table1[[#This Row],[WBZ-type]]="N/A","",Table1[[#This Row],[WBZ-type]])</f>
        <v>Floodplain</v>
      </c>
      <c r="D82" s="22" t="str">
        <f>IF(Table1[[#This Row],[Nutrient]]="N/A","",Table1[[#This Row],[Nutrient]])</f>
        <v>SRP</v>
      </c>
      <c r="E82" s="22">
        <f>IF(Table1[[#This Row],[Load (kg N, P/ha/yr)]]="N/A","",Table1[[#This Row],[Load (kg N, P/ha/yr)]])</f>
        <v>0.55500000000000005</v>
      </c>
      <c r="F82" s="22">
        <f>IF(Table1[[#This Row],[Loss (kg N, P/ha/yr)]]="N/A","",Table1[[#This Row],[Loss (kg N, P/ha/yr)]])</f>
        <v>1.1200000000000001</v>
      </c>
      <c r="G82" s="22">
        <f>IF(Table1[[#This Row],[Retention (kg N, P/ha/yr)]]="N/A","",Table1[[#This Row],[Retention (kg N, P/ha/yr)]])</f>
        <v>-0.56999999999999995</v>
      </c>
      <c r="H82" s="22">
        <f>IF(Table1[[#This Row],[Efficiency (%)]]="N/A","",Table1[[#This Row],[Efficiency (%)]])</f>
        <v>-102.70270270270268</v>
      </c>
      <c r="I82" s="22" t="str">
        <f>IF(Table1[[#This Row],[Organic/Mineral Soil]]="N/A","",Table1[[#This Row],[Organic/Mineral Soil]])</f>
        <v>Mineral</v>
      </c>
      <c r="J82" s="22" t="str">
        <f>IF(Table1[[#This Row],[Vegetation type]]="N/A","",Table1[[#This Row],[Vegetation type]])</f>
        <v>Aerenchymous</v>
      </c>
      <c r="K82" s="22" t="str">
        <f>IF(Table1[[#This Row],[Reference]]="N/A","",Table1[[#This Row],[Reference]])</f>
        <v>Hoffmann C., et al., 2012</v>
      </c>
      <c r="L82" s="22" t="str">
        <f>IF(Table1[[#This Row],[Main source/flow path in]]="N/A","",Table1[[#This Row],[Main source/flow path in]])</f>
        <v>Drain discharge from upland</v>
      </c>
      <c r="M82" s="22" t="str">
        <f>IF(Table1[[#This Row],[Main source/flow path in (simple)]]="N/A","",Table1[[#This Row],[Main source/flow path in (simple)]])</f>
        <v>SWU</v>
      </c>
      <c r="N82" s="22" t="str">
        <f>IF(Table1[[#This Row],[Main flow paths in buffer]]="N/A","",Table1[[#This Row],[Main flow paths in buffer]])</f>
        <v>Direct surface runoff</v>
      </c>
      <c r="O82" s="22" t="str">
        <f>IF(Table1[[#This Row],[Inflow=&gt;Outflow]]="N/A","",Table1[[#This Row],[Inflow=&gt;Outflow]])</f>
        <v>SWU=&gt;SR</v>
      </c>
      <c r="P82" s="22" t="str">
        <f>IF(Table1[[#This Row],[Width '[m']]]="N/A","",Table1[[#This Row],[Width '[m']]])</f>
        <v/>
      </c>
      <c r="Q82" s="22">
        <f>IF(Table1[[#This Row],[Area '[m²']]]="N/A","",Table1[[#This Row],[Area '[m²']]])</f>
        <v>5870</v>
      </c>
      <c r="R82" s="22">
        <f>IF(Table1[[#This Row],[Qin '[m³/yr']]]="N/A","",Table1[[#This Row],[Qin '[m³/yr']]])</f>
        <v>25907.244999999999</v>
      </c>
      <c r="S82" s="22">
        <f>IF(Table1[[#This Row],[Catchment area '[ha']]]="N/A","",Table1[[#This Row],[Catchment area '[ha']]])</f>
        <v>24</v>
      </c>
      <c r="T82" s="22">
        <f>IF(Table1[[#This Row],[HLR '[mm']]]="N/A","",Table1[[#This Row],[HLR '[mm']]])</f>
        <v>4413.5</v>
      </c>
    </row>
    <row r="83" spans="1:20" hidden="1" x14ac:dyDescent="0.3">
      <c r="A83" s="22" t="str">
        <f>IF(Table1[[#This Row],[Country]]="N/A","",Table1[[#This Row],[Country]])</f>
        <v>Denmark</v>
      </c>
      <c r="B83" s="22" t="str">
        <f>IF(Table1[[#This Row],[Study site]]="N/A","",Table1[[#This Row],[Study site]])</f>
        <v>Stor Å, DK</v>
      </c>
      <c r="C83" s="22" t="str">
        <f>IF(Table1[[#This Row],[WBZ-type]]="N/A","",Table1[[#This Row],[WBZ-type]])</f>
        <v>Floodplain</v>
      </c>
      <c r="D83" s="22" t="str">
        <f>IF(Table1[[#This Row],[Nutrient]]="N/A","",Table1[[#This Row],[Nutrient]])</f>
        <v>total phosphorus</v>
      </c>
      <c r="E83" s="22">
        <f>IF(Table1[[#This Row],[Load (kg N, P/ha/yr)]]="N/A","",Table1[[#This Row],[Load (kg N, P/ha/yr)]])</f>
        <v>1.095</v>
      </c>
      <c r="F83" s="22">
        <f>IF(Table1[[#This Row],[Loss (kg N, P/ha/yr)]]="N/A","",Table1[[#This Row],[Loss (kg N, P/ha/yr)]])</f>
        <v>1.7050000000000001</v>
      </c>
      <c r="G83" s="22">
        <f>IF(Table1[[#This Row],[Retention (kg N, P/ha/yr)]]="N/A","",Table1[[#This Row],[Retention (kg N, P/ha/yr)]])</f>
        <v>-0.61499999999999999</v>
      </c>
      <c r="H83" s="22">
        <f>IF(Table1[[#This Row],[Efficiency (%)]]="N/A","",Table1[[#This Row],[Efficiency (%)]])</f>
        <v>-56.164383561643838</v>
      </c>
      <c r="I83" s="22" t="str">
        <f>IF(Table1[[#This Row],[Organic/Mineral Soil]]="N/A","",Table1[[#This Row],[Organic/Mineral Soil]])</f>
        <v>Mineral</v>
      </c>
      <c r="J83" s="22" t="str">
        <f>IF(Table1[[#This Row],[Vegetation type]]="N/A","",Table1[[#This Row],[Vegetation type]])</f>
        <v>Aerenchymous</v>
      </c>
      <c r="K83" s="22" t="str">
        <f>IF(Table1[[#This Row],[Reference]]="N/A","",Table1[[#This Row],[Reference]])</f>
        <v>Hoffmann C., et al., 2012</v>
      </c>
      <c r="L83" s="22" t="str">
        <f>IF(Table1[[#This Row],[Main source/flow path in]]="N/A","",Table1[[#This Row],[Main source/flow path in]])</f>
        <v>Drain discharge from upland</v>
      </c>
      <c r="M83" s="22" t="str">
        <f>IF(Table1[[#This Row],[Main source/flow path in (simple)]]="N/A","",Table1[[#This Row],[Main source/flow path in (simple)]])</f>
        <v>SWU</v>
      </c>
      <c r="N83" s="22" t="str">
        <f>IF(Table1[[#This Row],[Main flow paths in buffer]]="N/A","",Table1[[#This Row],[Main flow paths in buffer]])</f>
        <v>Direct surface runoff</v>
      </c>
      <c r="O83" s="22" t="str">
        <f>IF(Table1[[#This Row],[Inflow=&gt;Outflow]]="N/A","",Table1[[#This Row],[Inflow=&gt;Outflow]])</f>
        <v>SWU=&gt;SR</v>
      </c>
      <c r="P83" s="22" t="str">
        <f>IF(Table1[[#This Row],[Width '[m']]]="N/A","",Table1[[#This Row],[Width '[m']]])</f>
        <v/>
      </c>
      <c r="Q83" s="22">
        <f>IF(Table1[[#This Row],[Area '[m²']]]="N/A","",Table1[[#This Row],[Area '[m²']]])</f>
        <v>5870</v>
      </c>
      <c r="R83" s="22">
        <f>IF(Table1[[#This Row],[Qin '[m³/yr']]]="N/A","",Table1[[#This Row],[Qin '[m³/yr']]])</f>
        <v>25907.244999999999</v>
      </c>
      <c r="S83" s="22">
        <f>IF(Table1[[#This Row],[Catchment area '[ha']]]="N/A","",Table1[[#This Row],[Catchment area '[ha']]])</f>
        <v>24</v>
      </c>
      <c r="T83" s="22">
        <f>IF(Table1[[#This Row],[HLR '[mm']]]="N/A","",Table1[[#This Row],[HLR '[mm']]])</f>
        <v>4413.5</v>
      </c>
    </row>
    <row r="84" spans="1:20" hidden="1" x14ac:dyDescent="0.3">
      <c r="A84" s="22" t="str">
        <f>IF(Table1[[#This Row],[Country]]="N/A","",Table1[[#This Row],[Country]])</f>
        <v>Denmark</v>
      </c>
      <c r="B84" s="22" t="str">
        <f>IF(Table1[[#This Row],[Study site]]="N/A","",Table1[[#This Row],[Study site]])</f>
        <v>Syvbæk DK</v>
      </c>
      <c r="C84" s="22" t="str">
        <f>IF(Table1[[#This Row],[WBZ-type]]="N/A","",Table1[[#This Row],[WBZ-type]])</f>
        <v>Rewetted Fen</v>
      </c>
      <c r="D84" s="22" t="str">
        <f>IF(Table1[[#This Row],[Nutrient]]="N/A","",Table1[[#This Row],[Nutrient]])</f>
        <v>nitrate</v>
      </c>
      <c r="E84" s="22">
        <f>IF(Table1[[#This Row],[Load (kg N, P/ha/yr)]]="N/A","",Table1[[#This Row],[Load (kg N, P/ha/yr)]])</f>
        <v>1502</v>
      </c>
      <c r="F84" s="22">
        <f>IF(Table1[[#This Row],[Loss (kg N, P/ha/yr)]]="N/A","",Table1[[#This Row],[Loss (kg N, P/ha/yr)]])</f>
        <v>0</v>
      </c>
      <c r="G84" s="22">
        <f>IF(Table1[[#This Row],[Retention (kg N, P/ha/yr)]]="N/A","",Table1[[#This Row],[Retention (kg N, P/ha/yr)]])</f>
        <v>0</v>
      </c>
      <c r="H84" s="22">
        <f>IF(Table1[[#This Row],[Efficiency (%)]]="N/A","",Table1[[#This Row],[Efficiency (%)]])</f>
        <v>0</v>
      </c>
      <c r="I84" s="22" t="str">
        <f>IF(Table1[[#This Row],[Organic/Mineral Soil]]="N/A","",Table1[[#This Row],[Organic/Mineral Soil]])</f>
        <v>Organic</v>
      </c>
      <c r="J84" s="22" t="str">
        <f>IF(Table1[[#This Row],[Vegetation type]]="N/A","",Table1[[#This Row],[Vegetation type]])</f>
        <v>Aerenchymous</v>
      </c>
      <c r="K84" s="22" t="str">
        <f>IF(Table1[[#This Row],[Reference]]="N/A","",Table1[[#This Row],[Reference]])</f>
        <v>Dørge J., 1994, Ambus &amp; Hoffmann 1990</v>
      </c>
      <c r="L84" s="22" t="str">
        <f>IF(Table1[[#This Row],[Main source/flow path in]]="N/A","",Table1[[#This Row],[Main source/flow path in]])</f>
        <v>Drain discharge from upland</v>
      </c>
      <c r="M84" s="22" t="str">
        <f>IF(Table1[[#This Row],[Main source/flow path in (simple)]]="N/A","",Table1[[#This Row],[Main source/flow path in (simple)]])</f>
        <v>SWU</v>
      </c>
      <c r="N84" s="22" t="str">
        <f>IF(Table1[[#This Row],[Main flow paths in buffer]]="N/A","",Table1[[#This Row],[Main flow paths in buffer]])</f>
        <v>Infiltration and direct surface runoff</v>
      </c>
      <c r="O84" s="22" t="str">
        <f>IF(Table1[[#This Row],[Inflow=&gt;Outflow]]="N/A","",Table1[[#This Row],[Inflow=&gt;Outflow]])</f>
        <v>SWU=&gt;GW</v>
      </c>
      <c r="P84" s="22">
        <f>IF(Table1[[#This Row],[Width '[m']]]="N/A","",Table1[[#This Row],[Width '[m']]])</f>
        <v>30</v>
      </c>
      <c r="Q84" s="22">
        <f>IF(Table1[[#This Row],[Area '[m²']]]="N/A","",Table1[[#This Row],[Area '[m²']]])</f>
        <v>852</v>
      </c>
      <c r="R84" s="22">
        <f>IF(Table1[[#This Row],[Qin '[m³/yr']]]="N/A","",Table1[[#This Row],[Qin '[m³/yr']]])</f>
        <v>13589.631637500001</v>
      </c>
      <c r="S84" s="22" t="str">
        <f>IF(Table1[[#This Row],[Catchment area '[ha']]]="N/A","",Table1[[#This Row],[Catchment area '[ha']]])</f>
        <v/>
      </c>
      <c r="T84" s="22">
        <f>IF(Table1[[#This Row],[HLR '[mm']]]="N/A","",Table1[[#This Row],[HLR '[mm']]])</f>
        <v>15950.271875</v>
      </c>
    </row>
    <row r="85" spans="1:20" hidden="1" x14ac:dyDescent="0.3">
      <c r="A85" s="22" t="str">
        <f>IF(Table1[[#This Row],[Country]]="N/A","",Table1[[#This Row],[Country]])</f>
        <v>Denmark</v>
      </c>
      <c r="B85" s="22" t="str">
        <f>IF(Table1[[#This Row],[Study site]]="N/A","",Table1[[#This Row],[Study site]])</f>
        <v>Syvbæk DK</v>
      </c>
      <c r="C85" s="22" t="str">
        <f>IF(Table1[[#This Row],[WBZ-type]]="N/A","",Table1[[#This Row],[WBZ-type]])</f>
        <v>Rewetted Fen</v>
      </c>
      <c r="D85" s="22" t="str">
        <f>IF(Table1[[#This Row],[Nutrient]]="N/A","",Table1[[#This Row],[Nutrient]])</f>
        <v>ammonium</v>
      </c>
      <c r="E85" s="22">
        <f>IF(Table1[[#This Row],[Load (kg N, P/ha/yr)]]="N/A","",Table1[[#This Row],[Load (kg N, P/ha/yr)]])</f>
        <v>36</v>
      </c>
      <c r="F85" s="22">
        <f>IF(Table1[[#This Row],[Loss (kg N, P/ha/yr)]]="N/A","",Table1[[#This Row],[Loss (kg N, P/ha/yr)]])</f>
        <v>0</v>
      </c>
      <c r="G85" s="22">
        <f>IF(Table1[[#This Row],[Retention (kg N, P/ha/yr)]]="N/A","",Table1[[#This Row],[Retention (kg N, P/ha/yr)]])</f>
        <v>0</v>
      </c>
      <c r="H85" s="22">
        <f>IF(Table1[[#This Row],[Efficiency (%)]]="N/A","",Table1[[#This Row],[Efficiency (%)]])</f>
        <v>0</v>
      </c>
      <c r="I85" s="22" t="str">
        <f>IF(Table1[[#This Row],[Organic/Mineral Soil]]="N/A","",Table1[[#This Row],[Organic/Mineral Soil]])</f>
        <v>Organic</v>
      </c>
      <c r="J85" s="22" t="str">
        <f>IF(Table1[[#This Row],[Vegetation type]]="N/A","",Table1[[#This Row],[Vegetation type]])</f>
        <v>Aerenchymous</v>
      </c>
      <c r="K85" s="22" t="str">
        <f>IF(Table1[[#This Row],[Reference]]="N/A","",Table1[[#This Row],[Reference]])</f>
        <v>Dørge J., 1994, Ambus &amp; Hoffmann 1990</v>
      </c>
      <c r="L85" s="22" t="str">
        <f>IF(Table1[[#This Row],[Main source/flow path in]]="N/A","",Table1[[#This Row],[Main source/flow path in]])</f>
        <v>Drain discharge from upland</v>
      </c>
      <c r="M85" s="22" t="str">
        <f>IF(Table1[[#This Row],[Main source/flow path in (simple)]]="N/A","",Table1[[#This Row],[Main source/flow path in (simple)]])</f>
        <v>SWU</v>
      </c>
      <c r="N85" s="22" t="str">
        <f>IF(Table1[[#This Row],[Main flow paths in buffer]]="N/A","",Table1[[#This Row],[Main flow paths in buffer]])</f>
        <v>Infiltration and direct surface runoff</v>
      </c>
      <c r="O85" s="22" t="str">
        <f>IF(Table1[[#This Row],[Inflow=&gt;Outflow]]="N/A","",Table1[[#This Row],[Inflow=&gt;Outflow]])</f>
        <v>SWU=&gt;GW</v>
      </c>
      <c r="P85" s="22">
        <f>IF(Table1[[#This Row],[Width '[m']]]="N/A","",Table1[[#This Row],[Width '[m']]])</f>
        <v>30</v>
      </c>
      <c r="Q85" s="22">
        <f>IF(Table1[[#This Row],[Area '[m²']]]="N/A","",Table1[[#This Row],[Area '[m²']]])</f>
        <v>852</v>
      </c>
      <c r="R85" s="22">
        <f>IF(Table1[[#This Row],[Qin '[m³/yr']]]="N/A","",Table1[[#This Row],[Qin '[m³/yr']]])</f>
        <v>13589.631637500001</v>
      </c>
      <c r="S85" s="22" t="str">
        <f>IF(Table1[[#This Row],[Catchment area '[ha']]]="N/A","",Table1[[#This Row],[Catchment area '[ha']]])</f>
        <v/>
      </c>
      <c r="T85" s="22">
        <f>IF(Table1[[#This Row],[HLR '[mm']]]="N/A","",Table1[[#This Row],[HLR '[mm']]])</f>
        <v>15950.271875</v>
      </c>
    </row>
    <row r="86" spans="1:20" x14ac:dyDescent="0.3">
      <c r="A86" s="22" t="str">
        <f>IF(Table1[[#This Row],[Country]]="N/A","",Table1[[#This Row],[Country]])</f>
        <v>Denmark</v>
      </c>
      <c r="B86" s="22" t="str">
        <f>IF(Table1[[#This Row],[Study site]]="N/A","",Table1[[#This Row],[Study site]])</f>
        <v>Syvbæk DK</v>
      </c>
      <c r="C86" s="22" t="str">
        <f>IF(Table1[[#This Row],[WBZ-type]]="N/A","",Table1[[#This Row],[WBZ-type]])</f>
        <v>Rewetted Fen</v>
      </c>
      <c r="D86" s="22" t="str">
        <f>IF(Table1[[#This Row],[Nutrient]]="N/A","",Table1[[#This Row],[Nutrient]])</f>
        <v>total nitrogen</v>
      </c>
      <c r="E86" s="22">
        <f>IF(Table1[[#This Row],[Load (kg N, P/ha/yr)]]="N/A","",Table1[[#This Row],[Load (kg N, P/ha/yr)]])</f>
        <v>0</v>
      </c>
      <c r="F86" s="22">
        <f>IF(Table1[[#This Row],[Loss (kg N, P/ha/yr)]]="N/A","",Table1[[#This Row],[Loss (kg N, P/ha/yr)]])</f>
        <v>0</v>
      </c>
      <c r="G86" s="22">
        <f>IF(Table1[[#This Row],[Retention (kg N, P/ha/yr)]]="N/A","",Table1[[#This Row],[Retention (kg N, P/ha/yr)]])</f>
        <v>428</v>
      </c>
      <c r="H86" s="22">
        <f>IF(Table1[[#This Row],[Efficiency (%)]]="N/A","",Table1[[#This Row],[Efficiency (%)]])</f>
        <v>0</v>
      </c>
      <c r="I86" s="22" t="str">
        <f>IF(Table1[[#This Row],[Organic/Mineral Soil]]="N/A","",Table1[[#This Row],[Organic/Mineral Soil]])</f>
        <v>Organic</v>
      </c>
      <c r="J86" s="22" t="str">
        <f>IF(Table1[[#This Row],[Vegetation type]]="N/A","",Table1[[#This Row],[Vegetation type]])</f>
        <v>Aerenchymous</v>
      </c>
      <c r="K86" s="22" t="str">
        <f>IF(Table1[[#This Row],[Reference]]="N/A","",Table1[[#This Row],[Reference]])</f>
        <v>Dørge J., 1994, Ambus &amp; Hoffmann 1990</v>
      </c>
      <c r="L86" s="22" t="str">
        <f>IF(Table1[[#This Row],[Main source/flow path in]]="N/A","",Table1[[#This Row],[Main source/flow path in]])</f>
        <v>Drain discharge from upland</v>
      </c>
      <c r="M86" s="22" t="str">
        <f>IF(Table1[[#This Row],[Main source/flow path in (simple)]]="N/A","",Table1[[#This Row],[Main source/flow path in (simple)]])</f>
        <v>SWU</v>
      </c>
      <c r="N86" s="22" t="str">
        <f>IF(Table1[[#This Row],[Main flow paths in buffer]]="N/A","",Table1[[#This Row],[Main flow paths in buffer]])</f>
        <v>Infiltration and direct surface runoff</v>
      </c>
      <c r="O86" s="22" t="str">
        <f>IF(Table1[[#This Row],[Inflow=&gt;Outflow]]="N/A","",Table1[[#This Row],[Inflow=&gt;Outflow]])</f>
        <v>SWU=&gt;GW</v>
      </c>
      <c r="P86" s="22">
        <f>IF(Table1[[#This Row],[Width '[m']]]="N/A","",Table1[[#This Row],[Width '[m']]])</f>
        <v>30</v>
      </c>
      <c r="Q86" s="22">
        <f>IF(Table1[[#This Row],[Area '[m²']]]="N/A","",Table1[[#This Row],[Area '[m²']]])</f>
        <v>852</v>
      </c>
      <c r="R86" s="22">
        <f>IF(Table1[[#This Row],[Qin '[m³/yr']]]="N/A","",Table1[[#This Row],[Qin '[m³/yr']]])</f>
        <v>13589.631637500001</v>
      </c>
      <c r="S86" s="22" t="str">
        <f>IF(Table1[[#This Row],[Catchment area '[ha']]]="N/A","",Table1[[#This Row],[Catchment area '[ha']]])</f>
        <v/>
      </c>
      <c r="T86" s="22">
        <f>IF(Table1[[#This Row],[HLR '[mm']]]="N/A","",Table1[[#This Row],[HLR '[mm']]])</f>
        <v>15950.271875</v>
      </c>
    </row>
    <row r="87" spans="1:20" x14ac:dyDescent="0.3">
      <c r="A87" s="22" t="str">
        <f>IF(Table1[[#This Row],[Country]]="N/A","",Table1[[#This Row],[Country]])</f>
        <v>Denmark</v>
      </c>
      <c r="B87" s="22" t="str">
        <f>IF(Table1[[#This Row],[Study site]]="N/A","",Table1[[#This Row],[Study site]])</f>
        <v>Tim Enge, DK</v>
      </c>
      <c r="C87" s="22" t="str">
        <f>IF(Table1[[#This Row],[WBZ-type]]="N/A","",Table1[[#This Row],[WBZ-type]])</f>
        <v>Rewetted Fen</v>
      </c>
      <c r="D87" s="22" t="str">
        <f>IF(Table1[[#This Row],[Nutrient]]="N/A","",Table1[[#This Row],[Nutrient]])</f>
        <v>total nitrogen</v>
      </c>
      <c r="E87" s="22">
        <f>IF(Table1[[#This Row],[Load (kg N, P/ha/yr)]]="N/A","",Table1[[#This Row],[Load (kg N, P/ha/yr)]])</f>
        <v>1337</v>
      </c>
      <c r="F87" s="22">
        <f>IF(Table1[[#This Row],[Loss (kg N, P/ha/yr)]]="N/A","",Table1[[#This Row],[Loss (kg N, P/ha/yr)]])</f>
        <v>1267.4760000000001</v>
      </c>
      <c r="G87" s="22">
        <f>IF(Table1[[#This Row],[Retention (kg N, P/ha/yr)]]="N/A","",Table1[[#This Row],[Retention (kg N, P/ha/yr)]])</f>
        <v>69.524000000000001</v>
      </c>
      <c r="H87" s="22">
        <f>IF(Table1[[#This Row],[Efficiency (%)]]="N/A","",Table1[[#This Row],[Efficiency (%)]])</f>
        <v>5.2</v>
      </c>
      <c r="I87" s="22" t="str">
        <f>IF(Table1[[#This Row],[Organic/Mineral Soil]]="N/A","",Table1[[#This Row],[Organic/Mineral Soil]])</f>
        <v>Organic</v>
      </c>
      <c r="J87" s="22" t="str">
        <f>IF(Table1[[#This Row],[Vegetation type]]="N/A","",Table1[[#This Row],[Vegetation type]])</f>
        <v>Aerenchymous</v>
      </c>
      <c r="K87" s="22" t="str">
        <f>IF(Table1[[#This Row],[Reference]]="N/A","",Table1[[#This Row],[Reference]])</f>
        <v>Audet J., et al., 2019</v>
      </c>
      <c r="L87" s="22" t="str">
        <f>IF(Table1[[#This Row],[Main source/flow path in]]="N/A","",Table1[[#This Row],[Main source/flow path in]])</f>
        <v>Stream water</v>
      </c>
      <c r="M87" s="22" t="str">
        <f>IF(Table1[[#This Row],[Main source/flow path in (simple)]]="N/A","",Table1[[#This Row],[Main source/flow path in (simple)]])</f>
        <v>SWR</v>
      </c>
      <c r="N87" s="22" t="str">
        <f>IF(Table1[[#This Row],[Main flow paths in buffer]]="N/A","",Table1[[#This Row],[Main flow paths in buffer]])</f>
        <v>Direct surface runoff</v>
      </c>
      <c r="O87" s="22" t="str">
        <f>IF(Table1[[#This Row],[Inflow=&gt;Outflow]]="N/A","",Table1[[#This Row],[Inflow=&gt;Outflow]])</f>
        <v>SWR=&gt;SR</v>
      </c>
      <c r="P87" s="22">
        <f>IF(Table1[[#This Row],[Width '[m']]]="N/A","",Table1[[#This Row],[Width '[m']]])</f>
        <v>0</v>
      </c>
      <c r="Q87" s="22">
        <f>IF(Table1[[#This Row],[Area '[m²']]]="N/A","",Table1[[#This Row],[Area '[m²']]])</f>
        <v>1520000</v>
      </c>
      <c r="R87" s="22">
        <f>IF(Table1[[#This Row],[Qin '[m³/yr']]]="N/A","",Table1[[#This Row],[Qin '[m³/yr']]])</f>
        <v>77337600</v>
      </c>
      <c r="S87" s="22">
        <f>IF(Table1[[#This Row],[Catchment area '[ha']]]="N/A","",Table1[[#This Row],[Catchment area '[ha']]])</f>
        <v>10059</v>
      </c>
      <c r="T87" s="22">
        <f>IF(Table1[[#This Row],[HLR '[mm']]]="N/A","",Table1[[#This Row],[HLR '[mm']]])</f>
        <v>50880</v>
      </c>
    </row>
    <row r="88" spans="1:20" hidden="1" x14ac:dyDescent="0.3">
      <c r="A88" s="22" t="str">
        <f>IF(Table1[[#This Row],[Country]]="N/A","",Table1[[#This Row],[Country]])</f>
        <v>Denmark</v>
      </c>
      <c r="B88" s="22" t="str">
        <f>IF(Table1[[#This Row],[Study site]]="N/A","",Table1[[#This Row],[Study site]])</f>
        <v>Tim Enge, DK</v>
      </c>
      <c r="C88" s="22" t="str">
        <f>IF(Table1[[#This Row],[WBZ-type]]="N/A","",Table1[[#This Row],[WBZ-type]])</f>
        <v>Rewetted Fen</v>
      </c>
      <c r="D88" s="22" t="str">
        <f>IF(Table1[[#This Row],[Nutrient]]="N/A","",Table1[[#This Row],[Nutrient]])</f>
        <v>total phosphorus</v>
      </c>
      <c r="E88" s="22">
        <f>IF(Table1[[#This Row],[Load (kg N, P/ha/yr)]]="N/A","",Table1[[#This Row],[Load (kg N, P/ha/yr)]])</f>
        <v>60.5</v>
      </c>
      <c r="F88" s="22">
        <f>IF(Table1[[#This Row],[Loss (kg N, P/ha/yr)]]="N/A","",Table1[[#This Row],[Loss (kg N, P/ha/yr)]])</f>
        <v>50.215000000000003</v>
      </c>
      <c r="G88" s="22">
        <f>IF(Table1[[#This Row],[Retention (kg N, P/ha/yr)]]="N/A","",Table1[[#This Row],[Retention (kg N, P/ha/yr)]])</f>
        <v>10.285</v>
      </c>
      <c r="H88" s="22">
        <f>IF(Table1[[#This Row],[Efficiency (%)]]="N/A","",Table1[[#This Row],[Efficiency (%)]])</f>
        <v>17</v>
      </c>
      <c r="I88" s="22" t="str">
        <f>IF(Table1[[#This Row],[Organic/Mineral Soil]]="N/A","",Table1[[#This Row],[Organic/Mineral Soil]])</f>
        <v>Organic</v>
      </c>
      <c r="J88" s="22" t="str">
        <f>IF(Table1[[#This Row],[Vegetation type]]="N/A","",Table1[[#This Row],[Vegetation type]])</f>
        <v>Aerenchymous</v>
      </c>
      <c r="K88" s="22" t="str">
        <f>IF(Table1[[#This Row],[Reference]]="N/A","",Table1[[#This Row],[Reference]])</f>
        <v>Audet J., et al., 2019</v>
      </c>
      <c r="L88" s="22" t="str">
        <f>IF(Table1[[#This Row],[Main source/flow path in]]="N/A","",Table1[[#This Row],[Main source/flow path in]])</f>
        <v>Stream water</v>
      </c>
      <c r="M88" s="22" t="str">
        <f>IF(Table1[[#This Row],[Main source/flow path in (simple)]]="N/A","",Table1[[#This Row],[Main source/flow path in (simple)]])</f>
        <v>SWR</v>
      </c>
      <c r="N88" s="22" t="str">
        <f>IF(Table1[[#This Row],[Main flow paths in buffer]]="N/A","",Table1[[#This Row],[Main flow paths in buffer]])</f>
        <v>Direct surface runoff</v>
      </c>
      <c r="O88" s="22" t="str">
        <f>IF(Table1[[#This Row],[Inflow=&gt;Outflow]]="N/A","",Table1[[#This Row],[Inflow=&gt;Outflow]])</f>
        <v>SWR=&gt;SR</v>
      </c>
      <c r="P88" s="22">
        <f>IF(Table1[[#This Row],[Width '[m']]]="N/A","",Table1[[#This Row],[Width '[m']]])</f>
        <v>0</v>
      </c>
      <c r="Q88" s="22">
        <f>IF(Table1[[#This Row],[Area '[m²']]]="N/A","",Table1[[#This Row],[Area '[m²']]])</f>
        <v>1520000</v>
      </c>
      <c r="R88" s="22">
        <f>IF(Table1[[#This Row],[Qin '[m³/yr']]]="N/A","",Table1[[#This Row],[Qin '[m³/yr']]])</f>
        <v>77337600</v>
      </c>
      <c r="S88" s="22">
        <f>IF(Table1[[#This Row],[Catchment area '[ha']]]="N/A","",Table1[[#This Row],[Catchment area '[ha']]])</f>
        <v>10059</v>
      </c>
      <c r="T88" s="22">
        <f>IF(Table1[[#This Row],[HLR '[mm']]]="N/A","",Table1[[#This Row],[HLR '[mm']]])</f>
        <v>50880</v>
      </c>
    </row>
    <row r="89" spans="1:20" hidden="1" x14ac:dyDescent="0.3">
      <c r="A89" s="22" t="str">
        <f>IF(Table1[[#This Row],[Country]]="N/A","",Table1[[#This Row],[Country]])</f>
        <v>Denmark</v>
      </c>
      <c r="B89" s="22" t="str">
        <f>IF(Table1[[#This Row],[Study site]]="N/A","",Table1[[#This Row],[Study site]])</f>
        <v>Tim Enge, DK</v>
      </c>
      <c r="C89" s="22" t="str">
        <f>IF(Table1[[#This Row],[WBZ-type]]="N/A","",Table1[[#This Row],[WBZ-type]])</f>
        <v>Rewetted Fen</v>
      </c>
      <c r="D89" s="22" t="str">
        <f>IF(Table1[[#This Row],[Nutrient]]="N/A","",Table1[[#This Row],[Nutrient]])</f>
        <v>nitrate</v>
      </c>
      <c r="E89" s="22">
        <f>IF(Table1[[#This Row],[Load (kg N, P/ha/yr)]]="N/A","",Table1[[#This Row],[Load (kg N, P/ha/yr)]])</f>
        <v>910.3341261631183</v>
      </c>
      <c r="F89" s="22">
        <f>IF(Table1[[#This Row],[Loss (kg N, P/ha/yr)]]="N/A","",Table1[[#This Row],[Loss (kg N, P/ha/yr)]])</f>
        <v>0</v>
      </c>
      <c r="G89" s="22">
        <f>IF(Table1[[#This Row],[Retention (kg N, P/ha/yr)]]="N/A","",Table1[[#This Row],[Retention (kg N, P/ha/yr)]])</f>
        <v>34.407989999999998</v>
      </c>
      <c r="H89" s="22">
        <f>IF(Table1[[#This Row],[Efficiency (%)]]="N/A","",Table1[[#This Row],[Efficiency (%)]])</f>
        <v>3.7797100000000001</v>
      </c>
      <c r="I89" s="22" t="str">
        <f>IF(Table1[[#This Row],[Organic/Mineral Soil]]="N/A","",Table1[[#This Row],[Organic/Mineral Soil]])</f>
        <v>Organic</v>
      </c>
      <c r="J89" s="22" t="str">
        <f>IF(Table1[[#This Row],[Vegetation type]]="N/A","",Table1[[#This Row],[Vegetation type]])</f>
        <v>Aerenchymous</v>
      </c>
      <c r="K89" s="22" t="str">
        <f>IF(Table1[[#This Row],[Reference]]="N/A","",Table1[[#This Row],[Reference]])</f>
        <v>Audet J., et al., 2019</v>
      </c>
      <c r="L89" s="22" t="str">
        <f>IF(Table1[[#This Row],[Main source/flow path in]]="N/A","",Table1[[#This Row],[Main source/flow path in]])</f>
        <v>Stream water</v>
      </c>
      <c r="M89" s="22" t="str">
        <f>IF(Table1[[#This Row],[Main source/flow path in (simple)]]="N/A","",Table1[[#This Row],[Main source/flow path in (simple)]])</f>
        <v>SWR</v>
      </c>
      <c r="N89" s="22" t="str">
        <f>IF(Table1[[#This Row],[Main flow paths in buffer]]="N/A","",Table1[[#This Row],[Main flow paths in buffer]])</f>
        <v>Direct surface runoff</v>
      </c>
      <c r="O89" s="22" t="str">
        <f>IF(Table1[[#This Row],[Inflow=&gt;Outflow]]="N/A","",Table1[[#This Row],[Inflow=&gt;Outflow]])</f>
        <v>SWR=&gt;SR</v>
      </c>
      <c r="P89" s="22">
        <f>IF(Table1[[#This Row],[Width '[m']]]="N/A","",Table1[[#This Row],[Width '[m']]])</f>
        <v>0</v>
      </c>
      <c r="Q89" s="22">
        <f>IF(Table1[[#This Row],[Area '[m²']]]="N/A","",Table1[[#This Row],[Area '[m²']]])</f>
        <v>1520000</v>
      </c>
      <c r="R89" s="22">
        <f>IF(Table1[[#This Row],[Qin '[m³/yr']]]="N/A","",Table1[[#This Row],[Qin '[m³/yr']]])</f>
        <v>77337600</v>
      </c>
      <c r="S89" s="22">
        <f>IF(Table1[[#This Row],[Catchment area '[ha']]]="N/A","",Table1[[#This Row],[Catchment area '[ha']]])</f>
        <v>10059</v>
      </c>
      <c r="T89" s="22">
        <f>IF(Table1[[#This Row],[HLR '[mm']]]="N/A","",Table1[[#This Row],[HLR '[mm']]])</f>
        <v>50880</v>
      </c>
    </row>
    <row r="90" spans="1:20" hidden="1" x14ac:dyDescent="0.3">
      <c r="A90" s="22" t="str">
        <f>IF(Table1[[#This Row],[Country]]="N/A","",Table1[[#This Row],[Country]])</f>
        <v>Denmark</v>
      </c>
      <c r="B90" s="22" t="str">
        <f>IF(Table1[[#This Row],[Study site]]="N/A","",Table1[[#This Row],[Study site]])</f>
        <v>Tim Enge, DK</v>
      </c>
      <c r="C90" s="22" t="str">
        <f>IF(Table1[[#This Row],[WBZ-type]]="N/A","",Table1[[#This Row],[WBZ-type]])</f>
        <v>Rewetted Fen</v>
      </c>
      <c r="D90" s="22" t="str">
        <f>IF(Table1[[#This Row],[Nutrient]]="N/A","",Table1[[#This Row],[Nutrient]])</f>
        <v>SRP</v>
      </c>
      <c r="E90" s="22">
        <f>IF(Table1[[#This Row],[Load (kg N, P/ha/yr)]]="N/A","",Table1[[#This Row],[Load (kg N, P/ha/yr)]])</f>
        <v>11.614528841724461</v>
      </c>
      <c r="F90" s="22">
        <f>IF(Table1[[#This Row],[Loss (kg N, P/ha/yr)]]="N/A","",Table1[[#This Row],[Loss (kg N, P/ha/yr)]])</f>
        <v>0</v>
      </c>
      <c r="G90" s="22">
        <f>IF(Table1[[#This Row],[Retention (kg N, P/ha/yr)]]="N/A","",Table1[[#This Row],[Retention (kg N, P/ha/yr)]])</f>
        <v>1.3741091000000001</v>
      </c>
      <c r="H90" s="22">
        <f>IF(Table1[[#This Row],[Efficiency (%)]]="N/A","",Table1[[#This Row],[Efficiency (%)]])</f>
        <v>11.83095</v>
      </c>
      <c r="I90" s="22" t="str">
        <f>IF(Table1[[#This Row],[Organic/Mineral Soil]]="N/A","",Table1[[#This Row],[Organic/Mineral Soil]])</f>
        <v>Organic</v>
      </c>
      <c r="J90" s="22" t="str">
        <f>IF(Table1[[#This Row],[Vegetation type]]="N/A","",Table1[[#This Row],[Vegetation type]])</f>
        <v>Aerenchymous</v>
      </c>
      <c r="K90" s="22" t="str">
        <f>IF(Table1[[#This Row],[Reference]]="N/A","",Table1[[#This Row],[Reference]])</f>
        <v>Audet J., et al., 2019</v>
      </c>
      <c r="L90" s="22" t="str">
        <f>IF(Table1[[#This Row],[Main source/flow path in]]="N/A","",Table1[[#This Row],[Main source/flow path in]])</f>
        <v>Stream water</v>
      </c>
      <c r="M90" s="22" t="str">
        <f>IF(Table1[[#This Row],[Main source/flow path in (simple)]]="N/A","",Table1[[#This Row],[Main source/flow path in (simple)]])</f>
        <v>SWR</v>
      </c>
      <c r="N90" s="22" t="str">
        <f>IF(Table1[[#This Row],[Main flow paths in buffer]]="N/A","",Table1[[#This Row],[Main flow paths in buffer]])</f>
        <v>Direct surface runoff</v>
      </c>
      <c r="O90" s="22" t="str">
        <f>IF(Table1[[#This Row],[Inflow=&gt;Outflow]]="N/A","",Table1[[#This Row],[Inflow=&gt;Outflow]])</f>
        <v>SWR=&gt;SR</v>
      </c>
      <c r="P90" s="22">
        <f>IF(Table1[[#This Row],[Width '[m']]]="N/A","",Table1[[#This Row],[Width '[m']]])</f>
        <v>0</v>
      </c>
      <c r="Q90" s="22">
        <f>IF(Table1[[#This Row],[Area '[m²']]]="N/A","",Table1[[#This Row],[Area '[m²']]])</f>
        <v>1520000</v>
      </c>
      <c r="R90" s="22">
        <f>IF(Table1[[#This Row],[Qin '[m³/yr']]]="N/A","",Table1[[#This Row],[Qin '[m³/yr']]])</f>
        <v>77337600</v>
      </c>
      <c r="S90" s="22">
        <f>IF(Table1[[#This Row],[Catchment area '[ha']]]="N/A","",Table1[[#This Row],[Catchment area '[ha']]])</f>
        <v>10059</v>
      </c>
      <c r="T90" s="22">
        <f>IF(Table1[[#This Row],[HLR '[mm']]]="N/A","",Table1[[#This Row],[HLR '[mm']]])</f>
        <v>50880</v>
      </c>
    </row>
    <row r="91" spans="1:20" x14ac:dyDescent="0.3">
      <c r="A91" s="22" t="str">
        <f>IF(Table1[[#This Row],[Country]]="N/A","",Table1[[#This Row],[Country]])</f>
        <v>Denmark</v>
      </c>
      <c r="B91" s="22" t="str">
        <f>IF(Table1[[#This Row],[Study site]]="N/A","",Table1[[#This Row],[Study site]])</f>
        <v>Ulleruplund, DK</v>
      </c>
      <c r="C91" s="22" t="str">
        <f>IF(Table1[[#This Row],[WBZ-type]]="N/A","",Table1[[#This Row],[WBZ-type]])</f>
        <v>Rewetted Fen</v>
      </c>
      <c r="D91" s="22" t="str">
        <f>IF(Table1[[#This Row],[Nutrient]]="N/A","",Table1[[#This Row],[Nutrient]])</f>
        <v>total nitrogen</v>
      </c>
      <c r="E91" s="22">
        <f>IF(Table1[[#This Row],[Load (kg N, P/ha/yr)]]="N/A","",Table1[[#This Row],[Load (kg N, P/ha/yr)]])</f>
        <v>198</v>
      </c>
      <c r="F91" s="22">
        <f>IF(Table1[[#This Row],[Loss (kg N, P/ha/yr)]]="N/A","",Table1[[#This Row],[Loss (kg N, P/ha/yr)]])</f>
        <v>64.943999999999988</v>
      </c>
      <c r="G91" s="22">
        <f>IF(Table1[[#This Row],[Retention (kg N, P/ha/yr)]]="N/A","",Table1[[#This Row],[Retention (kg N, P/ha/yr)]])</f>
        <v>133.05600000000001</v>
      </c>
      <c r="H91" s="22">
        <f>IF(Table1[[#This Row],[Efficiency (%)]]="N/A","",Table1[[#This Row],[Efficiency (%)]])</f>
        <v>67.2</v>
      </c>
      <c r="I91" s="22" t="str">
        <f>IF(Table1[[#This Row],[Organic/Mineral Soil]]="N/A","",Table1[[#This Row],[Organic/Mineral Soil]])</f>
        <v>Organic</v>
      </c>
      <c r="J91" s="22" t="str">
        <f>IF(Table1[[#This Row],[Vegetation type]]="N/A","",Table1[[#This Row],[Vegetation type]])</f>
        <v>Aerenchymous</v>
      </c>
      <c r="K91" s="22" t="str">
        <f>IF(Table1[[#This Row],[Reference]]="N/A","",Table1[[#This Row],[Reference]])</f>
        <v xml:space="preserve">Hoffmann C. &amp; Baattrup-Pedersen A., 2007 </v>
      </c>
      <c r="L91" s="22" t="str">
        <f>IF(Table1[[#This Row],[Main source/flow path in]]="N/A","",Table1[[#This Row],[Main source/flow path in]])</f>
        <v>Drain discharge from upland</v>
      </c>
      <c r="M91" s="22" t="str">
        <f>IF(Table1[[#This Row],[Main source/flow path in (simple)]]="N/A","",Table1[[#This Row],[Main source/flow path in (simple)]])</f>
        <v>SWU</v>
      </c>
      <c r="N91" s="22" t="str">
        <f>IF(Table1[[#This Row],[Main flow paths in buffer]]="N/A","",Table1[[#This Row],[Main flow paths in buffer]])</f>
        <v>Direct surface runoff</v>
      </c>
      <c r="O91" s="22" t="str">
        <f>IF(Table1[[#This Row],[Inflow=&gt;Outflow]]="N/A","",Table1[[#This Row],[Inflow=&gt;Outflow]])</f>
        <v>SWU=&gt;SR</v>
      </c>
      <c r="P91" s="22" t="str">
        <f>IF(Table1[[#This Row],[Width '[m']]]="N/A","",Table1[[#This Row],[Width '[m']]])</f>
        <v/>
      </c>
      <c r="Q91" s="22">
        <f>IF(Table1[[#This Row],[Area '[m²']]]="N/A","",Table1[[#This Row],[Area '[m²']]])</f>
        <v>130000</v>
      </c>
      <c r="R91" s="22" t="str">
        <f>IF(Table1[[#This Row],[Qin '[m³/yr']]]="N/A","",Table1[[#This Row],[Qin '[m³/yr']]])</f>
        <v/>
      </c>
      <c r="S91" s="22">
        <f>IF(Table1[[#This Row],[Catchment area '[ha']]]="N/A","",Table1[[#This Row],[Catchment area '[ha']]])</f>
        <v>60</v>
      </c>
      <c r="T91" s="22" t="str">
        <f>IF(Table1[[#This Row],[HLR '[mm']]]="N/A","",Table1[[#This Row],[HLR '[mm']]])</f>
        <v/>
      </c>
    </row>
    <row r="92" spans="1:20" x14ac:dyDescent="0.3">
      <c r="A92" s="22" t="str">
        <f>IF(Table1[[#This Row],[Country]]="N/A","",Table1[[#This Row],[Country]])</f>
        <v>Denmark</v>
      </c>
      <c r="B92" s="22" t="str">
        <f>IF(Table1[[#This Row],[Study site]]="N/A","",Table1[[#This Row],[Study site]])</f>
        <v>Vilsted Sø, DK</v>
      </c>
      <c r="C92" s="22" t="str">
        <f>IF(Table1[[#This Row],[WBZ-type]]="N/A","",Table1[[#This Row],[WBZ-type]])</f>
        <v>Rewetted Fen</v>
      </c>
      <c r="D92" s="22" t="str">
        <f>IF(Table1[[#This Row],[Nutrient]]="N/A","",Table1[[#This Row],[Nutrient]])</f>
        <v>total nitrogen</v>
      </c>
      <c r="E92" s="22">
        <f>IF(Table1[[#This Row],[Load (kg N, P/ha/yr)]]="N/A","",Table1[[#This Row],[Load (kg N, P/ha/yr)]])</f>
        <v>305</v>
      </c>
      <c r="F92" s="22">
        <f>IF(Table1[[#This Row],[Loss (kg N, P/ha/yr)]]="N/A","",Table1[[#This Row],[Loss (kg N, P/ha/yr)]])</f>
        <v>233.935</v>
      </c>
      <c r="G92" s="22">
        <f>IF(Table1[[#This Row],[Retention (kg N, P/ha/yr)]]="N/A","",Table1[[#This Row],[Retention (kg N, P/ha/yr)]])</f>
        <v>71.064999999999998</v>
      </c>
      <c r="H92" s="22">
        <f>IF(Table1[[#This Row],[Efficiency (%)]]="N/A","",Table1[[#This Row],[Efficiency (%)]])</f>
        <v>23.3</v>
      </c>
      <c r="I92" s="22" t="str">
        <f>IF(Table1[[#This Row],[Organic/Mineral Soil]]="N/A","",Table1[[#This Row],[Organic/Mineral Soil]])</f>
        <v>Organic</v>
      </c>
      <c r="J92" s="22" t="str">
        <f>IF(Table1[[#This Row],[Vegetation type]]="N/A","",Table1[[#This Row],[Vegetation type]])</f>
        <v>Aerenchymous</v>
      </c>
      <c r="K92" s="22" t="str">
        <f>IF(Table1[[#This Row],[Reference]]="N/A","",Table1[[#This Row],[Reference]])</f>
        <v>Audet J., et al., 2019</v>
      </c>
      <c r="L92" s="22" t="str">
        <f>IF(Table1[[#This Row],[Main source/flow path in]]="N/A","",Table1[[#This Row],[Main source/flow path in]])</f>
        <v>Stream water</v>
      </c>
      <c r="M92" s="22" t="str">
        <f>IF(Table1[[#This Row],[Main source/flow path in (simple)]]="N/A","",Table1[[#This Row],[Main source/flow path in (simple)]])</f>
        <v>SWR</v>
      </c>
      <c r="N92" s="22" t="str">
        <f>IF(Table1[[#This Row],[Main flow paths in buffer]]="N/A","",Table1[[#This Row],[Main flow paths in buffer]])</f>
        <v>Direct surface runoff</v>
      </c>
      <c r="O92" s="22" t="str">
        <f>IF(Table1[[#This Row],[Inflow=&gt;Outflow]]="N/A","",Table1[[#This Row],[Inflow=&gt;Outflow]])</f>
        <v>SWR=&gt;SR</v>
      </c>
      <c r="P92" s="22">
        <f>IF(Table1[[#This Row],[Width '[m']]]="N/A","",Table1[[#This Row],[Width '[m']]])</f>
        <v>0</v>
      </c>
      <c r="Q92" s="22">
        <f>IF(Table1[[#This Row],[Area '[m²']]]="N/A","",Table1[[#This Row],[Area '[m²']]])</f>
        <v>9130000</v>
      </c>
      <c r="R92" s="22">
        <f>IF(Table1[[#This Row],[Qin '[m³/yr']]]="N/A","",Table1[[#This Row],[Qin '[m³/yr']]])</f>
        <v>44189200</v>
      </c>
      <c r="S92" s="22">
        <f>IF(Table1[[#This Row],[Catchment area '[ha']]]="N/A","",Table1[[#This Row],[Catchment area '[ha']]])</f>
        <v>9588</v>
      </c>
      <c r="T92" s="22">
        <f>IF(Table1[[#This Row],[HLR '[mm']]]="N/A","",Table1[[#This Row],[HLR '[mm']]])</f>
        <v>4840</v>
      </c>
    </row>
    <row r="93" spans="1:20" hidden="1" x14ac:dyDescent="0.3">
      <c r="A93" s="22" t="str">
        <f>IF(Table1[[#This Row],[Country]]="N/A","",Table1[[#This Row],[Country]])</f>
        <v>Denmark</v>
      </c>
      <c r="B93" s="22" t="str">
        <f>IF(Table1[[#This Row],[Study site]]="N/A","",Table1[[#This Row],[Study site]])</f>
        <v>Vilsted Sø, DK</v>
      </c>
      <c r="C93" s="22" t="str">
        <f>IF(Table1[[#This Row],[WBZ-type]]="N/A","",Table1[[#This Row],[WBZ-type]])</f>
        <v>Rewetted Fen</v>
      </c>
      <c r="D93" s="22" t="str">
        <f>IF(Table1[[#This Row],[Nutrient]]="N/A","",Table1[[#This Row],[Nutrient]])</f>
        <v>total phosphorus</v>
      </c>
      <c r="E93" s="22">
        <f>IF(Table1[[#This Row],[Load (kg N, P/ha/yr)]]="N/A","",Table1[[#This Row],[Load (kg N, P/ha/yr)]])</f>
        <v>4.9000000000000004</v>
      </c>
      <c r="F93" s="22">
        <f>IF(Table1[[#This Row],[Loss (kg N, P/ha/yr)]]="N/A","",Table1[[#This Row],[Loss (kg N, P/ha/yr)]])</f>
        <v>6.3210000000000006</v>
      </c>
      <c r="G93" s="22">
        <f>IF(Table1[[#This Row],[Retention (kg N, P/ha/yr)]]="N/A","",Table1[[#This Row],[Retention (kg N, P/ha/yr)]])</f>
        <v>-1.421</v>
      </c>
      <c r="H93" s="22">
        <f>IF(Table1[[#This Row],[Efficiency (%)]]="N/A","",Table1[[#This Row],[Efficiency (%)]])</f>
        <v>-29</v>
      </c>
      <c r="I93" s="22" t="str">
        <f>IF(Table1[[#This Row],[Organic/Mineral Soil]]="N/A","",Table1[[#This Row],[Organic/Mineral Soil]])</f>
        <v>Organic</v>
      </c>
      <c r="J93" s="22" t="str">
        <f>IF(Table1[[#This Row],[Vegetation type]]="N/A","",Table1[[#This Row],[Vegetation type]])</f>
        <v>Aerenchymous</v>
      </c>
      <c r="K93" s="22" t="str">
        <f>IF(Table1[[#This Row],[Reference]]="N/A","",Table1[[#This Row],[Reference]])</f>
        <v>Audet J., et al., 2019</v>
      </c>
      <c r="L93" s="22" t="str">
        <f>IF(Table1[[#This Row],[Main source/flow path in]]="N/A","",Table1[[#This Row],[Main source/flow path in]])</f>
        <v>Stream water</v>
      </c>
      <c r="M93" s="22" t="str">
        <f>IF(Table1[[#This Row],[Main source/flow path in (simple)]]="N/A","",Table1[[#This Row],[Main source/flow path in (simple)]])</f>
        <v>SWR</v>
      </c>
      <c r="N93" s="22" t="str">
        <f>IF(Table1[[#This Row],[Main flow paths in buffer]]="N/A","",Table1[[#This Row],[Main flow paths in buffer]])</f>
        <v>Direct surface runoff</v>
      </c>
      <c r="O93" s="22" t="str">
        <f>IF(Table1[[#This Row],[Inflow=&gt;Outflow]]="N/A","",Table1[[#This Row],[Inflow=&gt;Outflow]])</f>
        <v>SWR=&gt;SR</v>
      </c>
      <c r="P93" s="22">
        <f>IF(Table1[[#This Row],[Width '[m']]]="N/A","",Table1[[#This Row],[Width '[m']]])</f>
        <v>0</v>
      </c>
      <c r="Q93" s="22">
        <f>IF(Table1[[#This Row],[Area '[m²']]]="N/A","",Table1[[#This Row],[Area '[m²']]])</f>
        <v>9130000</v>
      </c>
      <c r="R93" s="22">
        <f>IF(Table1[[#This Row],[Qin '[m³/yr']]]="N/A","",Table1[[#This Row],[Qin '[m³/yr']]])</f>
        <v>44189200</v>
      </c>
      <c r="S93" s="22">
        <f>IF(Table1[[#This Row],[Catchment area '[ha']]]="N/A","",Table1[[#This Row],[Catchment area '[ha']]])</f>
        <v>9588</v>
      </c>
      <c r="T93" s="22">
        <f>IF(Table1[[#This Row],[HLR '[mm']]]="N/A","",Table1[[#This Row],[HLR '[mm']]])</f>
        <v>4840</v>
      </c>
    </row>
    <row r="94" spans="1:20" hidden="1" x14ac:dyDescent="0.3">
      <c r="A94" s="22" t="str">
        <f>IF(Table1[[#This Row],[Country]]="N/A","",Table1[[#This Row],[Country]])</f>
        <v>Denmark</v>
      </c>
      <c r="B94" s="22" t="str">
        <f>IF(Table1[[#This Row],[Study site]]="N/A","",Table1[[#This Row],[Study site]])</f>
        <v>Vilsted Sø, DK</v>
      </c>
      <c r="C94" s="22" t="str">
        <f>IF(Table1[[#This Row],[WBZ-type]]="N/A","",Table1[[#This Row],[WBZ-type]])</f>
        <v>Rewetted Fen</v>
      </c>
      <c r="D94" s="22" t="str">
        <f>IF(Table1[[#This Row],[Nutrient]]="N/A","",Table1[[#This Row],[Nutrient]])</f>
        <v>nitrate</v>
      </c>
      <c r="E94" s="22">
        <f>IF(Table1[[#This Row],[Load (kg N, P/ha/yr)]]="N/A","",Table1[[#This Row],[Load (kg N, P/ha/yr)]])</f>
        <v>274.51637921110159</v>
      </c>
      <c r="F94" s="22">
        <f>IF(Table1[[#This Row],[Loss (kg N, P/ha/yr)]]="N/A","",Table1[[#This Row],[Loss (kg N, P/ha/yr)]])</f>
        <v>0</v>
      </c>
      <c r="G94" s="22">
        <f>IF(Table1[[#This Row],[Retention (kg N, P/ha/yr)]]="N/A","",Table1[[#This Row],[Retention (kg N, P/ha/yr)]])</f>
        <v>111.97924999999999</v>
      </c>
      <c r="H94" s="22">
        <f>IF(Table1[[#This Row],[Efficiency (%)]]="N/A","",Table1[[#This Row],[Efficiency (%)]])</f>
        <v>40.791463999999998</v>
      </c>
      <c r="I94" s="22" t="str">
        <f>IF(Table1[[#This Row],[Organic/Mineral Soil]]="N/A","",Table1[[#This Row],[Organic/Mineral Soil]])</f>
        <v>Organic</v>
      </c>
      <c r="J94" s="22" t="str">
        <f>IF(Table1[[#This Row],[Vegetation type]]="N/A","",Table1[[#This Row],[Vegetation type]])</f>
        <v>Aerenchymous</v>
      </c>
      <c r="K94" s="22" t="str">
        <f>IF(Table1[[#This Row],[Reference]]="N/A","",Table1[[#This Row],[Reference]])</f>
        <v>Audet J., et al., 2019</v>
      </c>
      <c r="L94" s="22" t="str">
        <f>IF(Table1[[#This Row],[Main source/flow path in]]="N/A","",Table1[[#This Row],[Main source/flow path in]])</f>
        <v>Stream water</v>
      </c>
      <c r="M94" s="22" t="str">
        <f>IF(Table1[[#This Row],[Main source/flow path in (simple)]]="N/A","",Table1[[#This Row],[Main source/flow path in (simple)]])</f>
        <v>SWR</v>
      </c>
      <c r="N94" s="22" t="str">
        <f>IF(Table1[[#This Row],[Main flow paths in buffer]]="N/A","",Table1[[#This Row],[Main flow paths in buffer]])</f>
        <v>Direct surface runoff</v>
      </c>
      <c r="O94" s="22" t="str">
        <f>IF(Table1[[#This Row],[Inflow=&gt;Outflow]]="N/A","",Table1[[#This Row],[Inflow=&gt;Outflow]])</f>
        <v>SWR=&gt;SR</v>
      </c>
      <c r="P94" s="22">
        <f>IF(Table1[[#This Row],[Width '[m']]]="N/A","",Table1[[#This Row],[Width '[m']]])</f>
        <v>0</v>
      </c>
      <c r="Q94" s="22">
        <f>IF(Table1[[#This Row],[Area '[m²']]]="N/A","",Table1[[#This Row],[Area '[m²']]])</f>
        <v>9130000</v>
      </c>
      <c r="R94" s="22">
        <f>IF(Table1[[#This Row],[Qin '[m³/yr']]]="N/A","",Table1[[#This Row],[Qin '[m³/yr']]])</f>
        <v>44189200</v>
      </c>
      <c r="S94" s="22">
        <f>IF(Table1[[#This Row],[Catchment area '[ha']]]="N/A","",Table1[[#This Row],[Catchment area '[ha']]])</f>
        <v>9588</v>
      </c>
      <c r="T94" s="22">
        <f>IF(Table1[[#This Row],[HLR '[mm']]]="N/A","",Table1[[#This Row],[HLR '[mm']]])</f>
        <v>4840</v>
      </c>
    </row>
    <row r="95" spans="1:20" hidden="1" x14ac:dyDescent="0.3">
      <c r="A95" s="22" t="str">
        <f>IF(Table1[[#This Row],[Country]]="N/A","",Table1[[#This Row],[Country]])</f>
        <v>Denmark</v>
      </c>
      <c r="B95" s="22" t="str">
        <f>IF(Table1[[#This Row],[Study site]]="N/A","",Table1[[#This Row],[Study site]])</f>
        <v>Vilsted Sø, DK</v>
      </c>
      <c r="C95" s="22" t="str">
        <f>IF(Table1[[#This Row],[WBZ-type]]="N/A","",Table1[[#This Row],[WBZ-type]])</f>
        <v>Rewetted Fen</v>
      </c>
      <c r="D95" s="22" t="str">
        <f>IF(Table1[[#This Row],[Nutrient]]="N/A","",Table1[[#This Row],[Nutrient]])</f>
        <v>SRP</v>
      </c>
      <c r="E95" s="22">
        <f>IF(Table1[[#This Row],[Load (kg N, P/ha/yr)]]="N/A","",Table1[[#This Row],[Load (kg N, P/ha/yr)]])</f>
        <v>3.2242912187589021</v>
      </c>
      <c r="F95" s="22">
        <f>IF(Table1[[#This Row],[Loss (kg N, P/ha/yr)]]="N/A","",Table1[[#This Row],[Loss (kg N, P/ha/yr)]])</f>
        <v>0</v>
      </c>
      <c r="G95" s="22">
        <f>IF(Table1[[#This Row],[Retention (kg N, P/ha/yr)]]="N/A","",Table1[[#This Row],[Retention (kg N, P/ha/yr)]])</f>
        <v>2.0860528999999999</v>
      </c>
      <c r="H95" s="22">
        <f>IF(Table1[[#This Row],[Efficiency (%)]]="N/A","",Table1[[#This Row],[Efficiency (%)]])</f>
        <v>64.698029999999989</v>
      </c>
      <c r="I95" s="22" t="str">
        <f>IF(Table1[[#This Row],[Organic/Mineral Soil]]="N/A","",Table1[[#This Row],[Organic/Mineral Soil]])</f>
        <v>Organic</v>
      </c>
      <c r="J95" s="22" t="str">
        <f>IF(Table1[[#This Row],[Vegetation type]]="N/A","",Table1[[#This Row],[Vegetation type]])</f>
        <v>Aerenchymous</v>
      </c>
      <c r="K95" s="22" t="str">
        <f>IF(Table1[[#This Row],[Reference]]="N/A","",Table1[[#This Row],[Reference]])</f>
        <v>Audet J., et al., 2019</v>
      </c>
      <c r="L95" s="22" t="str">
        <f>IF(Table1[[#This Row],[Main source/flow path in]]="N/A","",Table1[[#This Row],[Main source/flow path in]])</f>
        <v>Stream water</v>
      </c>
      <c r="M95" s="22" t="str">
        <f>IF(Table1[[#This Row],[Main source/flow path in (simple)]]="N/A","",Table1[[#This Row],[Main source/flow path in (simple)]])</f>
        <v>SWR</v>
      </c>
      <c r="N95" s="22" t="str">
        <f>IF(Table1[[#This Row],[Main flow paths in buffer]]="N/A","",Table1[[#This Row],[Main flow paths in buffer]])</f>
        <v>Direct surface runoff</v>
      </c>
      <c r="O95" s="22" t="str">
        <f>IF(Table1[[#This Row],[Inflow=&gt;Outflow]]="N/A","",Table1[[#This Row],[Inflow=&gt;Outflow]])</f>
        <v>SWR=&gt;SR</v>
      </c>
      <c r="P95" s="22">
        <f>IF(Table1[[#This Row],[Width '[m']]]="N/A","",Table1[[#This Row],[Width '[m']]])</f>
        <v>0</v>
      </c>
      <c r="Q95" s="22">
        <f>IF(Table1[[#This Row],[Area '[m²']]]="N/A","",Table1[[#This Row],[Area '[m²']]])</f>
        <v>9130000</v>
      </c>
      <c r="R95" s="22">
        <f>IF(Table1[[#This Row],[Qin '[m³/yr']]]="N/A","",Table1[[#This Row],[Qin '[m³/yr']]])</f>
        <v>44189200</v>
      </c>
      <c r="S95" s="22">
        <f>IF(Table1[[#This Row],[Catchment area '[ha']]]="N/A","",Table1[[#This Row],[Catchment area '[ha']]])</f>
        <v>9588</v>
      </c>
      <c r="T95" s="22">
        <f>IF(Table1[[#This Row],[HLR '[mm']]]="N/A","",Table1[[#This Row],[HLR '[mm']]])</f>
        <v>4840</v>
      </c>
    </row>
    <row r="96" spans="1:20" hidden="1" x14ac:dyDescent="0.3">
      <c r="A96" s="22" t="str">
        <f>IF(Table1[[#This Row],[Country]]="N/A","",Table1[[#This Row],[Country]])</f>
        <v>Denmark</v>
      </c>
      <c r="B96" s="22" t="str">
        <f>IF(Table1[[#This Row],[Study site]]="N/A","",Table1[[#This Row],[Study site]])</f>
        <v>Voldby Bæk, Anbæk, DK</v>
      </c>
      <c r="C96" s="22" t="str">
        <f>IF(Table1[[#This Row],[WBZ-type]]="N/A","",Table1[[#This Row],[WBZ-type]])</f>
        <v>Rewetted Fen</v>
      </c>
      <c r="D96" s="22" t="str">
        <f>IF(Table1[[#This Row],[Nutrient]]="N/A","",Table1[[#This Row],[Nutrient]])</f>
        <v>nitrate</v>
      </c>
      <c r="E96" s="22">
        <f>IF(Table1[[#This Row],[Load (kg N, P/ha/yr)]]="N/A","",Table1[[#This Row],[Load (kg N, P/ha/yr)]])</f>
        <v>86.566666666666663</v>
      </c>
      <c r="F96" s="22">
        <f>IF(Table1[[#This Row],[Loss (kg N, P/ha/yr)]]="N/A","",Table1[[#This Row],[Loss (kg N, P/ha/yr)]])</f>
        <v>32.5</v>
      </c>
      <c r="G96" s="22">
        <f>IF(Table1[[#This Row],[Retention (kg N, P/ha/yr)]]="N/A","",Table1[[#This Row],[Retention (kg N, P/ha/yr)]])</f>
        <v>56.300000000000004</v>
      </c>
      <c r="H96" s="22">
        <f>IF(Table1[[#This Row],[Efficiency (%)]]="N/A","",Table1[[#This Row],[Efficiency (%)]])</f>
        <v>65.036580670003858</v>
      </c>
      <c r="I96" s="22" t="str">
        <f>IF(Table1[[#This Row],[Organic/Mineral Soil]]="N/A","",Table1[[#This Row],[Organic/Mineral Soil]])</f>
        <v>Organic</v>
      </c>
      <c r="J96" s="22" t="str">
        <f>IF(Table1[[#This Row],[Vegetation type]]="N/A","",Table1[[#This Row],[Vegetation type]])</f>
        <v>Herbaceous</v>
      </c>
      <c r="K96" s="22" t="str">
        <f>IF(Table1[[#This Row],[Reference]]="N/A","",Table1[[#This Row],[Reference]])</f>
        <v>Hoffmann C., et al, 2006</v>
      </c>
      <c r="L96" s="22" t="str">
        <f>IF(Table1[[#This Row],[Main source/flow path in]]="N/A","",Table1[[#This Row],[Main source/flow path in]])</f>
        <v>Groundwater</v>
      </c>
      <c r="M96" s="22" t="str">
        <f>IF(Table1[[#This Row],[Main source/flow path in (simple)]]="N/A","",Table1[[#This Row],[Main source/flow path in (simple)]])</f>
        <v>GW</v>
      </c>
      <c r="N96" s="22" t="str">
        <f>IF(Table1[[#This Row],[Main flow paths in buffer]]="N/A","",Table1[[#This Row],[Main flow paths in buffer]])</f>
        <v>Shallow lateral GW</v>
      </c>
      <c r="O96" s="22" t="str">
        <f>IF(Table1[[#This Row],[Inflow=&gt;Outflow]]="N/A","",Table1[[#This Row],[Inflow=&gt;Outflow]])</f>
        <v>GW=&gt;GW</v>
      </c>
      <c r="P96" s="22">
        <f>IF(Table1[[#This Row],[Width '[m']]]="N/A","",Table1[[#This Row],[Width '[m']]])</f>
        <v>21</v>
      </c>
      <c r="Q96" s="22">
        <f>IF(Table1[[#This Row],[Area '[m²']]]="N/A","",Table1[[#This Row],[Area '[m²']]])</f>
        <v>21</v>
      </c>
      <c r="R96" s="22">
        <f>IF(Table1[[#This Row],[Qin '[m³/yr']]]="N/A","",Table1[[#This Row],[Qin '[m³/yr']]])</f>
        <v>304.39999999999998</v>
      </c>
      <c r="S96" s="22" t="str">
        <f>IF(Table1[[#This Row],[Catchment area '[ha']]]="N/A","",Table1[[#This Row],[Catchment area '[ha']]])</f>
        <v/>
      </c>
      <c r="T96" s="22">
        <f>IF(Table1[[#This Row],[HLR '[mm']]]="N/A","",Table1[[#This Row],[HLR '[mm']]])</f>
        <v>14495.238095238094</v>
      </c>
    </row>
    <row r="97" spans="1:20" hidden="1" x14ac:dyDescent="0.3">
      <c r="A97" s="22" t="str">
        <f>IF(Table1[[#This Row],[Country]]="N/A","",Table1[[#This Row],[Country]])</f>
        <v>Denmark</v>
      </c>
      <c r="B97" s="22" t="str">
        <f>IF(Table1[[#This Row],[Study site]]="N/A","",Table1[[#This Row],[Study site]])</f>
        <v>Voldby Bæk, Anbæk, DK</v>
      </c>
      <c r="C97" s="22" t="str">
        <f>IF(Table1[[#This Row],[WBZ-type]]="N/A","",Table1[[#This Row],[WBZ-type]])</f>
        <v>Rewetted Fen</v>
      </c>
      <c r="D97" s="22" t="str">
        <f>IF(Table1[[#This Row],[Nutrient]]="N/A","",Table1[[#This Row],[Nutrient]])</f>
        <v>ammonium</v>
      </c>
      <c r="E97" s="22">
        <f>IF(Table1[[#This Row],[Load (kg N, P/ha/yr)]]="N/A","",Table1[[#This Row],[Load (kg N, P/ha/yr)]])</f>
        <v>2.2499999999999996</v>
      </c>
      <c r="F97" s="22">
        <f>IF(Table1[[#This Row],[Loss (kg N, P/ha/yr)]]="N/A","",Table1[[#This Row],[Loss (kg N, P/ha/yr)]])</f>
        <v>3.47</v>
      </c>
      <c r="G97" s="22">
        <f>IF(Table1[[#This Row],[Retention (kg N, P/ha/yr)]]="N/A","",Table1[[#This Row],[Retention (kg N, P/ha/yr)]])</f>
        <v>-1.2333333333333334</v>
      </c>
      <c r="H97" s="22">
        <f>IF(Table1[[#This Row],[Efficiency (%)]]="N/A","",Table1[[#This Row],[Efficiency (%)]])</f>
        <v>-54.814814814814824</v>
      </c>
      <c r="I97" s="22" t="str">
        <f>IF(Table1[[#This Row],[Organic/Mineral Soil]]="N/A","",Table1[[#This Row],[Organic/Mineral Soil]])</f>
        <v>Organic</v>
      </c>
      <c r="J97" s="22" t="str">
        <f>IF(Table1[[#This Row],[Vegetation type]]="N/A","",Table1[[#This Row],[Vegetation type]])</f>
        <v>Herbaceous</v>
      </c>
      <c r="K97" s="22" t="str">
        <f>IF(Table1[[#This Row],[Reference]]="N/A","",Table1[[#This Row],[Reference]])</f>
        <v>Hoffmann C., et al, 2006</v>
      </c>
      <c r="L97" s="22" t="str">
        <f>IF(Table1[[#This Row],[Main source/flow path in]]="N/A","",Table1[[#This Row],[Main source/flow path in]])</f>
        <v>Groundwater</v>
      </c>
      <c r="M97" s="22" t="str">
        <f>IF(Table1[[#This Row],[Main source/flow path in (simple)]]="N/A","",Table1[[#This Row],[Main source/flow path in (simple)]])</f>
        <v>GW</v>
      </c>
      <c r="N97" s="22" t="str">
        <f>IF(Table1[[#This Row],[Main flow paths in buffer]]="N/A","",Table1[[#This Row],[Main flow paths in buffer]])</f>
        <v>Shallow lateral GW</v>
      </c>
      <c r="O97" s="22" t="str">
        <f>IF(Table1[[#This Row],[Inflow=&gt;Outflow]]="N/A","",Table1[[#This Row],[Inflow=&gt;Outflow]])</f>
        <v>GW=&gt;GW</v>
      </c>
      <c r="P97" s="22">
        <f>IF(Table1[[#This Row],[Width '[m']]]="N/A","",Table1[[#This Row],[Width '[m']]])</f>
        <v>21</v>
      </c>
      <c r="Q97" s="22">
        <f>IF(Table1[[#This Row],[Area '[m²']]]="N/A","",Table1[[#This Row],[Area '[m²']]])</f>
        <v>21</v>
      </c>
      <c r="R97" s="22">
        <f>IF(Table1[[#This Row],[Qin '[m³/yr']]]="N/A","",Table1[[#This Row],[Qin '[m³/yr']]])</f>
        <v>304.39999999999998</v>
      </c>
      <c r="S97" s="22" t="str">
        <f>IF(Table1[[#This Row],[Catchment area '[ha']]]="N/A","",Table1[[#This Row],[Catchment area '[ha']]])</f>
        <v/>
      </c>
      <c r="T97" s="22">
        <f>IF(Table1[[#This Row],[HLR '[mm']]]="N/A","",Table1[[#This Row],[HLR '[mm']]])</f>
        <v>14495.238095238094</v>
      </c>
    </row>
    <row r="98" spans="1:20" hidden="1" x14ac:dyDescent="0.3">
      <c r="A98" s="22" t="str">
        <f>IF(Table1[[#This Row],[Country]]="N/A","",Table1[[#This Row],[Country]])</f>
        <v>Denmark</v>
      </c>
      <c r="B98" s="22" t="str">
        <f>IF(Table1[[#This Row],[Study site]]="N/A","",Table1[[#This Row],[Study site]])</f>
        <v>Voldby Bæk, Anbæk, DK</v>
      </c>
      <c r="C98" s="22" t="str">
        <f>IF(Table1[[#This Row],[WBZ-type]]="N/A","",Table1[[#This Row],[WBZ-type]])</f>
        <v>Rewetted Fen</v>
      </c>
      <c r="D98" s="22" t="str">
        <f>IF(Table1[[#This Row],[Nutrient]]="N/A","",Table1[[#This Row],[Nutrient]])</f>
        <v>SRP</v>
      </c>
      <c r="E98" s="22">
        <f>IF(Table1[[#This Row],[Load (kg N, P/ha/yr)]]="N/A","",Table1[[#This Row],[Load (kg N, P/ha/yr)]])</f>
        <v>0.23666666666666666</v>
      </c>
      <c r="F98" s="22">
        <f>IF(Table1[[#This Row],[Loss (kg N, P/ha/yr)]]="N/A","",Table1[[#This Row],[Loss (kg N, P/ha/yr)]])</f>
        <v>0.36666666666666664</v>
      </c>
      <c r="G98" s="22">
        <f>IF(Table1[[#This Row],[Retention (kg N, P/ha/yr)]]="N/A","",Table1[[#This Row],[Retention (kg N, P/ha/yr)]])</f>
        <v>-0.17</v>
      </c>
      <c r="H98" s="22">
        <f>IF(Table1[[#This Row],[Efficiency (%)]]="N/A","",Table1[[#This Row],[Efficiency (%)]])</f>
        <v>-71.83098591549296</v>
      </c>
      <c r="I98" s="22" t="str">
        <f>IF(Table1[[#This Row],[Organic/Mineral Soil]]="N/A","",Table1[[#This Row],[Organic/Mineral Soil]])</f>
        <v>Organic</v>
      </c>
      <c r="J98" s="22" t="str">
        <f>IF(Table1[[#This Row],[Vegetation type]]="N/A","",Table1[[#This Row],[Vegetation type]])</f>
        <v>Herbaceous</v>
      </c>
      <c r="K98" s="22" t="str">
        <f>IF(Table1[[#This Row],[Reference]]="N/A","",Table1[[#This Row],[Reference]])</f>
        <v>Hoffmann C., et al, 2006</v>
      </c>
      <c r="L98" s="22" t="str">
        <f>IF(Table1[[#This Row],[Main source/flow path in]]="N/A","",Table1[[#This Row],[Main source/flow path in]])</f>
        <v>Groundwater</v>
      </c>
      <c r="M98" s="22" t="str">
        <f>IF(Table1[[#This Row],[Main source/flow path in (simple)]]="N/A","",Table1[[#This Row],[Main source/flow path in (simple)]])</f>
        <v>GW</v>
      </c>
      <c r="N98" s="22" t="str">
        <f>IF(Table1[[#This Row],[Main flow paths in buffer]]="N/A","",Table1[[#This Row],[Main flow paths in buffer]])</f>
        <v>Shallow lateral GW</v>
      </c>
      <c r="O98" s="22" t="str">
        <f>IF(Table1[[#This Row],[Inflow=&gt;Outflow]]="N/A","",Table1[[#This Row],[Inflow=&gt;Outflow]])</f>
        <v>GW=&gt;GW</v>
      </c>
      <c r="P98" s="22">
        <f>IF(Table1[[#This Row],[Width '[m']]]="N/A","",Table1[[#This Row],[Width '[m']]])</f>
        <v>21</v>
      </c>
      <c r="Q98" s="22">
        <f>IF(Table1[[#This Row],[Area '[m²']]]="N/A","",Table1[[#This Row],[Area '[m²']]])</f>
        <v>21</v>
      </c>
      <c r="R98" s="22">
        <f>IF(Table1[[#This Row],[Qin '[m³/yr']]]="N/A","",Table1[[#This Row],[Qin '[m³/yr']]])</f>
        <v>304.39999999999998</v>
      </c>
      <c r="S98" s="22" t="str">
        <f>IF(Table1[[#This Row],[Catchment area '[ha']]]="N/A","",Table1[[#This Row],[Catchment area '[ha']]])</f>
        <v/>
      </c>
      <c r="T98" s="22">
        <f>IF(Table1[[#This Row],[HLR '[mm']]]="N/A","",Table1[[#This Row],[HLR '[mm']]])</f>
        <v>14495.238095238094</v>
      </c>
    </row>
    <row r="99" spans="1:20" x14ac:dyDescent="0.3">
      <c r="A99" s="22" t="str">
        <f>IF(Table1[[#This Row],[Country]]="N/A","",Table1[[#This Row],[Country]])</f>
        <v>Denmark</v>
      </c>
      <c r="B99" s="22" t="str">
        <f>IF(Table1[[#This Row],[Study site]]="N/A","",Table1[[#This Row],[Study site]])</f>
        <v>Aarlsev Engsø, DK</v>
      </c>
      <c r="C99" s="22" t="str">
        <f>IF(Table1[[#This Row],[WBZ-type]]="N/A","",Table1[[#This Row],[WBZ-type]])</f>
        <v>Rewetted Fen</v>
      </c>
      <c r="D99" s="22" t="str">
        <f>IF(Table1[[#This Row],[Nutrient]]="N/A","",Table1[[#This Row],[Nutrient]])</f>
        <v>total nitrogen</v>
      </c>
      <c r="E99" s="22">
        <f>IF(Table1[[#This Row],[Load (kg N, P/ha/yr)]]="N/A","",Table1[[#This Row],[Load (kg N, P/ha/yr)]])</f>
        <v>1701.3</v>
      </c>
      <c r="F99" s="22">
        <f>IF(Table1[[#This Row],[Loss (kg N, P/ha/yr)]]="N/A","",Table1[[#This Row],[Loss (kg N, P/ha/yr)]])</f>
        <v>1441.0011</v>
      </c>
      <c r="G99" s="22">
        <f>IF(Table1[[#This Row],[Retention (kg N, P/ha/yr)]]="N/A","",Table1[[#This Row],[Retention (kg N, P/ha/yr)]])</f>
        <v>260.2989</v>
      </c>
      <c r="H99" s="22">
        <f>IF(Table1[[#This Row],[Efficiency (%)]]="N/A","",Table1[[#This Row],[Efficiency (%)]])</f>
        <v>15.3</v>
      </c>
      <c r="I99" s="22" t="str">
        <f>IF(Table1[[#This Row],[Organic/Mineral Soil]]="N/A","",Table1[[#This Row],[Organic/Mineral Soil]])</f>
        <v>Organic</v>
      </c>
      <c r="J99" s="22" t="str">
        <f>IF(Table1[[#This Row],[Vegetation type]]="N/A","",Table1[[#This Row],[Vegetation type]])</f>
        <v>Aerenchymous</v>
      </c>
      <c r="K99" s="22" t="str">
        <f>IF(Table1[[#This Row],[Reference]]="N/A","",Table1[[#This Row],[Reference]])</f>
        <v>Audet J., et al., 2019</v>
      </c>
      <c r="L99" s="22" t="str">
        <f>IF(Table1[[#This Row],[Main source/flow path in]]="N/A","",Table1[[#This Row],[Main source/flow path in]])</f>
        <v>Stream water</v>
      </c>
      <c r="M99" s="22" t="str">
        <f>IF(Table1[[#This Row],[Main source/flow path in (simple)]]="N/A","",Table1[[#This Row],[Main source/flow path in (simple)]])</f>
        <v>SWR</v>
      </c>
      <c r="N99" s="22" t="str">
        <f>IF(Table1[[#This Row],[Main flow paths in buffer]]="N/A","",Table1[[#This Row],[Main flow paths in buffer]])</f>
        <v>Direct surface runoff</v>
      </c>
      <c r="O99" s="22" t="str">
        <f>IF(Table1[[#This Row],[Inflow=&gt;Outflow]]="N/A","",Table1[[#This Row],[Inflow=&gt;Outflow]])</f>
        <v>SWR=&gt;SR</v>
      </c>
      <c r="P99" s="22">
        <f>IF(Table1[[#This Row],[Width '[m']]]="N/A","",Table1[[#This Row],[Width '[m']]])</f>
        <v>0</v>
      </c>
      <c r="Q99" s="22">
        <f>IF(Table1[[#This Row],[Area '[m²']]]="N/A","",Table1[[#This Row],[Area '[m²']]])</f>
        <v>2150000</v>
      </c>
      <c r="R99" s="22">
        <f>IF(Table1[[#This Row],[Qin '[m³/yr']]]="N/A","",Table1[[#This Row],[Qin '[m³/yr']]])</f>
        <v>103096385.54216866</v>
      </c>
      <c r="S99" s="22">
        <f>IF(Table1[[#This Row],[Catchment area '[ha']]]="N/A","",Table1[[#This Row],[Catchment area '[ha']]])</f>
        <v>27134</v>
      </c>
      <c r="T99" s="22">
        <f>IF(Table1[[#This Row],[HLR '[mm']]]="N/A","",Table1[[#This Row],[HLR '[mm']]])</f>
        <v>47951.807228915655</v>
      </c>
    </row>
    <row r="100" spans="1:20" hidden="1" x14ac:dyDescent="0.3">
      <c r="A100" s="22" t="str">
        <f>IF(Table1[[#This Row],[Country]]="N/A","",Table1[[#This Row],[Country]])</f>
        <v>Denmark</v>
      </c>
      <c r="B100" s="22" t="str">
        <f>IF(Table1[[#This Row],[Study site]]="N/A","",Table1[[#This Row],[Study site]])</f>
        <v>Aarlsev Engsø, DK</v>
      </c>
      <c r="C100" s="22" t="str">
        <f>IF(Table1[[#This Row],[WBZ-type]]="N/A","",Table1[[#This Row],[WBZ-type]])</f>
        <v>Rewetted Fen</v>
      </c>
      <c r="D100" s="22" t="str">
        <f>IF(Table1[[#This Row],[Nutrient]]="N/A","",Table1[[#This Row],[Nutrient]])</f>
        <v>total phosphorus</v>
      </c>
      <c r="E100" s="22">
        <f>IF(Table1[[#This Row],[Load (kg N, P/ha/yr)]]="N/A","",Table1[[#This Row],[Load (kg N, P/ha/yr)]])</f>
        <v>57.6</v>
      </c>
      <c r="F100" s="22">
        <f>IF(Table1[[#This Row],[Loss (kg N, P/ha/yr)]]="N/A","",Table1[[#This Row],[Loss (kg N, P/ha/yr)]])</f>
        <v>47.231999999999999</v>
      </c>
      <c r="G100" s="22">
        <f>IF(Table1[[#This Row],[Retention (kg N, P/ha/yr)]]="N/A","",Table1[[#This Row],[Retention (kg N, P/ha/yr)]])</f>
        <v>10.368</v>
      </c>
      <c r="H100" s="22">
        <f>IF(Table1[[#This Row],[Efficiency (%)]]="N/A","",Table1[[#This Row],[Efficiency (%)]])</f>
        <v>18</v>
      </c>
      <c r="I100" s="22" t="str">
        <f>IF(Table1[[#This Row],[Organic/Mineral Soil]]="N/A","",Table1[[#This Row],[Organic/Mineral Soil]])</f>
        <v>Organic</v>
      </c>
      <c r="J100" s="22" t="str">
        <f>IF(Table1[[#This Row],[Vegetation type]]="N/A","",Table1[[#This Row],[Vegetation type]])</f>
        <v>Aerenchymous</v>
      </c>
      <c r="K100" s="22" t="str">
        <f>IF(Table1[[#This Row],[Reference]]="N/A","",Table1[[#This Row],[Reference]])</f>
        <v>Audet J., et al., 2019</v>
      </c>
      <c r="L100" s="22" t="str">
        <f>IF(Table1[[#This Row],[Main source/flow path in]]="N/A","",Table1[[#This Row],[Main source/flow path in]])</f>
        <v>Stream water</v>
      </c>
      <c r="M100" s="22" t="str">
        <f>IF(Table1[[#This Row],[Main source/flow path in (simple)]]="N/A","",Table1[[#This Row],[Main source/flow path in (simple)]])</f>
        <v>SWR</v>
      </c>
      <c r="N100" s="22" t="str">
        <f>IF(Table1[[#This Row],[Main flow paths in buffer]]="N/A","",Table1[[#This Row],[Main flow paths in buffer]])</f>
        <v>Direct surface runoff</v>
      </c>
      <c r="O100" s="22" t="str">
        <f>IF(Table1[[#This Row],[Inflow=&gt;Outflow]]="N/A","",Table1[[#This Row],[Inflow=&gt;Outflow]])</f>
        <v>SWR=&gt;SR</v>
      </c>
      <c r="P100" s="22">
        <f>IF(Table1[[#This Row],[Width '[m']]]="N/A","",Table1[[#This Row],[Width '[m']]])</f>
        <v>0</v>
      </c>
      <c r="Q100" s="22">
        <f>IF(Table1[[#This Row],[Area '[m²']]]="N/A","",Table1[[#This Row],[Area '[m²']]])</f>
        <v>2150000</v>
      </c>
      <c r="R100" s="22">
        <f>IF(Table1[[#This Row],[Qin '[m³/yr']]]="N/A","",Table1[[#This Row],[Qin '[m³/yr']]])</f>
        <v>103096385.54216866</v>
      </c>
      <c r="S100" s="22">
        <f>IF(Table1[[#This Row],[Catchment area '[ha']]]="N/A","",Table1[[#This Row],[Catchment area '[ha']]])</f>
        <v>27134</v>
      </c>
      <c r="T100" s="22">
        <f>IF(Table1[[#This Row],[HLR '[mm']]]="N/A","",Table1[[#This Row],[HLR '[mm']]])</f>
        <v>47951.807228915655</v>
      </c>
    </row>
    <row r="101" spans="1:20" hidden="1" x14ac:dyDescent="0.3">
      <c r="A101" s="22" t="str">
        <f>IF(Table1[[#This Row],[Country]]="N/A","",Table1[[#This Row],[Country]])</f>
        <v>Denmark</v>
      </c>
      <c r="B101" s="22" t="str">
        <f>IF(Table1[[#This Row],[Study site]]="N/A","",Table1[[#This Row],[Study site]])</f>
        <v>Aarlsev Engsø, DK</v>
      </c>
      <c r="C101" s="22" t="str">
        <f>IF(Table1[[#This Row],[WBZ-type]]="N/A","",Table1[[#This Row],[WBZ-type]])</f>
        <v>Rewetted Fen</v>
      </c>
      <c r="D101" s="22" t="str">
        <f>IF(Table1[[#This Row],[Nutrient]]="N/A","",Table1[[#This Row],[Nutrient]])</f>
        <v>nitrate</v>
      </c>
      <c r="E101" s="22">
        <f>IF(Table1[[#This Row],[Load (kg N, P/ha/yr)]]="N/A","",Table1[[#This Row],[Load (kg N, P/ha/yr)]])</f>
        <v>1431.0074153481862</v>
      </c>
      <c r="F101" s="22">
        <f>IF(Table1[[#This Row],[Loss (kg N, P/ha/yr)]]="N/A","",Table1[[#This Row],[Loss (kg N, P/ha/yr)]])</f>
        <v>0</v>
      </c>
      <c r="G101" s="22">
        <f>IF(Table1[[#This Row],[Retention (kg N, P/ha/yr)]]="N/A","",Table1[[#This Row],[Retention (kg N, P/ha/yr)]])</f>
        <v>298.98835000000003</v>
      </c>
      <c r="H101" s="22">
        <f>IF(Table1[[#This Row],[Efficiency (%)]]="N/A","",Table1[[#This Row],[Efficiency (%)]])</f>
        <v>20.893556999999998</v>
      </c>
      <c r="I101" s="22" t="str">
        <f>IF(Table1[[#This Row],[Organic/Mineral Soil]]="N/A","",Table1[[#This Row],[Organic/Mineral Soil]])</f>
        <v>Organic</v>
      </c>
      <c r="J101" s="22" t="str">
        <f>IF(Table1[[#This Row],[Vegetation type]]="N/A","",Table1[[#This Row],[Vegetation type]])</f>
        <v>Aerenchymous</v>
      </c>
      <c r="K101" s="22" t="str">
        <f>IF(Table1[[#This Row],[Reference]]="N/A","",Table1[[#This Row],[Reference]])</f>
        <v>Audet J., et al., 2019</v>
      </c>
      <c r="L101" s="22" t="str">
        <f>IF(Table1[[#This Row],[Main source/flow path in]]="N/A","",Table1[[#This Row],[Main source/flow path in]])</f>
        <v>Stream water</v>
      </c>
      <c r="M101" s="22" t="str">
        <f>IF(Table1[[#This Row],[Main source/flow path in (simple)]]="N/A","",Table1[[#This Row],[Main source/flow path in (simple)]])</f>
        <v>SWR</v>
      </c>
      <c r="N101" s="22" t="str">
        <f>IF(Table1[[#This Row],[Main flow paths in buffer]]="N/A","",Table1[[#This Row],[Main flow paths in buffer]])</f>
        <v>Direct surface runoff</v>
      </c>
      <c r="O101" s="22" t="str">
        <f>IF(Table1[[#This Row],[Inflow=&gt;Outflow]]="N/A","",Table1[[#This Row],[Inflow=&gt;Outflow]])</f>
        <v>SWR=&gt;SR</v>
      </c>
      <c r="P101" s="22">
        <f>IF(Table1[[#This Row],[Width '[m']]]="N/A","",Table1[[#This Row],[Width '[m']]])</f>
        <v>0</v>
      </c>
      <c r="Q101" s="22">
        <f>IF(Table1[[#This Row],[Area '[m²']]]="N/A","",Table1[[#This Row],[Area '[m²']]])</f>
        <v>2150000</v>
      </c>
      <c r="R101" s="22">
        <f>IF(Table1[[#This Row],[Qin '[m³/yr']]]="N/A","",Table1[[#This Row],[Qin '[m³/yr']]])</f>
        <v>103096385.54216866</v>
      </c>
      <c r="S101" s="22">
        <f>IF(Table1[[#This Row],[Catchment area '[ha']]]="N/A","",Table1[[#This Row],[Catchment area '[ha']]])</f>
        <v>27134</v>
      </c>
      <c r="T101" s="22">
        <f>IF(Table1[[#This Row],[HLR '[mm']]]="N/A","",Table1[[#This Row],[HLR '[mm']]])</f>
        <v>47951.807228915655</v>
      </c>
    </row>
    <row r="102" spans="1:20" hidden="1" x14ac:dyDescent="0.3">
      <c r="A102" s="22" t="str">
        <f>IF(Table1[[#This Row],[Country]]="N/A","",Table1[[#This Row],[Country]])</f>
        <v>Denmark</v>
      </c>
      <c r="B102" s="22" t="str">
        <f>IF(Table1[[#This Row],[Study site]]="N/A","",Table1[[#This Row],[Study site]])</f>
        <v>Aarlsev Engsø, DK</v>
      </c>
      <c r="C102" s="22" t="str">
        <f>IF(Table1[[#This Row],[WBZ-type]]="N/A","",Table1[[#This Row],[WBZ-type]])</f>
        <v>Rewetted Fen</v>
      </c>
      <c r="D102" s="22" t="str">
        <f>IF(Table1[[#This Row],[Nutrient]]="N/A","",Table1[[#This Row],[Nutrient]])</f>
        <v>SRP</v>
      </c>
      <c r="E102" s="22">
        <f>IF(Table1[[#This Row],[Load (kg N, P/ha/yr)]]="N/A","",Table1[[#This Row],[Load (kg N, P/ha/yr)]])</f>
        <v>28.441717443660782</v>
      </c>
      <c r="F102" s="22">
        <f>IF(Table1[[#This Row],[Loss (kg N, P/ha/yr)]]="N/A","",Table1[[#This Row],[Loss (kg N, P/ha/yr)]])</f>
        <v>0</v>
      </c>
      <c r="G102" s="22">
        <f>IF(Table1[[#This Row],[Retention (kg N, P/ha/yr)]]="N/A","",Table1[[#This Row],[Retention (kg N, P/ha/yr)]])</f>
        <v>13.246607600000001</v>
      </c>
      <c r="H102" s="22">
        <f>IF(Table1[[#This Row],[Efficiency (%)]]="N/A","",Table1[[#This Row],[Efficiency (%)]])</f>
        <v>46.574570000000001</v>
      </c>
      <c r="I102" s="22" t="str">
        <f>IF(Table1[[#This Row],[Organic/Mineral Soil]]="N/A","",Table1[[#This Row],[Organic/Mineral Soil]])</f>
        <v>Organic</v>
      </c>
      <c r="J102" s="22" t="str">
        <f>IF(Table1[[#This Row],[Vegetation type]]="N/A","",Table1[[#This Row],[Vegetation type]])</f>
        <v>Aerenchymous</v>
      </c>
      <c r="K102" s="22" t="str">
        <f>IF(Table1[[#This Row],[Reference]]="N/A","",Table1[[#This Row],[Reference]])</f>
        <v>Audet J., et al., 2019</v>
      </c>
      <c r="L102" s="22" t="str">
        <f>IF(Table1[[#This Row],[Main source/flow path in]]="N/A","",Table1[[#This Row],[Main source/flow path in]])</f>
        <v>Stream water</v>
      </c>
      <c r="M102" s="22" t="str">
        <f>IF(Table1[[#This Row],[Main source/flow path in (simple)]]="N/A","",Table1[[#This Row],[Main source/flow path in (simple)]])</f>
        <v>SWR</v>
      </c>
      <c r="N102" s="22" t="str">
        <f>IF(Table1[[#This Row],[Main flow paths in buffer]]="N/A","",Table1[[#This Row],[Main flow paths in buffer]])</f>
        <v>Direct surface runoff</v>
      </c>
      <c r="O102" s="22" t="str">
        <f>IF(Table1[[#This Row],[Inflow=&gt;Outflow]]="N/A","",Table1[[#This Row],[Inflow=&gt;Outflow]])</f>
        <v>SWR=&gt;SR</v>
      </c>
      <c r="P102" s="22">
        <f>IF(Table1[[#This Row],[Width '[m']]]="N/A","",Table1[[#This Row],[Width '[m']]])</f>
        <v>0</v>
      </c>
      <c r="Q102" s="22">
        <f>IF(Table1[[#This Row],[Area '[m²']]]="N/A","",Table1[[#This Row],[Area '[m²']]])</f>
        <v>2150000</v>
      </c>
      <c r="R102" s="22">
        <f>IF(Table1[[#This Row],[Qin '[m³/yr']]]="N/A","",Table1[[#This Row],[Qin '[m³/yr']]])</f>
        <v>103096385.54216866</v>
      </c>
      <c r="S102" s="22">
        <f>IF(Table1[[#This Row],[Catchment area '[ha']]]="N/A","",Table1[[#This Row],[Catchment area '[ha']]])</f>
        <v>27134</v>
      </c>
      <c r="T102" s="22">
        <f>IF(Table1[[#This Row],[HLR '[mm']]]="N/A","",Table1[[#This Row],[HLR '[mm']]])</f>
        <v>47951.807228915655</v>
      </c>
    </row>
    <row r="103" spans="1:20" hidden="1" x14ac:dyDescent="0.3">
      <c r="A103" s="22" t="str">
        <f>IF(Table1[[#This Row],[Country]]="N/A","",Table1[[#This Row],[Country]])</f>
        <v>England</v>
      </c>
      <c r="B103" s="22" t="str">
        <f>IF(Table1[[#This Row],[Study site]]="N/A","",Table1[[#This Row],[Study site]])</f>
        <v>Sth England</v>
      </c>
      <c r="C103" s="22" t="str">
        <f>IF(Table1[[#This Row],[WBZ-type]]="N/A","",Table1[[#This Row],[WBZ-type]])</f>
        <v>Riparian Wetland/Bank</v>
      </c>
      <c r="D103" s="22" t="str">
        <f>IF(Table1[[#This Row],[Nutrient]]="N/A","",Table1[[#This Row],[Nutrient]])</f>
        <v>nitrate</v>
      </c>
      <c r="E103" s="22">
        <f>IF(Table1[[#This Row],[Load (kg N, P/ha/yr)]]="N/A","",Table1[[#This Row],[Load (kg N, P/ha/yr)]])</f>
        <v>0</v>
      </c>
      <c r="F103" s="22">
        <f>IF(Table1[[#This Row],[Loss (kg N, P/ha/yr)]]="N/A","",Table1[[#This Row],[Loss (kg N, P/ha/yr)]])</f>
        <v>0</v>
      </c>
      <c r="G103" s="22">
        <f>IF(Table1[[#This Row],[Retention (kg N, P/ha/yr)]]="N/A","",Table1[[#This Row],[Retention (kg N, P/ha/yr)]])</f>
        <v>0</v>
      </c>
      <c r="H103" s="22">
        <f>IF(Table1[[#This Row],[Efficiency (%)]]="N/A","",Table1[[#This Row],[Efficiency (%)]])</f>
        <v>99</v>
      </c>
      <c r="I103" s="22" t="str">
        <f>IF(Table1[[#This Row],[Organic/Mineral Soil]]="N/A","",Table1[[#This Row],[Organic/Mineral Soil]])</f>
        <v>Mineral</v>
      </c>
      <c r="J103" s="22" t="str">
        <f>IF(Table1[[#This Row],[Vegetation type]]="N/A","",Table1[[#This Row],[Vegetation type]])</f>
        <v>Arboraceous, mixed</v>
      </c>
      <c r="K103" s="22" t="str">
        <f>IF(Table1[[#This Row],[Reference]]="N/A","",Table1[[#This Row],[Reference]])</f>
        <v>Hill A., 1996; Haycock and Pinay, 1993</v>
      </c>
      <c r="L103" s="22" t="str">
        <f>IF(Table1[[#This Row],[Main source/flow path in]]="N/A","",Table1[[#This Row],[Main source/flow path in]])</f>
        <v>Groundwater</v>
      </c>
      <c r="M103" s="22" t="str">
        <f>IF(Table1[[#This Row],[Main source/flow path in (simple)]]="N/A","",Table1[[#This Row],[Main source/flow path in (simple)]])</f>
        <v>GW</v>
      </c>
      <c r="N103" s="22" t="str">
        <f>IF(Table1[[#This Row],[Main flow paths in buffer]]="N/A","",Table1[[#This Row],[Main flow paths in buffer]])</f>
        <v>Shallow lateral GW</v>
      </c>
      <c r="O103" s="22" t="str">
        <f>IF(Table1[[#This Row],[Inflow=&gt;Outflow]]="N/A","",Table1[[#This Row],[Inflow=&gt;Outflow]])</f>
        <v>GW=&gt;GW</v>
      </c>
      <c r="P103" s="22">
        <f>IF(Table1[[#This Row],[Width '[m']]]="N/A","",Table1[[#This Row],[Width '[m']]])</f>
        <v>26</v>
      </c>
      <c r="Q103" s="22">
        <f>IF(Table1[[#This Row],[Area '[m²']]]="N/A","",Table1[[#This Row],[Area '[m²']]])</f>
        <v>416</v>
      </c>
      <c r="R103" s="22">
        <f>IF(Table1[[#This Row],[Qin '[m³/yr']]]="N/A","",Table1[[#This Row],[Qin '[m³/yr']]])</f>
        <v>6715.9999999999991</v>
      </c>
      <c r="S103" s="22">
        <f>IF(Table1[[#This Row],[Catchment area '[ha']]]="N/A","",Table1[[#This Row],[Catchment area '[ha']]])</f>
        <v>0</v>
      </c>
      <c r="T103" s="22">
        <f>IF(Table1[[#This Row],[HLR '[mm']]]="N/A","",Table1[[#This Row],[HLR '[mm']]])</f>
        <v>16144.230769230766</v>
      </c>
    </row>
    <row r="104" spans="1:20" hidden="1" x14ac:dyDescent="0.3">
      <c r="A104" s="22" t="str">
        <f>IF(Table1[[#This Row],[Country]]="N/A","",Table1[[#This Row],[Country]])</f>
        <v>England</v>
      </c>
      <c r="B104" s="22" t="str">
        <f>IF(Table1[[#This Row],[Study site]]="N/A","",Table1[[#This Row],[Study site]])</f>
        <v>Sth England</v>
      </c>
      <c r="C104" s="22" t="str">
        <f>IF(Table1[[#This Row],[WBZ-type]]="N/A","",Table1[[#This Row],[WBZ-type]])</f>
        <v>Riparian Wetland/Bank</v>
      </c>
      <c r="D104" s="22" t="str">
        <f>IF(Table1[[#This Row],[Nutrient]]="N/A","",Table1[[#This Row],[Nutrient]])</f>
        <v>nitrate</v>
      </c>
      <c r="E104" s="22">
        <f>IF(Table1[[#This Row],[Load (kg N, P/ha/yr)]]="N/A","",Table1[[#This Row],[Load (kg N, P/ha/yr)]])</f>
        <v>0</v>
      </c>
      <c r="F104" s="22">
        <f>IF(Table1[[#This Row],[Loss (kg N, P/ha/yr)]]="N/A","",Table1[[#This Row],[Loss (kg N, P/ha/yr)]])</f>
        <v>0</v>
      </c>
      <c r="G104" s="22">
        <f>IF(Table1[[#This Row],[Retention (kg N, P/ha/yr)]]="N/A","",Table1[[#This Row],[Retention (kg N, P/ha/yr)]])</f>
        <v>0</v>
      </c>
      <c r="H104" s="22">
        <f>IF(Table1[[#This Row],[Efficiency (%)]]="N/A","",Table1[[#This Row],[Efficiency (%)]])</f>
        <v>84</v>
      </c>
      <c r="I104" s="22" t="str">
        <f>IF(Table1[[#This Row],[Organic/Mineral Soil]]="N/A","",Table1[[#This Row],[Organic/Mineral Soil]])</f>
        <v>Mineral</v>
      </c>
      <c r="J104" s="22" t="str">
        <f>IF(Table1[[#This Row],[Vegetation type]]="N/A","",Table1[[#This Row],[Vegetation type]])</f>
        <v>Herbaceous</v>
      </c>
      <c r="K104" s="22" t="str">
        <f>IF(Table1[[#This Row],[Reference]]="N/A","",Table1[[#This Row],[Reference]])</f>
        <v>Hill A., 1996; Haycock and Pinay, 1993</v>
      </c>
      <c r="L104" s="22" t="str">
        <f>IF(Table1[[#This Row],[Main source/flow path in]]="N/A","",Table1[[#This Row],[Main source/flow path in]])</f>
        <v>Groundwater</v>
      </c>
      <c r="M104" s="22" t="str">
        <f>IF(Table1[[#This Row],[Main source/flow path in (simple)]]="N/A","",Table1[[#This Row],[Main source/flow path in (simple)]])</f>
        <v>GW</v>
      </c>
      <c r="N104" s="22" t="str">
        <f>IF(Table1[[#This Row],[Main flow paths in buffer]]="N/A","",Table1[[#This Row],[Main flow paths in buffer]])</f>
        <v>Shallow lateral GW</v>
      </c>
      <c r="O104" s="22" t="str">
        <f>IF(Table1[[#This Row],[Inflow=&gt;Outflow]]="N/A","",Table1[[#This Row],[Inflow=&gt;Outflow]])</f>
        <v>GW=&gt;GW</v>
      </c>
      <c r="P104" s="22">
        <f>IF(Table1[[#This Row],[Width '[m']]]="N/A","",Table1[[#This Row],[Width '[m']]])</f>
        <v>22</v>
      </c>
      <c r="Q104" s="22">
        <f>IF(Table1[[#This Row],[Area '[m²']]]="N/A","",Table1[[#This Row],[Area '[m²']]])</f>
        <v>352</v>
      </c>
      <c r="R104" s="22">
        <f>IF(Table1[[#This Row],[Qin '[m³/yr']]]="N/A","",Table1[[#This Row],[Qin '[m³/yr']]])</f>
        <v>10745.6</v>
      </c>
      <c r="S104" s="22">
        <f>IF(Table1[[#This Row],[Catchment area '[ha']]]="N/A","",Table1[[#This Row],[Catchment area '[ha']]])</f>
        <v>0</v>
      </c>
      <c r="T104" s="22">
        <f>IF(Table1[[#This Row],[HLR '[mm']]]="N/A","",Table1[[#This Row],[HLR '[mm']]])</f>
        <v>30527.272727272728</v>
      </c>
    </row>
    <row r="105" spans="1:20" x14ac:dyDescent="0.3">
      <c r="A105" s="22" t="str">
        <f>IF(Table1[[#This Row],[Country]]="N/A","",Table1[[#This Row],[Country]])</f>
        <v>Estonia</v>
      </c>
      <c r="B105" s="22" t="str">
        <f>IF(Table1[[#This Row],[Study site]]="N/A","",Table1[[#This Row],[Study site]])</f>
        <v>Porigoji, EE</v>
      </c>
      <c r="C105" s="22" t="str">
        <f>IF(Table1[[#This Row],[WBZ-type]]="N/A","",Table1[[#This Row],[WBZ-type]])</f>
        <v>Rewetted Fen</v>
      </c>
      <c r="D105" s="22" t="str">
        <f>IF(Table1[[#This Row],[Nutrient]]="N/A","",Table1[[#This Row],[Nutrient]])</f>
        <v>total nitrogen</v>
      </c>
      <c r="E105" s="22">
        <f>IF(Table1[[#This Row],[Load (kg N, P/ha/yr)]]="N/A","",Table1[[#This Row],[Load (kg N, P/ha/yr)]])</f>
        <v>110.4</v>
      </c>
      <c r="F105" s="22">
        <f>IF(Table1[[#This Row],[Loss (kg N, P/ha/yr)]]="N/A","",Table1[[#This Row],[Loss (kg N, P/ha/yr)]])</f>
        <v>13.2</v>
      </c>
      <c r="G105" s="22">
        <f>IF(Table1[[#This Row],[Retention (kg N, P/ha/yr)]]="N/A","",Table1[[#This Row],[Retention (kg N, P/ha/yr)]])</f>
        <v>97.2</v>
      </c>
      <c r="H105" s="22">
        <f>IF(Table1[[#This Row],[Efficiency (%)]]="N/A","",Table1[[#This Row],[Efficiency (%)]])</f>
        <v>88.043478260869563</v>
      </c>
      <c r="I105" s="22" t="str">
        <f>IF(Table1[[#This Row],[Organic/Mineral Soil]]="N/A","",Table1[[#This Row],[Organic/Mineral Soil]])</f>
        <v>Organic</v>
      </c>
      <c r="J105" s="22" t="str">
        <f>IF(Table1[[#This Row],[Vegetation type]]="N/A","",Table1[[#This Row],[Vegetation type]])</f>
        <v>Arboraceous, mixed</v>
      </c>
      <c r="K105" s="22" t="str">
        <f>IF(Table1[[#This Row],[Reference]]="N/A","",Table1[[#This Row],[Reference]])</f>
        <v>Mander et al., 1997</v>
      </c>
      <c r="L105" s="22" t="str">
        <f>IF(Table1[[#This Row],[Main source/flow path in]]="N/A","",Table1[[#This Row],[Main source/flow path in]])</f>
        <v>Groundwater, surface runoff and precipitation</v>
      </c>
      <c r="M105" s="22" t="str">
        <f>IF(Table1[[#This Row],[Main source/flow path in (simple)]]="N/A","",Table1[[#This Row],[Main source/flow path in (simple)]])</f>
        <v>GW</v>
      </c>
      <c r="N105" s="22" t="str">
        <f>IF(Table1[[#This Row],[Main flow paths in buffer]]="N/A","",Table1[[#This Row],[Main flow paths in buffer]])</f>
        <v>Shallow lateral GW</v>
      </c>
      <c r="O105" s="22" t="str">
        <f>IF(Table1[[#This Row],[Inflow=&gt;Outflow]]="N/A","",Table1[[#This Row],[Inflow=&gt;Outflow]])</f>
        <v>GW=&gt;GW</v>
      </c>
      <c r="P105" s="22">
        <f>IF(Table1[[#This Row],[Width '[m']]]="N/A","",Table1[[#This Row],[Width '[m']]])</f>
        <v>20</v>
      </c>
      <c r="Q105" s="22" t="str">
        <f>IF(Table1[[#This Row],[Area '[m²']]]="N/A","",Table1[[#This Row],[Area '[m²']]])</f>
        <v/>
      </c>
      <c r="R105" s="22" t="str">
        <f>IF(Table1[[#This Row],[Qin '[m³/yr']]]="N/A","",Table1[[#This Row],[Qin '[m³/yr']]])</f>
        <v/>
      </c>
      <c r="S105" s="22" t="str">
        <f>IF(Table1[[#This Row],[Catchment area '[ha']]]="N/A","",Table1[[#This Row],[Catchment area '[ha']]])</f>
        <v/>
      </c>
      <c r="T105" s="22" t="str">
        <f>IF(Table1[[#This Row],[HLR '[mm']]]="N/A","",Table1[[#This Row],[HLR '[mm']]])</f>
        <v/>
      </c>
    </row>
    <row r="106" spans="1:20" hidden="1" x14ac:dyDescent="0.3">
      <c r="A106" s="22" t="str">
        <f>IF(Table1[[#This Row],[Country]]="N/A","",Table1[[#This Row],[Country]])</f>
        <v>Estonia</v>
      </c>
      <c r="B106" s="22" t="str">
        <f>IF(Table1[[#This Row],[Study site]]="N/A","",Table1[[#This Row],[Study site]])</f>
        <v>Porigoji, EE</v>
      </c>
      <c r="C106" s="22" t="str">
        <f>IF(Table1[[#This Row],[WBZ-type]]="N/A","",Table1[[#This Row],[WBZ-type]])</f>
        <v>Rewetted Fen</v>
      </c>
      <c r="D106" s="22" t="str">
        <f>IF(Table1[[#This Row],[Nutrient]]="N/A","",Table1[[#This Row],[Nutrient]])</f>
        <v>total phosphorus</v>
      </c>
      <c r="E106" s="22">
        <f>IF(Table1[[#This Row],[Load (kg N, P/ha/yr)]]="N/A","",Table1[[#This Row],[Load (kg N, P/ha/yr)]])</f>
        <v>2.5</v>
      </c>
      <c r="F106" s="22">
        <f>IF(Table1[[#This Row],[Loss (kg N, P/ha/yr)]]="N/A","",Table1[[#This Row],[Loss (kg N, P/ha/yr)]])</f>
        <v>0.62</v>
      </c>
      <c r="G106" s="22">
        <f>IF(Table1[[#This Row],[Retention (kg N, P/ha/yr)]]="N/A","",Table1[[#This Row],[Retention (kg N, P/ha/yr)]])</f>
        <v>1.88</v>
      </c>
      <c r="H106" s="22">
        <f>IF(Table1[[#This Row],[Efficiency (%)]]="N/A","",Table1[[#This Row],[Efficiency (%)]])</f>
        <v>75.2</v>
      </c>
      <c r="I106" s="22" t="str">
        <f>IF(Table1[[#This Row],[Organic/Mineral Soil]]="N/A","",Table1[[#This Row],[Organic/Mineral Soil]])</f>
        <v>Organic</v>
      </c>
      <c r="J106" s="22" t="str">
        <f>IF(Table1[[#This Row],[Vegetation type]]="N/A","",Table1[[#This Row],[Vegetation type]])</f>
        <v>Arboraceous, mixed</v>
      </c>
      <c r="K106" s="22" t="str">
        <f>IF(Table1[[#This Row],[Reference]]="N/A","",Table1[[#This Row],[Reference]])</f>
        <v>Mander et al., 1997</v>
      </c>
      <c r="L106" s="22" t="str">
        <f>IF(Table1[[#This Row],[Main source/flow path in]]="N/A","",Table1[[#This Row],[Main source/flow path in]])</f>
        <v>Groundwater, surface runoff and precipitation</v>
      </c>
      <c r="M106" s="22" t="str">
        <f>IF(Table1[[#This Row],[Main source/flow path in (simple)]]="N/A","",Table1[[#This Row],[Main source/flow path in (simple)]])</f>
        <v>GW</v>
      </c>
      <c r="N106" s="22" t="str">
        <f>IF(Table1[[#This Row],[Main flow paths in buffer]]="N/A","",Table1[[#This Row],[Main flow paths in buffer]])</f>
        <v>Shallow lateral GW</v>
      </c>
      <c r="O106" s="22" t="str">
        <f>IF(Table1[[#This Row],[Inflow=&gt;Outflow]]="N/A","",Table1[[#This Row],[Inflow=&gt;Outflow]])</f>
        <v>GW=&gt;GW</v>
      </c>
      <c r="P106" s="22">
        <f>IF(Table1[[#This Row],[Width '[m']]]="N/A","",Table1[[#This Row],[Width '[m']]])</f>
        <v>20</v>
      </c>
      <c r="Q106" s="22" t="str">
        <f>IF(Table1[[#This Row],[Area '[m²']]]="N/A","",Table1[[#This Row],[Area '[m²']]])</f>
        <v/>
      </c>
      <c r="R106" s="22" t="str">
        <f>IF(Table1[[#This Row],[Qin '[m³/yr']]]="N/A","",Table1[[#This Row],[Qin '[m³/yr']]])</f>
        <v/>
      </c>
      <c r="S106" s="22" t="str">
        <f>IF(Table1[[#This Row],[Catchment area '[ha']]]="N/A","",Table1[[#This Row],[Catchment area '[ha']]])</f>
        <v/>
      </c>
      <c r="T106" s="22" t="str">
        <f>IF(Table1[[#This Row],[HLR '[mm']]]="N/A","",Table1[[#This Row],[HLR '[mm']]])</f>
        <v/>
      </c>
    </row>
    <row r="107" spans="1:20" x14ac:dyDescent="0.3">
      <c r="A107" s="22" t="str">
        <f>IF(Table1[[#This Row],[Country]]="N/A","",Table1[[#This Row],[Country]])</f>
        <v>Estonia</v>
      </c>
      <c r="B107" s="22" t="str">
        <f>IF(Table1[[#This Row],[Study site]]="N/A","",Table1[[#This Row],[Study site]])</f>
        <v>Vieratsi, EE</v>
      </c>
      <c r="C107" s="22" t="str">
        <f>IF(Table1[[#This Row],[WBZ-type]]="N/A","",Table1[[#This Row],[WBZ-type]])</f>
        <v>Rewetted Fen</v>
      </c>
      <c r="D107" s="22" t="str">
        <f>IF(Table1[[#This Row],[Nutrient]]="N/A","",Table1[[#This Row],[Nutrient]])</f>
        <v>total nitrogen</v>
      </c>
      <c r="E107" s="22">
        <f>IF(Table1[[#This Row],[Load (kg N, P/ha/yr)]]="N/A","",Table1[[#This Row],[Load (kg N, P/ha/yr)]])</f>
        <v>72.900000000000006</v>
      </c>
      <c r="F107" s="22">
        <f>IF(Table1[[#This Row],[Loss (kg N, P/ha/yr)]]="N/A","",Table1[[#This Row],[Loss (kg N, P/ha/yr)]])</f>
        <v>9</v>
      </c>
      <c r="G107" s="22">
        <f>IF(Table1[[#This Row],[Retention (kg N, P/ha/yr)]]="N/A","",Table1[[#This Row],[Retention (kg N, P/ha/yr)]])</f>
        <v>63.900000000000006</v>
      </c>
      <c r="H107" s="22">
        <f>IF(Table1[[#This Row],[Efficiency (%)]]="N/A","",Table1[[#This Row],[Efficiency (%)]])</f>
        <v>87.654320987654316</v>
      </c>
      <c r="I107" s="22" t="str">
        <f>IF(Table1[[#This Row],[Organic/Mineral Soil]]="N/A","",Table1[[#This Row],[Organic/Mineral Soil]])</f>
        <v>Organic</v>
      </c>
      <c r="J107" s="22" t="str">
        <f>IF(Table1[[#This Row],[Vegetation type]]="N/A","",Table1[[#This Row],[Vegetation type]])</f>
        <v>Arboraceous, mixed</v>
      </c>
      <c r="K107" s="22" t="str">
        <f>IF(Table1[[#This Row],[Reference]]="N/A","",Table1[[#This Row],[Reference]])</f>
        <v>Mander et al., 1997</v>
      </c>
      <c r="L107" s="22" t="str">
        <f>IF(Table1[[#This Row],[Main source/flow path in]]="N/A","",Table1[[#This Row],[Main source/flow path in]])</f>
        <v>Groundwater, surface runoff and precipitation</v>
      </c>
      <c r="M107" s="22" t="str">
        <f>IF(Table1[[#This Row],[Main source/flow path in (simple)]]="N/A","",Table1[[#This Row],[Main source/flow path in (simple)]])</f>
        <v>GW</v>
      </c>
      <c r="N107" s="22" t="str">
        <f>IF(Table1[[#This Row],[Main flow paths in buffer]]="N/A","",Table1[[#This Row],[Main flow paths in buffer]])</f>
        <v>Shallow lateral GW</v>
      </c>
      <c r="O107" s="22" t="str">
        <f>IF(Table1[[#This Row],[Inflow=&gt;Outflow]]="N/A","",Table1[[#This Row],[Inflow=&gt;Outflow]])</f>
        <v>GW=&gt;GW</v>
      </c>
      <c r="P107" s="22">
        <f>IF(Table1[[#This Row],[Width '[m']]]="N/A","",Table1[[#This Row],[Width '[m']]])</f>
        <v>28</v>
      </c>
      <c r="Q107" s="22" t="str">
        <f>IF(Table1[[#This Row],[Area '[m²']]]="N/A","",Table1[[#This Row],[Area '[m²']]])</f>
        <v/>
      </c>
      <c r="R107" s="22" t="str">
        <f>IF(Table1[[#This Row],[Qin '[m³/yr']]]="N/A","",Table1[[#This Row],[Qin '[m³/yr']]])</f>
        <v/>
      </c>
      <c r="S107" s="22" t="str">
        <f>IF(Table1[[#This Row],[Catchment area '[ha']]]="N/A","",Table1[[#This Row],[Catchment area '[ha']]])</f>
        <v/>
      </c>
      <c r="T107" s="22" t="str">
        <f>IF(Table1[[#This Row],[HLR '[mm']]]="N/A","",Table1[[#This Row],[HLR '[mm']]])</f>
        <v/>
      </c>
    </row>
    <row r="108" spans="1:20" hidden="1" x14ac:dyDescent="0.3">
      <c r="A108" s="22" t="str">
        <f>IF(Table1[[#This Row],[Country]]="N/A","",Table1[[#This Row],[Country]])</f>
        <v>Estonia</v>
      </c>
      <c r="B108" s="22" t="str">
        <f>IF(Table1[[#This Row],[Study site]]="N/A","",Table1[[#This Row],[Study site]])</f>
        <v>Vieratsi, EE</v>
      </c>
      <c r="C108" s="22" t="str">
        <f>IF(Table1[[#This Row],[WBZ-type]]="N/A","",Table1[[#This Row],[WBZ-type]])</f>
        <v>Rewetted Fen</v>
      </c>
      <c r="D108" s="22" t="str">
        <f>IF(Table1[[#This Row],[Nutrient]]="N/A","",Table1[[#This Row],[Nutrient]])</f>
        <v>total phosphorus</v>
      </c>
      <c r="E108" s="22">
        <f>IF(Table1[[#This Row],[Load (kg N, P/ha/yr)]]="N/A","",Table1[[#This Row],[Load (kg N, P/ha/yr)]])</f>
        <v>3</v>
      </c>
      <c r="F108" s="22">
        <f>IF(Table1[[#This Row],[Loss (kg N, P/ha/yr)]]="N/A","",Table1[[#This Row],[Loss (kg N, P/ha/yr)]])</f>
        <v>0.38</v>
      </c>
      <c r="G108" s="22">
        <f>IF(Table1[[#This Row],[Retention (kg N, P/ha/yr)]]="N/A","",Table1[[#This Row],[Retention (kg N, P/ha/yr)]])</f>
        <v>2.62</v>
      </c>
      <c r="H108" s="22">
        <f>IF(Table1[[#This Row],[Efficiency (%)]]="N/A","",Table1[[#This Row],[Efficiency (%)]])</f>
        <v>87.333333333333343</v>
      </c>
      <c r="I108" s="22" t="str">
        <f>IF(Table1[[#This Row],[Organic/Mineral Soil]]="N/A","",Table1[[#This Row],[Organic/Mineral Soil]])</f>
        <v>Organic</v>
      </c>
      <c r="J108" s="22" t="str">
        <f>IF(Table1[[#This Row],[Vegetation type]]="N/A","",Table1[[#This Row],[Vegetation type]])</f>
        <v>Arboraceous, mixed</v>
      </c>
      <c r="K108" s="22" t="str">
        <f>IF(Table1[[#This Row],[Reference]]="N/A","",Table1[[#This Row],[Reference]])</f>
        <v>Mander et al., 1997</v>
      </c>
      <c r="L108" s="22" t="str">
        <f>IF(Table1[[#This Row],[Main source/flow path in]]="N/A","",Table1[[#This Row],[Main source/flow path in]])</f>
        <v>Groundwater, surface runoff and precipitation</v>
      </c>
      <c r="M108" s="22" t="str">
        <f>IF(Table1[[#This Row],[Main source/flow path in (simple)]]="N/A","",Table1[[#This Row],[Main source/flow path in (simple)]])</f>
        <v>GW</v>
      </c>
      <c r="N108" s="22" t="str">
        <f>IF(Table1[[#This Row],[Main flow paths in buffer]]="N/A","",Table1[[#This Row],[Main flow paths in buffer]])</f>
        <v>Shallow lateral GW</v>
      </c>
      <c r="O108" s="22" t="str">
        <f>IF(Table1[[#This Row],[Inflow=&gt;Outflow]]="N/A","",Table1[[#This Row],[Inflow=&gt;Outflow]])</f>
        <v>GW=&gt;GW</v>
      </c>
      <c r="P108" s="22">
        <f>IF(Table1[[#This Row],[Width '[m']]]="N/A","",Table1[[#This Row],[Width '[m']]])</f>
        <v>28</v>
      </c>
      <c r="Q108" s="22" t="str">
        <f>IF(Table1[[#This Row],[Area '[m²']]]="N/A","",Table1[[#This Row],[Area '[m²']]])</f>
        <v/>
      </c>
      <c r="R108" s="22" t="str">
        <f>IF(Table1[[#This Row],[Qin '[m³/yr']]]="N/A","",Table1[[#This Row],[Qin '[m³/yr']]])</f>
        <v/>
      </c>
      <c r="S108" s="22" t="str">
        <f>IF(Table1[[#This Row],[Catchment area '[ha']]]="N/A","",Table1[[#This Row],[Catchment area '[ha']]])</f>
        <v/>
      </c>
      <c r="T108" s="22" t="str">
        <f>IF(Table1[[#This Row],[HLR '[mm']]]="N/A","",Table1[[#This Row],[HLR '[mm']]])</f>
        <v/>
      </c>
    </row>
    <row r="109" spans="1:20" hidden="1" x14ac:dyDescent="0.3">
      <c r="A109" s="22" t="str">
        <f>IF(Table1[[#This Row],[Country]]="N/A","",Table1[[#This Row],[Country]])</f>
        <v>Finland</v>
      </c>
      <c r="B109" s="22" t="str">
        <f>IF(Table1[[#This Row],[Study site]]="N/A","",Table1[[#This Row],[Study site]])</f>
        <v>Flyttrask, SU</v>
      </c>
      <c r="C109" s="22" t="str">
        <f>IF(Table1[[#This Row],[WBZ-type]]="N/A","",Table1[[#This Row],[WBZ-type]])</f>
        <v>Floodplain</v>
      </c>
      <c r="D109" s="22" t="str">
        <f>IF(Table1[[#This Row],[Nutrient]]="N/A","",Table1[[#This Row],[Nutrient]])</f>
        <v>nitrate</v>
      </c>
      <c r="E109" s="22">
        <f>IF(Table1[[#This Row],[Load (kg N, P/ha/yr)]]="N/A","",Table1[[#This Row],[Load (kg N, P/ha/yr)]])</f>
        <v>342.85714285714289</v>
      </c>
      <c r="F109" s="22">
        <f>IF(Table1[[#This Row],[Loss (kg N, P/ha/yr)]]="N/A","",Table1[[#This Row],[Loss (kg N, P/ha/yr)]])</f>
        <v>294.85714285714289</v>
      </c>
      <c r="G109" s="22">
        <f>IF(Table1[[#This Row],[Retention (kg N, P/ha/yr)]]="N/A","",Table1[[#This Row],[Retention (kg N, P/ha/yr)]])</f>
        <v>48</v>
      </c>
      <c r="H109" s="22">
        <f>IF(Table1[[#This Row],[Efficiency (%)]]="N/A","",Table1[[#This Row],[Efficiency (%)]])</f>
        <v>14</v>
      </c>
      <c r="I109" s="22" t="str">
        <f>IF(Table1[[#This Row],[Organic/Mineral Soil]]="N/A","",Table1[[#This Row],[Organic/Mineral Soil]])</f>
        <v>Mineral</v>
      </c>
      <c r="J109" s="22" t="str">
        <f>IF(Table1[[#This Row],[Vegetation type]]="N/A","",Table1[[#This Row],[Vegetation type]])</f>
        <v>Aerenchymous</v>
      </c>
      <c r="K109" s="22" t="str">
        <f>IF(Table1[[#This Row],[Reference]]="N/A","",Table1[[#This Row],[Reference]])</f>
        <v>Koskiaho et al 2003</v>
      </c>
      <c r="L109" s="22" t="str">
        <f>IF(Table1[[#This Row],[Main source/flow path in]]="N/A","",Table1[[#This Row],[Main source/flow path in]])</f>
        <v>River inundation</v>
      </c>
      <c r="M109" s="22" t="str">
        <f>IF(Table1[[#This Row],[Main source/flow path in (simple)]]="N/A","",Table1[[#This Row],[Main source/flow path in (simple)]])</f>
        <v>SWR</v>
      </c>
      <c r="N109" s="22" t="str">
        <f>IF(Table1[[#This Row],[Main flow paths in buffer]]="N/A","",Table1[[#This Row],[Main flow paths in buffer]])</f>
        <v>inundation from river =&gt; flow through wetland</v>
      </c>
      <c r="O109" s="22" t="str">
        <f>IF(Table1[[#This Row],[Inflow=&gt;Outflow]]="N/A","",Table1[[#This Row],[Inflow=&gt;Outflow]])</f>
        <v>SWR=&gt;SR</v>
      </c>
      <c r="P109" s="22">
        <f>IF(Table1[[#This Row],[Width '[m']]]="N/A","",Table1[[#This Row],[Width '[m']]])</f>
        <v>200</v>
      </c>
      <c r="Q109" s="22">
        <f>IF(Table1[[#This Row],[Area '[m²']]]="N/A","",Table1[[#This Row],[Area '[m²']]])</f>
        <v>600000</v>
      </c>
      <c r="R109" s="22">
        <f>IF(Table1[[#This Row],[Qin '[m³/yr']]]="N/A","",Table1[[#This Row],[Qin '[m³/yr']]])</f>
        <v>268686.71999999997</v>
      </c>
      <c r="S109" s="22">
        <f>IF(Table1[[#This Row],[Catchment area '[ha']]]="N/A","",Table1[[#This Row],[Catchment area '[ha']]])</f>
        <v>2000</v>
      </c>
      <c r="T109" s="22">
        <f>IF(Table1[[#This Row],[HLR '[mm']]]="N/A","",Table1[[#This Row],[HLR '[mm']]])</f>
        <v>447.81119999999999</v>
      </c>
    </row>
    <row r="110" spans="1:20" hidden="1" x14ac:dyDescent="0.3">
      <c r="A110" s="22" t="str">
        <f>IF(Table1[[#This Row],[Country]]="N/A","",Table1[[#This Row],[Country]])</f>
        <v>Finland</v>
      </c>
      <c r="B110" s="22" t="str">
        <f>IF(Table1[[#This Row],[Study site]]="N/A","",Table1[[#This Row],[Study site]])</f>
        <v>Flyttrask, SU</v>
      </c>
      <c r="C110" s="22" t="str">
        <f>IF(Table1[[#This Row],[WBZ-type]]="N/A","",Table1[[#This Row],[WBZ-type]])</f>
        <v>Floodplain</v>
      </c>
      <c r="D110" s="22" t="str">
        <f>IF(Table1[[#This Row],[Nutrient]]="N/A","",Table1[[#This Row],[Nutrient]])</f>
        <v>ammonium</v>
      </c>
      <c r="E110" s="22">
        <f>IF(Table1[[#This Row],[Load (kg N, P/ha/yr)]]="N/A","",Table1[[#This Row],[Load (kg N, P/ha/yr)]])</f>
        <v>17.543859649122805</v>
      </c>
      <c r="F110" s="22">
        <f>IF(Table1[[#This Row],[Loss (kg N, P/ha/yr)]]="N/A","",Table1[[#This Row],[Loss (kg N, P/ha/yr)]])</f>
        <v>7.5438596491228047</v>
      </c>
      <c r="G110" s="22">
        <f>IF(Table1[[#This Row],[Retention (kg N, P/ha/yr)]]="N/A","",Table1[[#This Row],[Retention (kg N, P/ha/yr)]])</f>
        <v>10</v>
      </c>
      <c r="H110" s="22">
        <f>IF(Table1[[#This Row],[Efficiency (%)]]="N/A","",Table1[[#This Row],[Efficiency (%)]])</f>
        <v>57</v>
      </c>
      <c r="I110" s="22" t="str">
        <f>IF(Table1[[#This Row],[Organic/Mineral Soil]]="N/A","",Table1[[#This Row],[Organic/Mineral Soil]])</f>
        <v>Mineral</v>
      </c>
      <c r="J110" s="22" t="str">
        <f>IF(Table1[[#This Row],[Vegetation type]]="N/A","",Table1[[#This Row],[Vegetation type]])</f>
        <v>Aerenchymous</v>
      </c>
      <c r="K110" s="22" t="str">
        <f>IF(Table1[[#This Row],[Reference]]="N/A","",Table1[[#This Row],[Reference]])</f>
        <v>Koskiaho et al 2003</v>
      </c>
      <c r="L110" s="22" t="str">
        <f>IF(Table1[[#This Row],[Main source/flow path in]]="N/A","",Table1[[#This Row],[Main source/flow path in]])</f>
        <v>River inundation</v>
      </c>
      <c r="M110" s="22" t="str">
        <f>IF(Table1[[#This Row],[Main source/flow path in (simple)]]="N/A","",Table1[[#This Row],[Main source/flow path in (simple)]])</f>
        <v>SWR</v>
      </c>
      <c r="N110" s="22" t="str">
        <f>IF(Table1[[#This Row],[Main flow paths in buffer]]="N/A","",Table1[[#This Row],[Main flow paths in buffer]])</f>
        <v>inundation from river =&gt; flow through wetland</v>
      </c>
      <c r="O110" s="22" t="str">
        <f>IF(Table1[[#This Row],[Inflow=&gt;Outflow]]="N/A","",Table1[[#This Row],[Inflow=&gt;Outflow]])</f>
        <v>SWR=&gt;SR</v>
      </c>
      <c r="P110" s="22">
        <f>IF(Table1[[#This Row],[Width '[m']]]="N/A","",Table1[[#This Row],[Width '[m']]])</f>
        <v>200</v>
      </c>
      <c r="Q110" s="22">
        <f>IF(Table1[[#This Row],[Area '[m²']]]="N/A","",Table1[[#This Row],[Area '[m²']]])</f>
        <v>600000</v>
      </c>
      <c r="R110" s="22">
        <f>IF(Table1[[#This Row],[Qin '[m³/yr']]]="N/A","",Table1[[#This Row],[Qin '[m³/yr']]])</f>
        <v>268686.71999999997</v>
      </c>
      <c r="S110" s="22">
        <f>IF(Table1[[#This Row],[Catchment area '[ha']]]="N/A","",Table1[[#This Row],[Catchment area '[ha']]])</f>
        <v>2000</v>
      </c>
      <c r="T110" s="22">
        <f>IF(Table1[[#This Row],[HLR '[mm']]]="N/A","",Table1[[#This Row],[HLR '[mm']]])</f>
        <v>447.81119999999999</v>
      </c>
    </row>
    <row r="111" spans="1:20" hidden="1" x14ac:dyDescent="0.3">
      <c r="A111" s="22" t="str">
        <f>IF(Table1[[#This Row],[Country]]="N/A","",Table1[[#This Row],[Country]])</f>
        <v>Finland</v>
      </c>
      <c r="B111" s="22" t="str">
        <f>IF(Table1[[#This Row],[Study site]]="N/A","",Table1[[#This Row],[Study site]])</f>
        <v>Flyttrask, SU</v>
      </c>
      <c r="C111" s="22" t="str">
        <f>IF(Table1[[#This Row],[WBZ-type]]="N/A","",Table1[[#This Row],[WBZ-type]])</f>
        <v>Floodplain</v>
      </c>
      <c r="D111" s="22" t="str">
        <f>IF(Table1[[#This Row],[Nutrient]]="N/A","",Table1[[#This Row],[Nutrient]])</f>
        <v>dissolved organic nitrogen</v>
      </c>
      <c r="E111" s="22">
        <f>IF(Table1[[#This Row],[Load (kg N, P/ha/yr)]]="N/A","",Table1[[#This Row],[Load (kg N, P/ha/yr)]])</f>
        <v>157.78081567555256</v>
      </c>
      <c r="F111" s="22">
        <f>IF(Table1[[#This Row],[Loss (kg N, P/ha/yr)]]="N/A","",Table1[[#This Row],[Loss (kg N, P/ha/yr)]])</f>
        <v>158.78081567555256</v>
      </c>
      <c r="G111" s="22">
        <f>IF(Table1[[#This Row],[Retention (kg N, P/ha/yr)]]="N/A","",Table1[[#This Row],[Retention (kg N, P/ha/yr)]])</f>
        <v>-1</v>
      </c>
      <c r="H111" s="22">
        <f>IF(Table1[[#This Row],[Efficiency (%)]]="N/A","",Table1[[#This Row],[Efficiency (%)]])</f>
        <v>-0.63379061371841139</v>
      </c>
      <c r="I111" s="22" t="str">
        <f>IF(Table1[[#This Row],[Organic/Mineral Soil]]="N/A","",Table1[[#This Row],[Organic/Mineral Soil]])</f>
        <v>Mineral</v>
      </c>
      <c r="J111" s="22" t="str">
        <f>IF(Table1[[#This Row],[Vegetation type]]="N/A","",Table1[[#This Row],[Vegetation type]])</f>
        <v>Aerenchymous</v>
      </c>
      <c r="K111" s="22" t="str">
        <f>IF(Table1[[#This Row],[Reference]]="N/A","",Table1[[#This Row],[Reference]])</f>
        <v>Koskiaho et al 2003</v>
      </c>
      <c r="L111" s="22" t="str">
        <f>IF(Table1[[#This Row],[Main source/flow path in]]="N/A","",Table1[[#This Row],[Main source/flow path in]])</f>
        <v>River inundation</v>
      </c>
      <c r="M111" s="22" t="str">
        <f>IF(Table1[[#This Row],[Main source/flow path in (simple)]]="N/A","",Table1[[#This Row],[Main source/flow path in (simple)]])</f>
        <v>SWR</v>
      </c>
      <c r="N111" s="22" t="str">
        <f>IF(Table1[[#This Row],[Main flow paths in buffer]]="N/A","",Table1[[#This Row],[Main flow paths in buffer]])</f>
        <v>inundation from river =&gt; flow through wetland</v>
      </c>
      <c r="O111" s="22" t="str">
        <f>IF(Table1[[#This Row],[Inflow=&gt;Outflow]]="N/A","",Table1[[#This Row],[Inflow=&gt;Outflow]])</f>
        <v>SWR=&gt;SR</v>
      </c>
      <c r="P111" s="22">
        <f>IF(Table1[[#This Row],[Width '[m']]]="N/A","",Table1[[#This Row],[Width '[m']]])</f>
        <v>200</v>
      </c>
      <c r="Q111" s="22">
        <f>IF(Table1[[#This Row],[Area '[m²']]]="N/A","",Table1[[#This Row],[Area '[m²']]])</f>
        <v>600000</v>
      </c>
      <c r="R111" s="22">
        <f>IF(Table1[[#This Row],[Qin '[m³/yr']]]="N/A","",Table1[[#This Row],[Qin '[m³/yr']]])</f>
        <v>228951.36000000004</v>
      </c>
      <c r="S111" s="22">
        <f>IF(Table1[[#This Row],[Catchment area '[ha']]]="N/A","",Table1[[#This Row],[Catchment area '[ha']]])</f>
        <v>2000</v>
      </c>
      <c r="T111" s="22">
        <f>IF(Table1[[#This Row],[HLR '[mm']]]="N/A","",Table1[[#This Row],[HLR '[mm']]])</f>
        <v>381.58560000000006</v>
      </c>
    </row>
    <row r="112" spans="1:20" x14ac:dyDescent="0.3">
      <c r="A112" s="22" t="str">
        <f>IF(Table1[[#This Row],[Country]]="N/A","",Table1[[#This Row],[Country]])</f>
        <v>Finland</v>
      </c>
      <c r="B112" s="22" t="str">
        <f>IF(Table1[[#This Row],[Study site]]="N/A","",Table1[[#This Row],[Study site]])</f>
        <v>Flyttrask, SU</v>
      </c>
      <c r="C112" s="22" t="str">
        <f>IF(Table1[[#This Row],[WBZ-type]]="N/A","",Table1[[#This Row],[WBZ-type]])</f>
        <v>Floodplain</v>
      </c>
      <c r="D112" s="22" t="str">
        <f>IF(Table1[[#This Row],[Nutrient]]="N/A","",Table1[[#This Row],[Nutrient]])</f>
        <v>total nitrogen</v>
      </c>
      <c r="E112" s="22">
        <f>IF(Table1[[#This Row],[Load (kg N, P/ha/yr)]]="N/A","",Table1[[#This Row],[Load (kg N, P/ha/yr)]])</f>
        <v>518.18181818181824</v>
      </c>
      <c r="F112" s="22">
        <f>IF(Table1[[#This Row],[Loss (kg N, P/ha/yr)]]="N/A","",Table1[[#This Row],[Loss (kg N, P/ha/yr)]])</f>
        <v>461.18181818181824</v>
      </c>
      <c r="G112" s="22">
        <f>IF(Table1[[#This Row],[Retention (kg N, P/ha/yr)]]="N/A","",Table1[[#This Row],[Retention (kg N, P/ha/yr)]])</f>
        <v>57</v>
      </c>
      <c r="H112" s="22">
        <f>IF(Table1[[#This Row],[Efficiency (%)]]="N/A","",Table1[[#This Row],[Efficiency (%)]])</f>
        <v>11</v>
      </c>
      <c r="I112" s="22" t="str">
        <f>IF(Table1[[#This Row],[Organic/Mineral Soil]]="N/A","",Table1[[#This Row],[Organic/Mineral Soil]])</f>
        <v>Mineral</v>
      </c>
      <c r="J112" s="22" t="str">
        <f>IF(Table1[[#This Row],[Vegetation type]]="N/A","",Table1[[#This Row],[Vegetation type]])</f>
        <v>Aerenchymous</v>
      </c>
      <c r="K112" s="22" t="str">
        <f>IF(Table1[[#This Row],[Reference]]="N/A","",Table1[[#This Row],[Reference]])</f>
        <v>Koskiaho et al 2003</v>
      </c>
      <c r="L112" s="22" t="str">
        <f>IF(Table1[[#This Row],[Main source/flow path in]]="N/A","",Table1[[#This Row],[Main source/flow path in]])</f>
        <v>River inundation</v>
      </c>
      <c r="M112" s="22" t="str">
        <f>IF(Table1[[#This Row],[Main source/flow path in (simple)]]="N/A","",Table1[[#This Row],[Main source/flow path in (simple)]])</f>
        <v>SWR</v>
      </c>
      <c r="N112" s="22" t="str">
        <f>IF(Table1[[#This Row],[Main flow paths in buffer]]="N/A","",Table1[[#This Row],[Main flow paths in buffer]])</f>
        <v>inundation from river =&gt; flow through wetland</v>
      </c>
      <c r="O112" s="22" t="str">
        <f>IF(Table1[[#This Row],[Inflow=&gt;Outflow]]="N/A","",Table1[[#This Row],[Inflow=&gt;Outflow]])</f>
        <v>SWR=&gt;SR</v>
      </c>
      <c r="P112" s="22">
        <f>IF(Table1[[#This Row],[Width '[m']]]="N/A","",Table1[[#This Row],[Width '[m']]])</f>
        <v>200</v>
      </c>
      <c r="Q112" s="22">
        <f>IF(Table1[[#This Row],[Area '[m²']]]="N/A","",Table1[[#This Row],[Area '[m²']]])</f>
        <v>600000</v>
      </c>
      <c r="R112" s="22">
        <f>IF(Table1[[#This Row],[Qin '[m³/yr']]]="N/A","",Table1[[#This Row],[Qin '[m³/yr']]])</f>
        <v>268686.71999999997</v>
      </c>
      <c r="S112" s="22">
        <f>IF(Table1[[#This Row],[Catchment area '[ha']]]="N/A","",Table1[[#This Row],[Catchment area '[ha']]])</f>
        <v>2000</v>
      </c>
      <c r="T112" s="22">
        <f>IF(Table1[[#This Row],[HLR '[mm']]]="N/A","",Table1[[#This Row],[HLR '[mm']]])</f>
        <v>447.81119999999999</v>
      </c>
    </row>
    <row r="113" spans="1:20" hidden="1" x14ac:dyDescent="0.3">
      <c r="A113" s="22" t="str">
        <f>IF(Table1[[#This Row],[Country]]="N/A","",Table1[[#This Row],[Country]])</f>
        <v>Finland</v>
      </c>
      <c r="B113" s="22" t="str">
        <f>IF(Table1[[#This Row],[Study site]]="N/A","",Table1[[#This Row],[Study site]])</f>
        <v>Flyttrask, SU</v>
      </c>
      <c r="C113" s="22" t="str">
        <f>IF(Table1[[#This Row],[WBZ-type]]="N/A","",Table1[[#This Row],[WBZ-type]])</f>
        <v>Floodplain</v>
      </c>
      <c r="D113" s="22" t="str">
        <f>IF(Table1[[#This Row],[Nutrient]]="N/A","",Table1[[#This Row],[Nutrient]])</f>
        <v>SRP</v>
      </c>
      <c r="E113" s="22">
        <f>IF(Table1[[#This Row],[Load (kg N, P/ha/yr)]]="N/A","",Table1[[#This Row],[Load (kg N, P/ha/yr)]])</f>
        <v>2</v>
      </c>
      <c r="F113" s="22">
        <f>IF(Table1[[#This Row],[Loss (kg N, P/ha/yr)]]="N/A","",Table1[[#This Row],[Loss (kg N, P/ha/yr)]])</f>
        <v>1.7</v>
      </c>
      <c r="G113" s="22">
        <f>IF(Table1[[#This Row],[Retention (kg N, P/ha/yr)]]="N/A","",Table1[[#This Row],[Retention (kg N, P/ha/yr)]])</f>
        <v>0.3</v>
      </c>
      <c r="H113" s="22">
        <f>IF(Table1[[#This Row],[Efficiency (%)]]="N/A","",Table1[[#This Row],[Efficiency (%)]])</f>
        <v>15</v>
      </c>
      <c r="I113" s="22" t="str">
        <f>IF(Table1[[#This Row],[Organic/Mineral Soil]]="N/A","",Table1[[#This Row],[Organic/Mineral Soil]])</f>
        <v>Mineral</v>
      </c>
      <c r="J113" s="22" t="str">
        <f>IF(Table1[[#This Row],[Vegetation type]]="N/A","",Table1[[#This Row],[Vegetation type]])</f>
        <v>Aerenchymous</v>
      </c>
      <c r="K113" s="22" t="str">
        <f>IF(Table1[[#This Row],[Reference]]="N/A","",Table1[[#This Row],[Reference]])</f>
        <v>Koskiaho et al 2003</v>
      </c>
      <c r="L113" s="22" t="str">
        <f>IF(Table1[[#This Row],[Main source/flow path in]]="N/A","",Table1[[#This Row],[Main source/flow path in]])</f>
        <v>River inundation</v>
      </c>
      <c r="M113" s="22" t="str">
        <f>IF(Table1[[#This Row],[Main source/flow path in (simple)]]="N/A","",Table1[[#This Row],[Main source/flow path in (simple)]])</f>
        <v>SWR</v>
      </c>
      <c r="N113" s="22" t="str">
        <f>IF(Table1[[#This Row],[Main flow paths in buffer]]="N/A","",Table1[[#This Row],[Main flow paths in buffer]])</f>
        <v>inundation from river =&gt; flow through wetland</v>
      </c>
      <c r="O113" s="22" t="str">
        <f>IF(Table1[[#This Row],[Inflow=&gt;Outflow]]="N/A","",Table1[[#This Row],[Inflow=&gt;Outflow]])</f>
        <v>SWR=&gt;SR</v>
      </c>
      <c r="P113" s="22">
        <f>IF(Table1[[#This Row],[Width '[m']]]="N/A","",Table1[[#This Row],[Width '[m']]])</f>
        <v>200</v>
      </c>
      <c r="Q113" s="22">
        <f>IF(Table1[[#This Row],[Area '[m²']]]="N/A","",Table1[[#This Row],[Area '[m²']]])</f>
        <v>600000</v>
      </c>
      <c r="R113" s="22">
        <f>IF(Table1[[#This Row],[Qin '[m³/yr']]]="N/A","",Table1[[#This Row],[Qin '[m³/yr']]])</f>
        <v>268686.71999999997</v>
      </c>
      <c r="S113" s="22">
        <f>IF(Table1[[#This Row],[Catchment area '[ha']]]="N/A","",Table1[[#This Row],[Catchment area '[ha']]])</f>
        <v>2000</v>
      </c>
      <c r="T113" s="22">
        <f>IF(Table1[[#This Row],[HLR '[mm']]]="N/A","",Table1[[#This Row],[HLR '[mm']]])</f>
        <v>447.81119999999999</v>
      </c>
    </row>
    <row r="114" spans="1:20" hidden="1" x14ac:dyDescent="0.3">
      <c r="A114" s="22" t="str">
        <f>IF(Table1[[#This Row],[Country]]="N/A","",Table1[[#This Row],[Country]])</f>
        <v>Finland</v>
      </c>
      <c r="B114" s="22" t="str">
        <f>IF(Table1[[#This Row],[Study site]]="N/A","",Table1[[#This Row],[Study site]])</f>
        <v>Flyttrask, SU</v>
      </c>
      <c r="C114" s="22" t="str">
        <f>IF(Table1[[#This Row],[WBZ-type]]="N/A","",Table1[[#This Row],[WBZ-type]])</f>
        <v>Floodplain</v>
      </c>
      <c r="D114" s="22" t="str">
        <f>IF(Table1[[#This Row],[Nutrient]]="N/A","",Table1[[#This Row],[Nutrient]])</f>
        <v>total phosphorus</v>
      </c>
      <c r="E114" s="22">
        <f>IF(Table1[[#This Row],[Load (kg N, P/ha/yr)]]="N/A","",Table1[[#This Row],[Load (kg N, P/ha/yr)]])</f>
        <v>12.666666666666666</v>
      </c>
      <c r="F114" s="22">
        <f>IF(Table1[[#This Row],[Loss (kg N, P/ha/yr)]]="N/A","",Table1[[#This Row],[Loss (kg N, P/ha/yr)]])</f>
        <v>10.766666666666666</v>
      </c>
      <c r="G114" s="22">
        <f>IF(Table1[[#This Row],[Retention (kg N, P/ha/yr)]]="N/A","",Table1[[#This Row],[Retention (kg N, P/ha/yr)]])</f>
        <v>1.9</v>
      </c>
      <c r="H114" s="22">
        <f>IF(Table1[[#This Row],[Efficiency (%)]]="N/A","",Table1[[#This Row],[Efficiency (%)]])</f>
        <v>15</v>
      </c>
      <c r="I114" s="22" t="str">
        <f>IF(Table1[[#This Row],[Organic/Mineral Soil]]="N/A","",Table1[[#This Row],[Organic/Mineral Soil]])</f>
        <v>Mineral</v>
      </c>
      <c r="J114" s="22" t="str">
        <f>IF(Table1[[#This Row],[Vegetation type]]="N/A","",Table1[[#This Row],[Vegetation type]])</f>
        <v>Aerenchymous</v>
      </c>
      <c r="K114" s="22" t="str">
        <f>IF(Table1[[#This Row],[Reference]]="N/A","",Table1[[#This Row],[Reference]])</f>
        <v>Koskiaho et al 2003</v>
      </c>
      <c r="L114" s="22" t="str">
        <f>IF(Table1[[#This Row],[Main source/flow path in]]="N/A","",Table1[[#This Row],[Main source/flow path in]])</f>
        <v>River inundation</v>
      </c>
      <c r="M114" s="22" t="str">
        <f>IF(Table1[[#This Row],[Main source/flow path in (simple)]]="N/A","",Table1[[#This Row],[Main source/flow path in (simple)]])</f>
        <v>SWR</v>
      </c>
      <c r="N114" s="22" t="str">
        <f>IF(Table1[[#This Row],[Main flow paths in buffer]]="N/A","",Table1[[#This Row],[Main flow paths in buffer]])</f>
        <v>inundation from river =&gt; flow through wetland</v>
      </c>
      <c r="O114" s="22" t="str">
        <f>IF(Table1[[#This Row],[Inflow=&gt;Outflow]]="N/A","",Table1[[#This Row],[Inflow=&gt;Outflow]])</f>
        <v>SWR=&gt;SR</v>
      </c>
      <c r="P114" s="22">
        <f>IF(Table1[[#This Row],[Width '[m']]]="N/A","",Table1[[#This Row],[Width '[m']]])</f>
        <v>200</v>
      </c>
      <c r="Q114" s="22">
        <f>IF(Table1[[#This Row],[Area '[m²']]]="N/A","",Table1[[#This Row],[Area '[m²']]])</f>
        <v>600000</v>
      </c>
      <c r="R114" s="22">
        <f>IF(Table1[[#This Row],[Qin '[m³/yr']]]="N/A","",Table1[[#This Row],[Qin '[m³/yr']]])</f>
        <v>268686.71999999997</v>
      </c>
      <c r="S114" s="22">
        <f>IF(Table1[[#This Row],[Catchment area '[ha']]]="N/A","",Table1[[#This Row],[Catchment area '[ha']]])</f>
        <v>2000</v>
      </c>
      <c r="T114" s="22">
        <f>IF(Table1[[#This Row],[HLR '[mm']]]="N/A","",Table1[[#This Row],[HLR '[mm']]])</f>
        <v>447.81119999999999</v>
      </c>
    </row>
    <row r="115" spans="1:20" hidden="1" x14ac:dyDescent="0.3">
      <c r="A115" s="22" t="str">
        <f>IF(Table1[[#This Row],[Country]]="N/A","",Table1[[#This Row],[Country]])</f>
        <v>Finland</v>
      </c>
      <c r="B115" s="22" t="str">
        <f>IF(Table1[[#This Row],[Study site]]="N/A","",Table1[[#This Row],[Study site]])</f>
        <v>Flyttrask, SU</v>
      </c>
      <c r="C115" s="22" t="str">
        <f>IF(Table1[[#This Row],[WBZ-type]]="N/A","",Table1[[#This Row],[WBZ-type]])</f>
        <v>Floodplain</v>
      </c>
      <c r="D115" s="22" t="str">
        <f>IF(Table1[[#This Row],[Nutrient]]="N/A","",Table1[[#This Row],[Nutrient]])</f>
        <v>nitrate</v>
      </c>
      <c r="E115" s="22">
        <f>IF(Table1[[#This Row],[Load (kg N, P/ha/yr)]]="N/A","",Table1[[#This Row],[Load (kg N, P/ha/yr)]])</f>
        <v>466.66666666666669</v>
      </c>
      <c r="F115" s="22">
        <f>IF(Table1[[#This Row],[Loss (kg N, P/ha/yr)]]="N/A","",Table1[[#This Row],[Loss (kg N, P/ha/yr)]])</f>
        <v>438.66666666666669</v>
      </c>
      <c r="G115" s="22">
        <f>IF(Table1[[#This Row],[Retention (kg N, P/ha/yr)]]="N/A","",Table1[[#This Row],[Retention (kg N, P/ha/yr)]])</f>
        <v>28</v>
      </c>
      <c r="H115" s="22">
        <f>IF(Table1[[#This Row],[Efficiency (%)]]="N/A","",Table1[[#This Row],[Efficiency (%)]])</f>
        <v>6</v>
      </c>
      <c r="I115" s="22" t="str">
        <f>IF(Table1[[#This Row],[Organic/Mineral Soil]]="N/A","",Table1[[#This Row],[Organic/Mineral Soil]])</f>
        <v>Mineral</v>
      </c>
      <c r="J115" s="22" t="str">
        <f>IF(Table1[[#This Row],[Vegetation type]]="N/A","",Table1[[#This Row],[Vegetation type]])</f>
        <v>Aerenchymous</v>
      </c>
      <c r="K115" s="22" t="str">
        <f>IF(Table1[[#This Row],[Reference]]="N/A","",Table1[[#This Row],[Reference]])</f>
        <v>Koskiaho et al 2003</v>
      </c>
      <c r="L115" s="22" t="str">
        <f>IF(Table1[[#This Row],[Main source/flow path in]]="N/A","",Table1[[#This Row],[Main source/flow path in]])</f>
        <v>River inundation</v>
      </c>
      <c r="M115" s="22" t="str">
        <f>IF(Table1[[#This Row],[Main source/flow path in (simple)]]="N/A","",Table1[[#This Row],[Main source/flow path in (simple)]])</f>
        <v>SWR</v>
      </c>
      <c r="N115" s="22" t="str">
        <f>IF(Table1[[#This Row],[Main flow paths in buffer]]="N/A","",Table1[[#This Row],[Main flow paths in buffer]])</f>
        <v>inundation from river =&gt; flow through wetland</v>
      </c>
      <c r="O115" s="22" t="str">
        <f>IF(Table1[[#This Row],[Inflow=&gt;Outflow]]="N/A","",Table1[[#This Row],[Inflow=&gt;Outflow]])</f>
        <v>SWR=&gt;SR</v>
      </c>
      <c r="P115" s="22">
        <f>IF(Table1[[#This Row],[Width '[m']]]="N/A","",Table1[[#This Row],[Width '[m']]])</f>
        <v>200</v>
      </c>
      <c r="Q115" s="22">
        <f>IF(Table1[[#This Row],[Area '[m²']]]="N/A","",Table1[[#This Row],[Area '[m²']]])</f>
        <v>600000</v>
      </c>
      <c r="R115" s="22">
        <f>IF(Table1[[#This Row],[Qin '[m³/yr']]]="N/A","",Table1[[#This Row],[Qin '[m³/yr']]])</f>
        <v>228951.36000000004</v>
      </c>
      <c r="S115" s="22">
        <f>IF(Table1[[#This Row],[Catchment area '[ha']]]="N/A","",Table1[[#This Row],[Catchment area '[ha']]])</f>
        <v>2000</v>
      </c>
      <c r="T115" s="22">
        <f>IF(Table1[[#This Row],[HLR '[mm']]]="N/A","",Table1[[#This Row],[HLR '[mm']]])</f>
        <v>381.58560000000006</v>
      </c>
    </row>
    <row r="116" spans="1:20" hidden="1" x14ac:dyDescent="0.3">
      <c r="A116" s="22" t="str">
        <f>IF(Table1[[#This Row],[Country]]="N/A","",Table1[[#This Row],[Country]])</f>
        <v>Finland</v>
      </c>
      <c r="B116" s="22" t="str">
        <f>IF(Table1[[#This Row],[Study site]]="N/A","",Table1[[#This Row],[Study site]])</f>
        <v>Flyttrask, SU</v>
      </c>
      <c r="C116" s="22" t="str">
        <f>IF(Table1[[#This Row],[WBZ-type]]="N/A","",Table1[[#This Row],[WBZ-type]])</f>
        <v>Floodplain</v>
      </c>
      <c r="D116" s="22" t="str">
        <f>IF(Table1[[#This Row],[Nutrient]]="N/A","",Table1[[#This Row],[Nutrient]])</f>
        <v>ammonium</v>
      </c>
      <c r="E116" s="22">
        <f>IF(Table1[[#This Row],[Load (kg N, P/ha/yr)]]="N/A","",Table1[[#This Row],[Load (kg N, P/ha/yr)]])</f>
        <v>10.943396226415095</v>
      </c>
      <c r="F116" s="22">
        <f>IF(Table1[[#This Row],[Loss (kg N, P/ha/yr)]]="N/A","",Table1[[#This Row],[Loss (kg N, P/ha/yr)]])</f>
        <v>5.1433962264150948</v>
      </c>
      <c r="G116" s="22">
        <f>IF(Table1[[#This Row],[Retention (kg N, P/ha/yr)]]="N/A","",Table1[[#This Row],[Retention (kg N, P/ha/yr)]])</f>
        <v>5.8</v>
      </c>
      <c r="H116" s="22">
        <f>IF(Table1[[#This Row],[Efficiency (%)]]="N/A","",Table1[[#This Row],[Efficiency (%)]])</f>
        <v>53</v>
      </c>
      <c r="I116" s="22" t="str">
        <f>IF(Table1[[#This Row],[Organic/Mineral Soil]]="N/A","",Table1[[#This Row],[Organic/Mineral Soil]])</f>
        <v>Mineral</v>
      </c>
      <c r="J116" s="22" t="str">
        <f>IF(Table1[[#This Row],[Vegetation type]]="N/A","",Table1[[#This Row],[Vegetation type]])</f>
        <v>Aerenchymous</v>
      </c>
      <c r="K116" s="22" t="str">
        <f>IF(Table1[[#This Row],[Reference]]="N/A","",Table1[[#This Row],[Reference]])</f>
        <v>Koskiaho et al 2003</v>
      </c>
      <c r="L116" s="22" t="str">
        <f>IF(Table1[[#This Row],[Main source/flow path in]]="N/A","",Table1[[#This Row],[Main source/flow path in]])</f>
        <v>River inundation</v>
      </c>
      <c r="M116" s="22" t="str">
        <f>IF(Table1[[#This Row],[Main source/flow path in (simple)]]="N/A","",Table1[[#This Row],[Main source/flow path in (simple)]])</f>
        <v>SWR</v>
      </c>
      <c r="N116" s="22" t="str">
        <f>IF(Table1[[#This Row],[Main flow paths in buffer]]="N/A","",Table1[[#This Row],[Main flow paths in buffer]])</f>
        <v>inundation from river =&gt; flow through wetland</v>
      </c>
      <c r="O116" s="22" t="str">
        <f>IF(Table1[[#This Row],[Inflow=&gt;Outflow]]="N/A","",Table1[[#This Row],[Inflow=&gt;Outflow]])</f>
        <v>SWR=&gt;SR</v>
      </c>
      <c r="P116" s="22">
        <f>IF(Table1[[#This Row],[Width '[m']]]="N/A","",Table1[[#This Row],[Width '[m']]])</f>
        <v>200</v>
      </c>
      <c r="Q116" s="22">
        <f>IF(Table1[[#This Row],[Area '[m²']]]="N/A","",Table1[[#This Row],[Area '[m²']]])</f>
        <v>600000</v>
      </c>
      <c r="R116" s="22">
        <f>IF(Table1[[#This Row],[Qin '[m³/yr']]]="N/A","",Table1[[#This Row],[Qin '[m³/yr']]])</f>
        <v>228951.36000000004</v>
      </c>
      <c r="S116" s="22">
        <f>IF(Table1[[#This Row],[Catchment area '[ha']]]="N/A","",Table1[[#This Row],[Catchment area '[ha']]])</f>
        <v>2000</v>
      </c>
      <c r="T116" s="22">
        <f>IF(Table1[[#This Row],[HLR '[mm']]]="N/A","",Table1[[#This Row],[HLR '[mm']]])</f>
        <v>381.58560000000006</v>
      </c>
    </row>
    <row r="117" spans="1:20" hidden="1" x14ac:dyDescent="0.3">
      <c r="A117" s="22" t="str">
        <f>IF(Table1[[#This Row],[Country]]="N/A","",Table1[[#This Row],[Country]])</f>
        <v>Finland</v>
      </c>
      <c r="B117" s="22" t="str">
        <f>IF(Table1[[#This Row],[Study site]]="N/A","",Table1[[#This Row],[Study site]])</f>
        <v>Flyttrask, SU</v>
      </c>
      <c r="C117" s="22" t="str">
        <f>IF(Table1[[#This Row],[WBZ-type]]="N/A","",Table1[[#This Row],[WBZ-type]])</f>
        <v>Floodplain</v>
      </c>
      <c r="D117" s="22" t="str">
        <f>IF(Table1[[#This Row],[Nutrient]]="N/A","",Table1[[#This Row],[Nutrient]])</f>
        <v>dissolved organic nitrogen</v>
      </c>
      <c r="E117" s="22">
        <f>IF(Table1[[#This Row],[Load (kg N, P/ha/yr)]]="N/A","",Table1[[#This Row],[Load (kg N, P/ha/yr)]])</f>
        <v>62.389937106918218</v>
      </c>
      <c r="F117" s="22">
        <f>IF(Table1[[#This Row],[Loss (kg N, P/ha/yr)]]="N/A","",Table1[[#This Row],[Loss (kg N, P/ha/yr)]])</f>
        <v>69.189937106918222</v>
      </c>
      <c r="G117" s="22">
        <f>IF(Table1[[#This Row],[Retention (kg N, P/ha/yr)]]="N/A","",Table1[[#This Row],[Retention (kg N, P/ha/yr)]])</f>
        <v>-6.8000000000000043</v>
      </c>
      <c r="H117" s="22">
        <f>IF(Table1[[#This Row],[Efficiency (%)]]="N/A","",Table1[[#This Row],[Efficiency (%)]])</f>
        <v>-10.899193548387107</v>
      </c>
      <c r="I117" s="22" t="str">
        <f>IF(Table1[[#This Row],[Organic/Mineral Soil]]="N/A","",Table1[[#This Row],[Organic/Mineral Soil]])</f>
        <v>Mineral</v>
      </c>
      <c r="J117" s="22" t="str">
        <f>IF(Table1[[#This Row],[Vegetation type]]="N/A","",Table1[[#This Row],[Vegetation type]])</f>
        <v>Aerenchymous</v>
      </c>
      <c r="K117" s="22" t="str">
        <f>IF(Table1[[#This Row],[Reference]]="N/A","",Table1[[#This Row],[Reference]])</f>
        <v>Koskiaho et al 2003</v>
      </c>
      <c r="L117" s="22" t="str">
        <f>IF(Table1[[#This Row],[Main source/flow path in]]="N/A","",Table1[[#This Row],[Main source/flow path in]])</f>
        <v>River inundation</v>
      </c>
      <c r="M117" s="22" t="str">
        <f>IF(Table1[[#This Row],[Main source/flow path in (simple)]]="N/A","",Table1[[#This Row],[Main source/flow path in (simple)]])</f>
        <v>SWR</v>
      </c>
      <c r="N117" s="22" t="str">
        <f>IF(Table1[[#This Row],[Main flow paths in buffer]]="N/A","",Table1[[#This Row],[Main flow paths in buffer]])</f>
        <v>inundation from river =&gt; flow through wetland</v>
      </c>
      <c r="O117" s="22" t="str">
        <f>IF(Table1[[#This Row],[Inflow=&gt;Outflow]]="N/A","",Table1[[#This Row],[Inflow=&gt;Outflow]])</f>
        <v>SWR=&gt;SR</v>
      </c>
      <c r="P117" s="22">
        <f>IF(Table1[[#This Row],[Width '[m']]]="N/A","",Table1[[#This Row],[Width '[m']]])</f>
        <v>200</v>
      </c>
      <c r="Q117" s="22">
        <f>IF(Table1[[#This Row],[Area '[m²']]]="N/A","",Table1[[#This Row],[Area '[m²']]])</f>
        <v>600000</v>
      </c>
      <c r="R117" s="22">
        <f>IF(Table1[[#This Row],[Qin '[m³/yr']]]="N/A","",Table1[[#This Row],[Qin '[m³/yr']]])</f>
        <v>228951.36000000004</v>
      </c>
      <c r="S117" s="22">
        <f>IF(Table1[[#This Row],[Catchment area '[ha']]]="N/A","",Table1[[#This Row],[Catchment area '[ha']]])</f>
        <v>2000</v>
      </c>
      <c r="T117" s="22">
        <f>IF(Table1[[#This Row],[HLR '[mm']]]="N/A","",Table1[[#This Row],[HLR '[mm']]])</f>
        <v>381.58560000000006</v>
      </c>
    </row>
    <row r="118" spans="1:20" x14ac:dyDescent="0.3">
      <c r="A118" s="22" t="str">
        <f>IF(Table1[[#This Row],[Country]]="N/A","",Table1[[#This Row],[Country]])</f>
        <v>Finland</v>
      </c>
      <c r="B118" s="22" t="str">
        <f>IF(Table1[[#This Row],[Study site]]="N/A","",Table1[[#This Row],[Study site]])</f>
        <v>Flyttrask, SU</v>
      </c>
      <c r="C118" s="22" t="str">
        <f>IF(Table1[[#This Row],[WBZ-type]]="N/A","",Table1[[#This Row],[WBZ-type]])</f>
        <v>Floodplain</v>
      </c>
      <c r="D118" s="22" t="str">
        <f>IF(Table1[[#This Row],[Nutrient]]="N/A","",Table1[[#This Row],[Nutrient]])</f>
        <v>total nitrogen</v>
      </c>
      <c r="E118" s="22">
        <f>IF(Table1[[#This Row],[Load (kg N, P/ha/yr)]]="N/A","",Table1[[#This Row],[Load (kg N, P/ha/yr)]])</f>
        <v>540</v>
      </c>
      <c r="F118" s="22">
        <f>IF(Table1[[#This Row],[Loss (kg N, P/ha/yr)]]="N/A","",Table1[[#This Row],[Loss (kg N, P/ha/yr)]])</f>
        <v>513</v>
      </c>
      <c r="G118" s="22">
        <f>IF(Table1[[#This Row],[Retention (kg N, P/ha/yr)]]="N/A","",Table1[[#This Row],[Retention (kg N, P/ha/yr)]])</f>
        <v>27</v>
      </c>
      <c r="H118" s="22">
        <f>IF(Table1[[#This Row],[Efficiency (%)]]="N/A","",Table1[[#This Row],[Efficiency (%)]])</f>
        <v>5</v>
      </c>
      <c r="I118" s="22" t="str">
        <f>IF(Table1[[#This Row],[Organic/Mineral Soil]]="N/A","",Table1[[#This Row],[Organic/Mineral Soil]])</f>
        <v>Mineral</v>
      </c>
      <c r="J118" s="22" t="str">
        <f>IF(Table1[[#This Row],[Vegetation type]]="N/A","",Table1[[#This Row],[Vegetation type]])</f>
        <v>Aerenchymous</v>
      </c>
      <c r="K118" s="22" t="str">
        <f>IF(Table1[[#This Row],[Reference]]="N/A","",Table1[[#This Row],[Reference]])</f>
        <v>Koskiaho et al 2003</v>
      </c>
      <c r="L118" s="22" t="str">
        <f>IF(Table1[[#This Row],[Main source/flow path in]]="N/A","",Table1[[#This Row],[Main source/flow path in]])</f>
        <v>River inundation</v>
      </c>
      <c r="M118" s="22" t="str">
        <f>IF(Table1[[#This Row],[Main source/flow path in (simple)]]="N/A","",Table1[[#This Row],[Main source/flow path in (simple)]])</f>
        <v>SWR</v>
      </c>
      <c r="N118" s="22" t="str">
        <f>IF(Table1[[#This Row],[Main flow paths in buffer]]="N/A","",Table1[[#This Row],[Main flow paths in buffer]])</f>
        <v>inundation from river =&gt; flow through wetland</v>
      </c>
      <c r="O118" s="22" t="str">
        <f>IF(Table1[[#This Row],[Inflow=&gt;Outflow]]="N/A","",Table1[[#This Row],[Inflow=&gt;Outflow]])</f>
        <v>SWR=&gt;SR</v>
      </c>
      <c r="P118" s="22">
        <f>IF(Table1[[#This Row],[Width '[m']]]="N/A","",Table1[[#This Row],[Width '[m']]])</f>
        <v>200</v>
      </c>
      <c r="Q118" s="22">
        <f>IF(Table1[[#This Row],[Area '[m²']]]="N/A","",Table1[[#This Row],[Area '[m²']]])</f>
        <v>600000</v>
      </c>
      <c r="R118" s="22">
        <f>IF(Table1[[#This Row],[Qin '[m³/yr']]]="N/A","",Table1[[#This Row],[Qin '[m³/yr']]])</f>
        <v>228951.36000000004</v>
      </c>
      <c r="S118" s="22">
        <f>IF(Table1[[#This Row],[Catchment area '[ha']]]="N/A","",Table1[[#This Row],[Catchment area '[ha']]])</f>
        <v>2000</v>
      </c>
      <c r="T118" s="22">
        <f>IF(Table1[[#This Row],[HLR '[mm']]]="N/A","",Table1[[#This Row],[HLR '[mm']]])</f>
        <v>381.58560000000006</v>
      </c>
    </row>
    <row r="119" spans="1:20" hidden="1" x14ac:dyDescent="0.3">
      <c r="A119" s="22" t="str">
        <f>IF(Table1[[#This Row],[Country]]="N/A","",Table1[[#This Row],[Country]])</f>
        <v>Finland</v>
      </c>
      <c r="B119" s="22" t="str">
        <f>IF(Table1[[#This Row],[Study site]]="N/A","",Table1[[#This Row],[Study site]])</f>
        <v>Flyttrask, SU</v>
      </c>
      <c r="C119" s="22" t="str">
        <f>IF(Table1[[#This Row],[WBZ-type]]="N/A","",Table1[[#This Row],[WBZ-type]])</f>
        <v>Floodplain</v>
      </c>
      <c r="D119" s="22" t="str">
        <f>IF(Table1[[#This Row],[Nutrient]]="N/A","",Table1[[#This Row],[Nutrient]])</f>
        <v>SRP</v>
      </c>
      <c r="E119" s="22">
        <f>IF(Table1[[#This Row],[Load (kg N, P/ha/yr)]]="N/A","",Table1[[#This Row],[Load (kg N, P/ha/yr)]])</f>
        <v>0</v>
      </c>
      <c r="F119" s="22">
        <f>IF(Table1[[#This Row],[Loss (kg N, P/ha/yr)]]="N/A","",Table1[[#This Row],[Loss (kg N, P/ha/yr)]])</f>
        <v>0</v>
      </c>
      <c r="G119" s="22">
        <f>IF(Table1[[#This Row],[Retention (kg N, P/ha/yr)]]="N/A","",Table1[[#This Row],[Retention (kg N, P/ha/yr)]])</f>
        <v>0</v>
      </c>
      <c r="H119" s="22">
        <f>IF(Table1[[#This Row],[Efficiency (%)]]="N/A","",Table1[[#This Row],[Efficiency (%)]])</f>
        <v>0</v>
      </c>
      <c r="I119" s="22" t="str">
        <f>IF(Table1[[#This Row],[Organic/Mineral Soil]]="N/A","",Table1[[#This Row],[Organic/Mineral Soil]])</f>
        <v>Mineral</v>
      </c>
      <c r="J119" s="22" t="str">
        <f>IF(Table1[[#This Row],[Vegetation type]]="N/A","",Table1[[#This Row],[Vegetation type]])</f>
        <v>Aerenchymous</v>
      </c>
      <c r="K119" s="22" t="str">
        <f>IF(Table1[[#This Row],[Reference]]="N/A","",Table1[[#This Row],[Reference]])</f>
        <v>Koskiaho et al 2003</v>
      </c>
      <c r="L119" s="22" t="str">
        <f>IF(Table1[[#This Row],[Main source/flow path in]]="N/A","",Table1[[#This Row],[Main source/flow path in]])</f>
        <v>River inundation</v>
      </c>
      <c r="M119" s="22" t="str">
        <f>IF(Table1[[#This Row],[Main source/flow path in (simple)]]="N/A","",Table1[[#This Row],[Main source/flow path in (simple)]])</f>
        <v>SWR</v>
      </c>
      <c r="N119" s="22" t="str">
        <f>IF(Table1[[#This Row],[Main flow paths in buffer]]="N/A","",Table1[[#This Row],[Main flow paths in buffer]])</f>
        <v>inundation from river =&gt; flow through wetland</v>
      </c>
      <c r="O119" s="22" t="str">
        <f>IF(Table1[[#This Row],[Inflow=&gt;Outflow]]="N/A","",Table1[[#This Row],[Inflow=&gt;Outflow]])</f>
        <v>SWR=&gt;SR</v>
      </c>
      <c r="P119" s="22">
        <f>IF(Table1[[#This Row],[Width '[m']]]="N/A","",Table1[[#This Row],[Width '[m']]])</f>
        <v>200</v>
      </c>
      <c r="Q119" s="22">
        <f>IF(Table1[[#This Row],[Area '[m²']]]="N/A","",Table1[[#This Row],[Area '[m²']]])</f>
        <v>600000</v>
      </c>
      <c r="R119" s="22">
        <f>IF(Table1[[#This Row],[Qin '[m³/yr']]]="N/A","",Table1[[#This Row],[Qin '[m³/yr']]])</f>
        <v>228951.36000000004</v>
      </c>
      <c r="S119" s="22">
        <f>IF(Table1[[#This Row],[Catchment area '[ha']]]="N/A","",Table1[[#This Row],[Catchment area '[ha']]])</f>
        <v>2000</v>
      </c>
      <c r="T119" s="22">
        <f>IF(Table1[[#This Row],[HLR '[mm']]]="N/A","",Table1[[#This Row],[HLR '[mm']]])</f>
        <v>381.58560000000006</v>
      </c>
    </row>
    <row r="120" spans="1:20" hidden="1" x14ac:dyDescent="0.3">
      <c r="A120" s="22" t="str">
        <f>IF(Table1[[#This Row],[Country]]="N/A","",Table1[[#This Row],[Country]])</f>
        <v>Finland</v>
      </c>
      <c r="B120" s="22" t="str">
        <f>IF(Table1[[#This Row],[Study site]]="N/A","",Table1[[#This Row],[Study site]])</f>
        <v>Flyttrask, SU</v>
      </c>
      <c r="C120" s="22" t="str">
        <f>IF(Table1[[#This Row],[WBZ-type]]="N/A","",Table1[[#This Row],[WBZ-type]])</f>
        <v>Floodplain</v>
      </c>
      <c r="D120" s="22" t="str">
        <f>IF(Table1[[#This Row],[Nutrient]]="N/A","",Table1[[#This Row],[Nutrient]])</f>
        <v>total phosphorus</v>
      </c>
      <c r="E120" s="22">
        <f>IF(Table1[[#This Row],[Load (kg N, P/ha/yr)]]="N/A","",Table1[[#This Row],[Load (kg N, P/ha/yr)]])</f>
        <v>9.2857142857142865</v>
      </c>
      <c r="F120" s="22">
        <f>IF(Table1[[#This Row],[Loss (kg N, P/ha/yr)]]="N/A","",Table1[[#This Row],[Loss (kg N, P/ha/yr)]])</f>
        <v>7.9857142857142867</v>
      </c>
      <c r="G120" s="22">
        <f>IF(Table1[[#This Row],[Retention (kg N, P/ha/yr)]]="N/A","",Table1[[#This Row],[Retention (kg N, P/ha/yr)]])</f>
        <v>1.3</v>
      </c>
      <c r="H120" s="22">
        <f>IF(Table1[[#This Row],[Efficiency (%)]]="N/A","",Table1[[#This Row],[Efficiency (%)]])</f>
        <v>14</v>
      </c>
      <c r="I120" s="22" t="str">
        <f>IF(Table1[[#This Row],[Organic/Mineral Soil]]="N/A","",Table1[[#This Row],[Organic/Mineral Soil]])</f>
        <v>Mineral</v>
      </c>
      <c r="J120" s="22" t="str">
        <f>IF(Table1[[#This Row],[Vegetation type]]="N/A","",Table1[[#This Row],[Vegetation type]])</f>
        <v>Aerenchymous</v>
      </c>
      <c r="K120" s="22" t="str">
        <f>IF(Table1[[#This Row],[Reference]]="N/A","",Table1[[#This Row],[Reference]])</f>
        <v>Koskiaho et al 2003</v>
      </c>
      <c r="L120" s="22" t="str">
        <f>IF(Table1[[#This Row],[Main source/flow path in]]="N/A","",Table1[[#This Row],[Main source/flow path in]])</f>
        <v>River inundation</v>
      </c>
      <c r="M120" s="22" t="str">
        <f>IF(Table1[[#This Row],[Main source/flow path in (simple)]]="N/A","",Table1[[#This Row],[Main source/flow path in (simple)]])</f>
        <v>SWR</v>
      </c>
      <c r="N120" s="22" t="str">
        <f>IF(Table1[[#This Row],[Main flow paths in buffer]]="N/A","",Table1[[#This Row],[Main flow paths in buffer]])</f>
        <v>inundation from river =&gt; flow through wetland</v>
      </c>
      <c r="O120" s="22" t="str">
        <f>IF(Table1[[#This Row],[Inflow=&gt;Outflow]]="N/A","",Table1[[#This Row],[Inflow=&gt;Outflow]])</f>
        <v>SWR=&gt;SR</v>
      </c>
      <c r="P120" s="22">
        <f>IF(Table1[[#This Row],[Width '[m']]]="N/A","",Table1[[#This Row],[Width '[m']]])</f>
        <v>200</v>
      </c>
      <c r="Q120" s="22">
        <f>IF(Table1[[#This Row],[Area '[m²']]]="N/A","",Table1[[#This Row],[Area '[m²']]])</f>
        <v>600000</v>
      </c>
      <c r="R120" s="22">
        <f>IF(Table1[[#This Row],[Qin '[m³/yr']]]="N/A","",Table1[[#This Row],[Qin '[m³/yr']]])</f>
        <v>228951.36000000004</v>
      </c>
      <c r="S120" s="22">
        <f>IF(Table1[[#This Row],[Catchment area '[ha']]]="N/A","",Table1[[#This Row],[Catchment area '[ha']]])</f>
        <v>2000</v>
      </c>
      <c r="T120" s="22">
        <f>IF(Table1[[#This Row],[HLR '[mm']]]="N/A","",Table1[[#This Row],[HLR '[mm']]])</f>
        <v>381.58560000000006</v>
      </c>
    </row>
    <row r="121" spans="1:20" hidden="1" x14ac:dyDescent="0.3">
      <c r="A121" s="22" t="str">
        <f>IF(Table1[[#This Row],[Country]]="N/A","",Table1[[#This Row],[Country]])</f>
        <v>Finland</v>
      </c>
      <c r="B121" s="22" t="str">
        <f>IF(Table1[[#This Row],[Study site]]="N/A","",Table1[[#This Row],[Study site]])</f>
        <v>Hovi, SU</v>
      </c>
      <c r="C121" s="22" t="str">
        <f>IF(Table1[[#This Row],[WBZ-type]]="N/A","",Table1[[#This Row],[WBZ-type]])</f>
        <v>Floodplain</v>
      </c>
      <c r="D121" s="22" t="str">
        <f>IF(Table1[[#This Row],[Nutrient]]="N/A","",Table1[[#This Row],[Nutrient]])</f>
        <v>nitrate</v>
      </c>
      <c r="E121" s="22">
        <f>IF(Table1[[#This Row],[Load (kg N, P/ha/yr)]]="N/A","",Table1[[#This Row],[Load (kg N, P/ha/yr)]])</f>
        <v>628.57142857142856</v>
      </c>
      <c r="F121" s="22">
        <f>IF(Table1[[#This Row],[Loss (kg N, P/ha/yr)]]="N/A","",Table1[[#This Row],[Loss (kg N, P/ha/yr)]])</f>
        <v>408.57142857142856</v>
      </c>
      <c r="G121" s="22">
        <f>IF(Table1[[#This Row],[Retention (kg N, P/ha/yr)]]="N/A","",Table1[[#This Row],[Retention (kg N, P/ha/yr)]])</f>
        <v>220</v>
      </c>
      <c r="H121" s="22">
        <f>IF(Table1[[#This Row],[Efficiency (%)]]="N/A","",Table1[[#This Row],[Efficiency (%)]])</f>
        <v>35</v>
      </c>
      <c r="I121" s="22" t="str">
        <f>IF(Table1[[#This Row],[Organic/Mineral Soil]]="N/A","",Table1[[#This Row],[Organic/Mineral Soil]])</f>
        <v>Mineral</v>
      </c>
      <c r="J121" s="22" t="str">
        <f>IF(Table1[[#This Row],[Vegetation type]]="N/A","",Table1[[#This Row],[Vegetation type]])</f>
        <v>Aerenchymous</v>
      </c>
      <c r="K121" s="22" t="str">
        <f>IF(Table1[[#This Row],[Reference]]="N/A","",Table1[[#This Row],[Reference]])</f>
        <v>Koskiaho et al 2003</v>
      </c>
      <c r="L121" s="22" t="str">
        <f>IF(Table1[[#This Row],[Main source/flow path in]]="N/A","",Table1[[#This Row],[Main source/flow path in]])</f>
        <v>River inundation</v>
      </c>
      <c r="M121" s="22" t="str">
        <f>IF(Table1[[#This Row],[Main source/flow path in (simple)]]="N/A","",Table1[[#This Row],[Main source/flow path in (simple)]])</f>
        <v>SWR</v>
      </c>
      <c r="N121" s="22" t="str">
        <f>IF(Table1[[#This Row],[Main flow paths in buffer]]="N/A","",Table1[[#This Row],[Main flow paths in buffer]])</f>
        <v>inundation from river =&gt; flow through wetland</v>
      </c>
      <c r="O121" s="22" t="str">
        <f>IF(Table1[[#This Row],[Inflow=&gt;Outflow]]="N/A","",Table1[[#This Row],[Inflow=&gt;Outflow]])</f>
        <v>SWR=&gt;SR</v>
      </c>
      <c r="P121" s="22">
        <f>IF(Table1[[#This Row],[Width '[m']]]="N/A","",Table1[[#This Row],[Width '[m']]])</f>
        <v>25</v>
      </c>
      <c r="Q121" s="22">
        <f>IF(Table1[[#This Row],[Area '[m²']]]="N/A","",Table1[[#This Row],[Area '[m²']]])</f>
        <v>600</v>
      </c>
      <c r="R121" s="22">
        <f>IF(Table1[[#This Row],[Qin '[m³/yr']]]="N/A","",Table1[[#This Row],[Qin '[m³/yr']]])</f>
        <v>204.35328000000004</v>
      </c>
      <c r="S121" s="22">
        <f>IF(Table1[[#This Row],[Catchment area '[ha']]]="N/A","",Table1[[#This Row],[Catchment area '[ha']]])</f>
        <v>12</v>
      </c>
      <c r="T121" s="22">
        <f>IF(Table1[[#This Row],[HLR '[mm']]]="N/A","",Table1[[#This Row],[HLR '[mm']]])</f>
        <v>340.58880000000011</v>
      </c>
    </row>
    <row r="122" spans="1:20" hidden="1" x14ac:dyDescent="0.3">
      <c r="A122" s="22" t="str">
        <f>IF(Table1[[#This Row],[Country]]="N/A","",Table1[[#This Row],[Country]])</f>
        <v>Finland</v>
      </c>
      <c r="B122" s="22" t="str">
        <f>IF(Table1[[#This Row],[Study site]]="N/A","",Table1[[#This Row],[Study site]])</f>
        <v>Hovi, SU</v>
      </c>
      <c r="C122" s="22" t="str">
        <f>IF(Table1[[#This Row],[WBZ-type]]="N/A","",Table1[[#This Row],[WBZ-type]])</f>
        <v>Floodplain</v>
      </c>
      <c r="D122" s="22" t="str">
        <f>IF(Table1[[#This Row],[Nutrient]]="N/A","",Table1[[#This Row],[Nutrient]])</f>
        <v>ammonium</v>
      </c>
      <c r="E122" s="22">
        <f>IF(Table1[[#This Row],[Load (kg N, P/ha/yr)]]="N/A","",Table1[[#This Row],[Load (kg N, P/ha/yr)]])</f>
        <v>3.5</v>
      </c>
      <c r="F122" s="22">
        <f>IF(Table1[[#This Row],[Loss (kg N, P/ha/yr)]]="N/A","",Table1[[#This Row],[Loss (kg N, P/ha/yr)]])</f>
        <v>2.8</v>
      </c>
      <c r="G122" s="22">
        <f>IF(Table1[[#This Row],[Retention (kg N, P/ha/yr)]]="N/A","",Table1[[#This Row],[Retention (kg N, P/ha/yr)]])</f>
        <v>0.7</v>
      </c>
      <c r="H122" s="22">
        <f>IF(Table1[[#This Row],[Efficiency (%)]]="N/A","",Table1[[#This Row],[Efficiency (%)]])</f>
        <v>20</v>
      </c>
      <c r="I122" s="22" t="str">
        <f>IF(Table1[[#This Row],[Organic/Mineral Soil]]="N/A","",Table1[[#This Row],[Organic/Mineral Soil]])</f>
        <v>Mineral</v>
      </c>
      <c r="J122" s="22" t="str">
        <f>IF(Table1[[#This Row],[Vegetation type]]="N/A","",Table1[[#This Row],[Vegetation type]])</f>
        <v>Aerenchymous</v>
      </c>
      <c r="K122" s="22" t="str">
        <f>IF(Table1[[#This Row],[Reference]]="N/A","",Table1[[#This Row],[Reference]])</f>
        <v>Koskiaho et al 2003</v>
      </c>
      <c r="L122" s="22" t="str">
        <f>IF(Table1[[#This Row],[Main source/flow path in]]="N/A","",Table1[[#This Row],[Main source/flow path in]])</f>
        <v>River inundation</v>
      </c>
      <c r="M122" s="22" t="str">
        <f>IF(Table1[[#This Row],[Main source/flow path in (simple)]]="N/A","",Table1[[#This Row],[Main source/flow path in (simple)]])</f>
        <v>SWR</v>
      </c>
      <c r="N122" s="22" t="str">
        <f>IF(Table1[[#This Row],[Main flow paths in buffer]]="N/A","",Table1[[#This Row],[Main flow paths in buffer]])</f>
        <v>inundation from river =&gt; flow through wetland</v>
      </c>
      <c r="O122" s="22" t="str">
        <f>IF(Table1[[#This Row],[Inflow=&gt;Outflow]]="N/A","",Table1[[#This Row],[Inflow=&gt;Outflow]])</f>
        <v>SWR=&gt;SR</v>
      </c>
      <c r="P122" s="22">
        <f>IF(Table1[[#This Row],[Width '[m']]]="N/A","",Table1[[#This Row],[Width '[m']]])</f>
        <v>25</v>
      </c>
      <c r="Q122" s="22">
        <f>IF(Table1[[#This Row],[Area '[m²']]]="N/A","",Table1[[#This Row],[Area '[m²']]])</f>
        <v>600</v>
      </c>
      <c r="R122" s="22">
        <f>IF(Table1[[#This Row],[Qin '[m³/yr']]]="N/A","",Table1[[#This Row],[Qin '[m³/yr']]])</f>
        <v>204.35328000000004</v>
      </c>
      <c r="S122" s="22">
        <f>IF(Table1[[#This Row],[Catchment area '[ha']]]="N/A","",Table1[[#This Row],[Catchment area '[ha']]])</f>
        <v>12</v>
      </c>
      <c r="T122" s="22">
        <f>IF(Table1[[#This Row],[HLR '[mm']]]="N/A","",Table1[[#This Row],[HLR '[mm']]])</f>
        <v>340.58880000000011</v>
      </c>
    </row>
    <row r="123" spans="1:20" hidden="1" x14ac:dyDescent="0.3">
      <c r="A123" s="22" t="str">
        <f>IF(Table1[[#This Row],[Country]]="N/A","",Table1[[#This Row],[Country]])</f>
        <v>Finland</v>
      </c>
      <c r="B123" s="22" t="str">
        <f>IF(Table1[[#This Row],[Study site]]="N/A","",Table1[[#This Row],[Study site]])</f>
        <v>Hovi, SU</v>
      </c>
      <c r="C123" s="22" t="str">
        <f>IF(Table1[[#This Row],[WBZ-type]]="N/A","",Table1[[#This Row],[WBZ-type]])</f>
        <v>Floodplain</v>
      </c>
      <c r="D123" s="22" t="str">
        <f>IF(Table1[[#This Row],[Nutrient]]="N/A","",Table1[[#This Row],[Nutrient]])</f>
        <v>dissolved organic nitrogen</v>
      </c>
      <c r="E123" s="22">
        <f>IF(Table1[[#This Row],[Load (kg N, P/ha/yr)]]="N/A","",Table1[[#This Row],[Load (kg N, P/ha/yr)]])</f>
        <v>145.70634920634916</v>
      </c>
      <c r="F123" s="22">
        <f>IF(Table1[[#This Row],[Loss (kg N, P/ha/yr)]]="N/A","",Table1[[#This Row],[Loss (kg N, P/ha/yr)]])</f>
        <v>86.406349206349162</v>
      </c>
      <c r="G123" s="22">
        <f>IF(Table1[[#This Row],[Retention (kg N, P/ha/yr)]]="N/A","",Table1[[#This Row],[Retention (kg N, P/ha/yr)]])</f>
        <v>59.3</v>
      </c>
      <c r="H123" s="22">
        <f>IF(Table1[[#This Row],[Efficiency (%)]]="N/A","",Table1[[#This Row],[Efficiency (%)]])</f>
        <v>40.69829511411298</v>
      </c>
      <c r="I123" s="22" t="str">
        <f>IF(Table1[[#This Row],[Organic/Mineral Soil]]="N/A","",Table1[[#This Row],[Organic/Mineral Soil]])</f>
        <v>Mineral</v>
      </c>
      <c r="J123" s="22" t="str">
        <f>IF(Table1[[#This Row],[Vegetation type]]="N/A","",Table1[[#This Row],[Vegetation type]])</f>
        <v>Aerenchymous</v>
      </c>
      <c r="K123" s="22" t="str">
        <f>IF(Table1[[#This Row],[Reference]]="N/A","",Table1[[#This Row],[Reference]])</f>
        <v>Koskiaho et al 2003</v>
      </c>
      <c r="L123" s="22" t="str">
        <f>IF(Table1[[#This Row],[Main source/flow path in]]="N/A","",Table1[[#This Row],[Main source/flow path in]])</f>
        <v>River inundation</v>
      </c>
      <c r="M123" s="22" t="str">
        <f>IF(Table1[[#This Row],[Main source/flow path in (simple)]]="N/A","",Table1[[#This Row],[Main source/flow path in (simple)]])</f>
        <v>SWR</v>
      </c>
      <c r="N123" s="22" t="str">
        <f>IF(Table1[[#This Row],[Main flow paths in buffer]]="N/A","",Table1[[#This Row],[Main flow paths in buffer]])</f>
        <v>inundation from river =&gt; flow through wetland</v>
      </c>
      <c r="O123" s="22" t="str">
        <f>IF(Table1[[#This Row],[Inflow=&gt;Outflow]]="N/A","",Table1[[#This Row],[Inflow=&gt;Outflow]])</f>
        <v>SWR=&gt;SR</v>
      </c>
      <c r="P123" s="22">
        <f>IF(Table1[[#This Row],[Width '[m']]]="N/A","",Table1[[#This Row],[Width '[m']]])</f>
        <v>25</v>
      </c>
      <c r="Q123" s="22">
        <f>IF(Table1[[#This Row],[Area '[m²']]]="N/A","",Table1[[#This Row],[Area '[m²']]])</f>
        <v>600</v>
      </c>
      <c r="R123" s="22">
        <f>IF(Table1[[#This Row],[Qin '[m³/yr']]]="N/A","",Table1[[#This Row],[Qin '[m³/yr']]])</f>
        <v>204.35328000000004</v>
      </c>
      <c r="S123" s="22">
        <f>IF(Table1[[#This Row],[Catchment area '[ha']]]="N/A","",Table1[[#This Row],[Catchment area '[ha']]])</f>
        <v>0</v>
      </c>
      <c r="T123" s="22">
        <f>IF(Table1[[#This Row],[HLR '[mm']]]="N/A","",Table1[[#This Row],[HLR '[mm']]])</f>
        <v>0</v>
      </c>
    </row>
    <row r="124" spans="1:20" x14ac:dyDescent="0.3">
      <c r="A124" s="22" t="str">
        <f>IF(Table1[[#This Row],[Country]]="N/A","",Table1[[#This Row],[Country]])</f>
        <v>Finland</v>
      </c>
      <c r="B124" s="22" t="str">
        <f>IF(Table1[[#This Row],[Study site]]="N/A","",Table1[[#This Row],[Study site]])</f>
        <v>Hovi, SU</v>
      </c>
      <c r="C124" s="22" t="str">
        <f>IF(Table1[[#This Row],[WBZ-type]]="N/A","",Table1[[#This Row],[WBZ-type]])</f>
        <v>Floodplain</v>
      </c>
      <c r="D124" s="22" t="str">
        <f>IF(Table1[[#This Row],[Nutrient]]="N/A","",Table1[[#This Row],[Nutrient]])</f>
        <v>total nitrogen</v>
      </c>
      <c r="E124" s="22">
        <f>IF(Table1[[#This Row],[Load (kg N, P/ha/yr)]]="N/A","",Table1[[#This Row],[Load (kg N, P/ha/yr)]])</f>
        <v>777.77777777777771</v>
      </c>
      <c r="F124" s="22">
        <f>IF(Table1[[#This Row],[Loss (kg N, P/ha/yr)]]="N/A","",Table1[[#This Row],[Loss (kg N, P/ha/yr)]])</f>
        <v>497.77777777777771</v>
      </c>
      <c r="G124" s="22">
        <f>IF(Table1[[#This Row],[Retention (kg N, P/ha/yr)]]="N/A","",Table1[[#This Row],[Retention (kg N, P/ha/yr)]])</f>
        <v>280</v>
      </c>
      <c r="H124" s="22">
        <f>IF(Table1[[#This Row],[Efficiency (%)]]="N/A","",Table1[[#This Row],[Efficiency (%)]])</f>
        <v>36</v>
      </c>
      <c r="I124" s="22" t="str">
        <f>IF(Table1[[#This Row],[Organic/Mineral Soil]]="N/A","",Table1[[#This Row],[Organic/Mineral Soil]])</f>
        <v>Mineral</v>
      </c>
      <c r="J124" s="22" t="str">
        <f>IF(Table1[[#This Row],[Vegetation type]]="N/A","",Table1[[#This Row],[Vegetation type]])</f>
        <v>Aerenchymous</v>
      </c>
      <c r="K124" s="22" t="str">
        <f>IF(Table1[[#This Row],[Reference]]="N/A","",Table1[[#This Row],[Reference]])</f>
        <v>Koskiaho et al 2003</v>
      </c>
      <c r="L124" s="22" t="str">
        <f>IF(Table1[[#This Row],[Main source/flow path in]]="N/A","",Table1[[#This Row],[Main source/flow path in]])</f>
        <v>River inundation</v>
      </c>
      <c r="M124" s="22" t="str">
        <f>IF(Table1[[#This Row],[Main source/flow path in (simple)]]="N/A","",Table1[[#This Row],[Main source/flow path in (simple)]])</f>
        <v>SWR</v>
      </c>
      <c r="N124" s="22" t="str">
        <f>IF(Table1[[#This Row],[Main flow paths in buffer]]="N/A","",Table1[[#This Row],[Main flow paths in buffer]])</f>
        <v>inundation from river =&gt; flow through wetland</v>
      </c>
      <c r="O124" s="22" t="str">
        <f>IF(Table1[[#This Row],[Inflow=&gt;Outflow]]="N/A","",Table1[[#This Row],[Inflow=&gt;Outflow]])</f>
        <v>SWR=&gt;SR</v>
      </c>
      <c r="P124" s="22">
        <f>IF(Table1[[#This Row],[Width '[m']]]="N/A","",Table1[[#This Row],[Width '[m']]])</f>
        <v>25</v>
      </c>
      <c r="Q124" s="22">
        <f>IF(Table1[[#This Row],[Area '[m²']]]="N/A","",Table1[[#This Row],[Area '[m²']]])</f>
        <v>600</v>
      </c>
      <c r="R124" s="22">
        <f>IF(Table1[[#This Row],[Qin '[m³/yr']]]="N/A","",Table1[[#This Row],[Qin '[m³/yr']]])</f>
        <v>204.35328000000004</v>
      </c>
      <c r="S124" s="22">
        <f>IF(Table1[[#This Row],[Catchment area '[ha']]]="N/A","",Table1[[#This Row],[Catchment area '[ha']]])</f>
        <v>12</v>
      </c>
      <c r="T124" s="22">
        <f>IF(Table1[[#This Row],[HLR '[mm']]]="N/A","",Table1[[#This Row],[HLR '[mm']]])</f>
        <v>340.58880000000011</v>
      </c>
    </row>
    <row r="125" spans="1:20" hidden="1" x14ac:dyDescent="0.3">
      <c r="A125" s="22" t="str">
        <f>IF(Table1[[#This Row],[Country]]="N/A","",Table1[[#This Row],[Country]])</f>
        <v>Finland</v>
      </c>
      <c r="B125" s="22" t="str">
        <f>IF(Table1[[#This Row],[Study site]]="N/A","",Table1[[#This Row],[Study site]])</f>
        <v>Hovi, SU</v>
      </c>
      <c r="C125" s="22" t="str">
        <f>IF(Table1[[#This Row],[WBZ-type]]="N/A","",Table1[[#This Row],[WBZ-type]])</f>
        <v>Floodplain</v>
      </c>
      <c r="D125" s="22" t="str">
        <f>IF(Table1[[#This Row],[Nutrient]]="N/A","",Table1[[#This Row],[Nutrient]])</f>
        <v>SRP</v>
      </c>
      <c r="E125" s="22">
        <f>IF(Table1[[#This Row],[Load (kg N, P/ha/yr)]]="N/A","",Table1[[#This Row],[Load (kg N, P/ha/yr)]])</f>
        <v>4.4444444444444446</v>
      </c>
      <c r="F125" s="22">
        <f>IF(Table1[[#This Row],[Loss (kg N, P/ha/yr)]]="N/A","",Table1[[#This Row],[Loss (kg N, P/ha/yr)]])</f>
        <v>3.2444444444444445</v>
      </c>
      <c r="G125" s="22">
        <f>IF(Table1[[#This Row],[Retention (kg N, P/ha/yr)]]="N/A","",Table1[[#This Row],[Retention (kg N, P/ha/yr)]])</f>
        <v>1.2</v>
      </c>
      <c r="H125" s="22">
        <f>IF(Table1[[#This Row],[Efficiency (%)]]="N/A","",Table1[[#This Row],[Efficiency (%)]])</f>
        <v>27</v>
      </c>
      <c r="I125" s="22" t="str">
        <f>IF(Table1[[#This Row],[Organic/Mineral Soil]]="N/A","",Table1[[#This Row],[Organic/Mineral Soil]])</f>
        <v>Mineral</v>
      </c>
      <c r="J125" s="22" t="str">
        <f>IF(Table1[[#This Row],[Vegetation type]]="N/A","",Table1[[#This Row],[Vegetation type]])</f>
        <v>Aerenchymous</v>
      </c>
      <c r="K125" s="22" t="str">
        <f>IF(Table1[[#This Row],[Reference]]="N/A","",Table1[[#This Row],[Reference]])</f>
        <v>Koskiaho et al 2003</v>
      </c>
      <c r="L125" s="22" t="str">
        <f>IF(Table1[[#This Row],[Main source/flow path in]]="N/A","",Table1[[#This Row],[Main source/flow path in]])</f>
        <v>River inundation</v>
      </c>
      <c r="M125" s="22" t="str">
        <f>IF(Table1[[#This Row],[Main source/flow path in (simple)]]="N/A","",Table1[[#This Row],[Main source/flow path in (simple)]])</f>
        <v>SWR</v>
      </c>
      <c r="N125" s="22" t="str">
        <f>IF(Table1[[#This Row],[Main flow paths in buffer]]="N/A","",Table1[[#This Row],[Main flow paths in buffer]])</f>
        <v>inundation from river =&gt; flow through wetland</v>
      </c>
      <c r="O125" s="22" t="str">
        <f>IF(Table1[[#This Row],[Inflow=&gt;Outflow]]="N/A","",Table1[[#This Row],[Inflow=&gt;Outflow]])</f>
        <v>SWR=&gt;SR</v>
      </c>
      <c r="P125" s="22">
        <f>IF(Table1[[#This Row],[Width '[m']]]="N/A","",Table1[[#This Row],[Width '[m']]])</f>
        <v>25</v>
      </c>
      <c r="Q125" s="22">
        <f>IF(Table1[[#This Row],[Area '[m²']]]="N/A","",Table1[[#This Row],[Area '[m²']]])</f>
        <v>600</v>
      </c>
      <c r="R125" s="22">
        <f>IF(Table1[[#This Row],[Qin '[m³/yr']]]="N/A","",Table1[[#This Row],[Qin '[m³/yr']]])</f>
        <v>204.35328000000004</v>
      </c>
      <c r="S125" s="22">
        <f>IF(Table1[[#This Row],[Catchment area '[ha']]]="N/A","",Table1[[#This Row],[Catchment area '[ha']]])</f>
        <v>12</v>
      </c>
      <c r="T125" s="22">
        <f>IF(Table1[[#This Row],[HLR '[mm']]]="N/A","",Table1[[#This Row],[HLR '[mm']]])</f>
        <v>340.58880000000011</v>
      </c>
    </row>
    <row r="126" spans="1:20" hidden="1" x14ac:dyDescent="0.3">
      <c r="A126" s="22" t="str">
        <f>IF(Table1[[#This Row],[Country]]="N/A","",Table1[[#This Row],[Country]])</f>
        <v>Finland</v>
      </c>
      <c r="B126" s="22" t="str">
        <f>IF(Table1[[#This Row],[Study site]]="N/A","",Table1[[#This Row],[Study site]])</f>
        <v>Hovi, SU</v>
      </c>
      <c r="C126" s="22" t="str">
        <f>IF(Table1[[#This Row],[WBZ-type]]="N/A","",Table1[[#This Row],[WBZ-type]])</f>
        <v>Floodplain</v>
      </c>
      <c r="D126" s="22" t="str">
        <f>IF(Table1[[#This Row],[Nutrient]]="N/A","",Table1[[#This Row],[Nutrient]])</f>
        <v>total phosphorus</v>
      </c>
      <c r="E126" s="22">
        <f>IF(Table1[[#This Row],[Load (kg N, P/ha/yr)]]="N/A","",Table1[[#This Row],[Load (kg N, P/ha/yr)]])</f>
        <v>38.709677419354833</v>
      </c>
      <c r="F126" s="22">
        <f>IF(Table1[[#This Row],[Loss (kg N, P/ha/yr)]]="N/A","",Table1[[#This Row],[Loss (kg N, P/ha/yr)]])</f>
        <v>14.709677419354833</v>
      </c>
      <c r="G126" s="22">
        <f>IF(Table1[[#This Row],[Retention (kg N, P/ha/yr)]]="N/A","",Table1[[#This Row],[Retention (kg N, P/ha/yr)]])</f>
        <v>24</v>
      </c>
      <c r="H126" s="22">
        <f>IF(Table1[[#This Row],[Efficiency (%)]]="N/A","",Table1[[#This Row],[Efficiency (%)]])</f>
        <v>62</v>
      </c>
      <c r="I126" s="22" t="str">
        <f>IF(Table1[[#This Row],[Organic/Mineral Soil]]="N/A","",Table1[[#This Row],[Organic/Mineral Soil]])</f>
        <v>Mineral</v>
      </c>
      <c r="J126" s="22" t="str">
        <f>IF(Table1[[#This Row],[Vegetation type]]="N/A","",Table1[[#This Row],[Vegetation type]])</f>
        <v>Aerenchymous</v>
      </c>
      <c r="K126" s="22" t="str">
        <f>IF(Table1[[#This Row],[Reference]]="N/A","",Table1[[#This Row],[Reference]])</f>
        <v>Koskiaho et al 2003</v>
      </c>
      <c r="L126" s="22" t="str">
        <f>IF(Table1[[#This Row],[Main source/flow path in]]="N/A","",Table1[[#This Row],[Main source/flow path in]])</f>
        <v>River inundation</v>
      </c>
      <c r="M126" s="22" t="str">
        <f>IF(Table1[[#This Row],[Main source/flow path in (simple)]]="N/A","",Table1[[#This Row],[Main source/flow path in (simple)]])</f>
        <v>SWR</v>
      </c>
      <c r="N126" s="22" t="str">
        <f>IF(Table1[[#This Row],[Main flow paths in buffer]]="N/A","",Table1[[#This Row],[Main flow paths in buffer]])</f>
        <v>inundation from river =&gt; flow through wetland</v>
      </c>
      <c r="O126" s="22" t="str">
        <f>IF(Table1[[#This Row],[Inflow=&gt;Outflow]]="N/A","",Table1[[#This Row],[Inflow=&gt;Outflow]])</f>
        <v>SWR=&gt;SR</v>
      </c>
      <c r="P126" s="22">
        <f>IF(Table1[[#This Row],[Width '[m']]]="N/A","",Table1[[#This Row],[Width '[m']]])</f>
        <v>25</v>
      </c>
      <c r="Q126" s="22">
        <f>IF(Table1[[#This Row],[Area '[m²']]]="N/A","",Table1[[#This Row],[Area '[m²']]])</f>
        <v>600</v>
      </c>
      <c r="R126" s="22">
        <f>IF(Table1[[#This Row],[Qin '[m³/yr']]]="N/A","",Table1[[#This Row],[Qin '[m³/yr']]])</f>
        <v>204.35328000000004</v>
      </c>
      <c r="S126" s="22">
        <f>IF(Table1[[#This Row],[Catchment area '[ha']]]="N/A","",Table1[[#This Row],[Catchment area '[ha']]])</f>
        <v>12</v>
      </c>
      <c r="T126" s="22">
        <f>IF(Table1[[#This Row],[HLR '[mm']]]="N/A","",Table1[[#This Row],[HLR '[mm']]])</f>
        <v>340.58880000000011</v>
      </c>
    </row>
    <row r="127" spans="1:20" hidden="1" x14ac:dyDescent="0.3">
      <c r="A127" s="22" t="str">
        <f>IF(Table1[[#This Row],[Country]]="N/A","",Table1[[#This Row],[Country]])</f>
        <v>France</v>
      </c>
      <c r="B127" s="22" t="str">
        <f>IF(Table1[[#This Row],[Study site]]="N/A","",Table1[[#This Row],[Study site]])</f>
        <v>Garonne Valley, FR</v>
      </c>
      <c r="C127" s="22" t="str">
        <f>IF(Table1[[#This Row],[WBZ-type]]="N/A","",Table1[[#This Row],[WBZ-type]])</f>
        <v>Floodplain</v>
      </c>
      <c r="D127" s="22" t="str">
        <f>IF(Table1[[#This Row],[Nutrient]]="N/A","",Table1[[#This Row],[Nutrient]])</f>
        <v>nitrate</v>
      </c>
      <c r="E127" s="22">
        <f>IF(Table1[[#This Row],[Load (kg N, P/ha/yr)]]="N/A","",Table1[[#This Row],[Load (kg N, P/ha/yr)]])</f>
        <v>547.5</v>
      </c>
      <c r="F127" s="22">
        <f>IF(Table1[[#This Row],[Loss (kg N, P/ha/yr)]]="N/A","",Table1[[#This Row],[Loss (kg N, P/ha/yr)]])</f>
        <v>366.82499999999999</v>
      </c>
      <c r="G127" s="22">
        <f>IF(Table1[[#This Row],[Retention (kg N, P/ha/yr)]]="N/A","",Table1[[#This Row],[Retention (kg N, P/ha/yr)]])</f>
        <v>180.67500000000001</v>
      </c>
      <c r="H127" s="22">
        <f>IF(Table1[[#This Row],[Efficiency (%)]]="N/A","",Table1[[#This Row],[Efficiency (%)]])</f>
        <v>33</v>
      </c>
      <c r="I127" s="22" t="str">
        <f>IF(Table1[[#This Row],[Organic/Mineral Soil]]="N/A","",Table1[[#This Row],[Organic/Mineral Soil]])</f>
        <v>Mineral</v>
      </c>
      <c r="J127" s="22" t="str">
        <f>IF(Table1[[#This Row],[Vegetation type]]="N/A","",Table1[[#This Row],[Vegetation type]])</f>
        <v>Arboraceous, mixed</v>
      </c>
      <c r="K127" s="22" t="str">
        <f>IF(Table1[[#This Row],[Reference]]="N/A","",Table1[[#This Row],[Reference]])</f>
        <v>Mander et al., 1997; Pinay and Decamps, 1988</v>
      </c>
      <c r="L127" s="22" t="str">
        <f>IF(Table1[[#This Row],[Main source/flow path in]]="N/A","",Table1[[#This Row],[Main source/flow path in]])</f>
        <v>Groundwater</v>
      </c>
      <c r="M127" s="22" t="str">
        <f>IF(Table1[[#This Row],[Main source/flow path in (simple)]]="N/A","",Table1[[#This Row],[Main source/flow path in (simple)]])</f>
        <v>GW</v>
      </c>
      <c r="N127" s="22" t="str">
        <f>IF(Table1[[#This Row],[Main flow paths in buffer]]="N/A","",Table1[[#This Row],[Main flow paths in buffer]])</f>
        <v>Shallow lateral GW</v>
      </c>
      <c r="O127" s="22" t="str">
        <f>IF(Table1[[#This Row],[Inflow=&gt;Outflow]]="N/A","",Table1[[#This Row],[Inflow=&gt;Outflow]])</f>
        <v>GW=&gt;GW</v>
      </c>
      <c r="P127" s="22">
        <f>IF(Table1[[#This Row],[Width '[m']]]="N/A","",Table1[[#This Row],[Width '[m']]])</f>
        <v>130</v>
      </c>
      <c r="Q127" s="22">
        <f>IF(Table1[[#This Row],[Area '[m²']]]="N/A","",Table1[[#This Row],[Area '[m²']]])</f>
        <v>50000</v>
      </c>
      <c r="R127" s="22">
        <f>IF(Table1[[#This Row],[Qin '[m³/yr']]]="N/A","",Table1[[#This Row],[Qin '[m³/yr']]])</f>
        <v>109500</v>
      </c>
      <c r="S127" s="22" t="str">
        <f>IF(Table1[[#This Row],[Catchment area '[ha']]]="N/A","",Table1[[#This Row],[Catchment area '[ha']]])</f>
        <v/>
      </c>
      <c r="T127" s="22">
        <f>IF(Table1[[#This Row],[HLR '[mm']]]="N/A","",Table1[[#This Row],[HLR '[mm']]])</f>
        <v>2190</v>
      </c>
    </row>
    <row r="128" spans="1:20" hidden="1" x14ac:dyDescent="0.3">
      <c r="A128" s="22" t="str">
        <f>IF(Table1[[#This Row],[Country]]="N/A","",Table1[[#This Row],[Country]])</f>
        <v>Germany</v>
      </c>
      <c r="B128" s="22" t="str">
        <f>IF(Table1[[#This Row],[Study site]]="N/A","",Table1[[#This Row],[Study site]])</f>
        <v>Donaumoos, Area 1, Bayern, DE</v>
      </c>
      <c r="C128" s="22" t="str">
        <f>IF(Table1[[#This Row],[WBZ-type]]="N/A","",Table1[[#This Row],[WBZ-type]])</f>
        <v>Floodplain</v>
      </c>
      <c r="D128" s="22" t="str">
        <f>IF(Table1[[#This Row],[Nutrient]]="N/A","",Table1[[#This Row],[Nutrient]])</f>
        <v>nitrate</v>
      </c>
      <c r="E128" s="22">
        <f>IF(Table1[[#This Row],[Load (kg N, P/ha/yr)]]="N/A","",Table1[[#This Row],[Load (kg N, P/ha/yr)]])</f>
        <v>377.41935483870964</v>
      </c>
      <c r="F128" s="22">
        <f>IF(Table1[[#This Row],[Loss (kg N, P/ha/yr)]]="N/A","",Table1[[#This Row],[Loss (kg N, P/ha/yr)]])</f>
        <v>143.41935483870964</v>
      </c>
      <c r="G128" s="22">
        <f>IF(Table1[[#This Row],[Retention (kg N, P/ha/yr)]]="N/A","",Table1[[#This Row],[Retention (kg N, P/ha/yr)]])</f>
        <v>234</v>
      </c>
      <c r="H128" s="22">
        <f>IF(Table1[[#This Row],[Efficiency (%)]]="N/A","",Table1[[#This Row],[Efficiency (%)]])</f>
        <v>62</v>
      </c>
      <c r="I128" s="22" t="str">
        <f>IF(Table1[[#This Row],[Organic/Mineral Soil]]="N/A","",Table1[[#This Row],[Organic/Mineral Soil]])</f>
        <v>Organic</v>
      </c>
      <c r="J128" s="22" t="str">
        <f>IF(Table1[[#This Row],[Vegetation type]]="N/A","",Table1[[#This Row],[Vegetation type]])</f>
        <v>Aerenchymous</v>
      </c>
      <c r="K128" s="22" t="str">
        <f>IF(Table1[[#This Row],[Reference]]="N/A","",Table1[[#This Row],[Reference]])</f>
        <v>Lenz and Wild, 2001</v>
      </c>
      <c r="L128" s="22" t="str">
        <f>IF(Table1[[#This Row],[Main source/flow path in]]="N/A","",Table1[[#This Row],[Main source/flow path in]])</f>
        <v>River inundation and precipitation</v>
      </c>
      <c r="M128" s="22" t="str">
        <f>IF(Table1[[#This Row],[Main source/flow path in (simple)]]="N/A","",Table1[[#This Row],[Main source/flow path in (simple)]])</f>
        <v>SWR</v>
      </c>
      <c r="N128" s="22" t="str">
        <f>IF(Table1[[#This Row],[Main flow paths in buffer]]="N/A","",Table1[[#This Row],[Main flow paths in buffer]])</f>
        <v>Direct surface runoff</v>
      </c>
      <c r="O128" s="22" t="str">
        <f>IF(Table1[[#This Row],[Inflow=&gt;Outflow]]="N/A","",Table1[[#This Row],[Inflow=&gt;Outflow]])</f>
        <v>SWR=&gt;SR</v>
      </c>
      <c r="P128" s="22">
        <f>IF(Table1[[#This Row],[Width '[m']]]="N/A","",Table1[[#This Row],[Width '[m']]])</f>
        <v>65</v>
      </c>
      <c r="Q128" s="22">
        <f>IF(Table1[[#This Row],[Area '[m²']]]="N/A","",Table1[[#This Row],[Area '[m²']]])</f>
        <v>14000</v>
      </c>
      <c r="R128" s="22">
        <f>IF(Table1[[#This Row],[Qin '[m³/yr']]]="N/A","",Table1[[#This Row],[Qin '[m³/yr']]])</f>
        <v>153300</v>
      </c>
      <c r="S128" s="22" t="str">
        <f>IF(Table1[[#This Row],[Catchment area '[ha']]]="N/A","",Table1[[#This Row],[Catchment area '[ha']]])</f>
        <v/>
      </c>
      <c r="T128" s="22">
        <f>IF(Table1[[#This Row],[HLR '[mm']]]="N/A","",Table1[[#This Row],[HLR '[mm']]])</f>
        <v>10950</v>
      </c>
    </row>
    <row r="129" spans="1:20" hidden="1" x14ac:dyDescent="0.3">
      <c r="A129" s="22" t="str">
        <f>IF(Table1[[#This Row],[Country]]="N/A","",Table1[[#This Row],[Country]])</f>
        <v>Germany</v>
      </c>
      <c r="B129" s="22" t="str">
        <f>IF(Table1[[#This Row],[Study site]]="N/A","",Table1[[#This Row],[Study site]])</f>
        <v>Donaumoos, Area 1, Bayern, DE</v>
      </c>
      <c r="C129" s="22" t="str">
        <f>IF(Table1[[#This Row],[WBZ-type]]="N/A","",Table1[[#This Row],[WBZ-type]])</f>
        <v>Floodplain</v>
      </c>
      <c r="D129" s="22" t="str">
        <f>IF(Table1[[#This Row],[Nutrient]]="N/A","",Table1[[#This Row],[Nutrient]])</f>
        <v>ammonium</v>
      </c>
      <c r="E129" s="22">
        <f>IF(Table1[[#This Row],[Load (kg N, P/ha/yr)]]="N/A","",Table1[[#This Row],[Load (kg N, P/ha/yr)]])</f>
        <v>46.268656716417915</v>
      </c>
      <c r="F129" s="22">
        <f>IF(Table1[[#This Row],[Loss (kg N, P/ha/yr)]]="N/A","",Table1[[#This Row],[Loss (kg N, P/ha/yr)]])</f>
        <v>15.268656716417915</v>
      </c>
      <c r="G129" s="22">
        <f>IF(Table1[[#This Row],[Retention (kg N, P/ha/yr)]]="N/A","",Table1[[#This Row],[Retention (kg N, P/ha/yr)]])</f>
        <v>31</v>
      </c>
      <c r="H129" s="22">
        <f>IF(Table1[[#This Row],[Efficiency (%)]]="N/A","",Table1[[#This Row],[Efficiency (%)]])</f>
        <v>67</v>
      </c>
      <c r="I129" s="22" t="str">
        <f>IF(Table1[[#This Row],[Organic/Mineral Soil]]="N/A","",Table1[[#This Row],[Organic/Mineral Soil]])</f>
        <v>Organic</v>
      </c>
      <c r="J129" s="22" t="str">
        <f>IF(Table1[[#This Row],[Vegetation type]]="N/A","",Table1[[#This Row],[Vegetation type]])</f>
        <v>Aerenchymous</v>
      </c>
      <c r="K129" s="22" t="str">
        <f>IF(Table1[[#This Row],[Reference]]="N/A","",Table1[[#This Row],[Reference]])</f>
        <v>Lenz and Wild, 2001</v>
      </c>
      <c r="L129" s="22" t="str">
        <f>IF(Table1[[#This Row],[Main source/flow path in]]="N/A","",Table1[[#This Row],[Main source/flow path in]])</f>
        <v>River inundation and precipitation</v>
      </c>
      <c r="M129" s="22" t="str">
        <f>IF(Table1[[#This Row],[Main source/flow path in (simple)]]="N/A","",Table1[[#This Row],[Main source/flow path in (simple)]])</f>
        <v>SWR</v>
      </c>
      <c r="N129" s="22" t="str">
        <f>IF(Table1[[#This Row],[Main flow paths in buffer]]="N/A","",Table1[[#This Row],[Main flow paths in buffer]])</f>
        <v>Direct surface runoff</v>
      </c>
      <c r="O129" s="22" t="str">
        <f>IF(Table1[[#This Row],[Inflow=&gt;Outflow]]="N/A","",Table1[[#This Row],[Inflow=&gt;Outflow]])</f>
        <v>SWR=&gt;SR</v>
      </c>
      <c r="P129" s="22">
        <f>IF(Table1[[#This Row],[Width '[m']]]="N/A","",Table1[[#This Row],[Width '[m']]])</f>
        <v>65</v>
      </c>
      <c r="Q129" s="22">
        <f>IF(Table1[[#This Row],[Area '[m²']]]="N/A","",Table1[[#This Row],[Area '[m²']]])</f>
        <v>14000</v>
      </c>
      <c r="R129" s="22">
        <f>IF(Table1[[#This Row],[Qin '[m³/yr']]]="N/A","",Table1[[#This Row],[Qin '[m³/yr']]])</f>
        <v>153300</v>
      </c>
      <c r="S129" s="22" t="str">
        <f>IF(Table1[[#This Row],[Catchment area '[ha']]]="N/A","",Table1[[#This Row],[Catchment area '[ha']]])</f>
        <v/>
      </c>
      <c r="T129" s="22">
        <f>IF(Table1[[#This Row],[HLR '[mm']]]="N/A","",Table1[[#This Row],[HLR '[mm']]])</f>
        <v>10950</v>
      </c>
    </row>
    <row r="130" spans="1:20" hidden="1" x14ac:dyDescent="0.3">
      <c r="A130" s="22" t="str">
        <f>IF(Table1[[#This Row],[Country]]="N/A","",Table1[[#This Row],[Country]])</f>
        <v>Germany</v>
      </c>
      <c r="B130" s="22" t="str">
        <f>IF(Table1[[#This Row],[Study site]]="N/A","",Table1[[#This Row],[Study site]])</f>
        <v>Donaumoos, Area 1, Bayern, DE</v>
      </c>
      <c r="C130" s="22" t="str">
        <f>IF(Table1[[#This Row],[WBZ-type]]="N/A","",Table1[[#This Row],[WBZ-type]])</f>
        <v>Floodplain</v>
      </c>
      <c r="D130" s="22" t="str">
        <f>IF(Table1[[#This Row],[Nutrient]]="N/A","",Table1[[#This Row],[Nutrient]])</f>
        <v>dissolved organic nitrogen</v>
      </c>
      <c r="E130" s="22">
        <f>IF(Table1[[#This Row],[Load (kg N, P/ha/yr)]]="N/A","",Table1[[#This Row],[Load (kg N, P/ha/yr)]])</f>
        <v>507.2643693972534</v>
      </c>
      <c r="F130" s="22">
        <f>IF(Table1[[#This Row],[Loss (kg N, P/ha/yr)]]="N/A","",Table1[[#This Row],[Loss (kg N, P/ha/yr)]])</f>
        <v>381.2643693972534</v>
      </c>
      <c r="G130" s="22">
        <f>IF(Table1[[#This Row],[Retention (kg N, P/ha/yr)]]="N/A","",Table1[[#This Row],[Retention (kg N, P/ha/yr)]])</f>
        <v>126</v>
      </c>
      <c r="H130" s="22">
        <f>IF(Table1[[#This Row],[Efficiency (%)]]="N/A","",Table1[[#This Row],[Efficiency (%)]])</f>
        <v>24.839118929192079</v>
      </c>
      <c r="I130" s="22" t="str">
        <f>IF(Table1[[#This Row],[Organic/Mineral Soil]]="N/A","",Table1[[#This Row],[Organic/Mineral Soil]])</f>
        <v>Organic</v>
      </c>
      <c r="J130" s="22" t="str">
        <f>IF(Table1[[#This Row],[Vegetation type]]="N/A","",Table1[[#This Row],[Vegetation type]])</f>
        <v>Aerenchymous</v>
      </c>
      <c r="K130" s="22" t="str">
        <f>IF(Table1[[#This Row],[Reference]]="N/A","",Table1[[#This Row],[Reference]])</f>
        <v>Lenz and Wild, 2001</v>
      </c>
      <c r="L130" s="22" t="str">
        <f>IF(Table1[[#This Row],[Main source/flow path in]]="N/A","",Table1[[#This Row],[Main source/flow path in]])</f>
        <v>River inundation and precipitation</v>
      </c>
      <c r="M130" s="22" t="str">
        <f>IF(Table1[[#This Row],[Main source/flow path in (simple)]]="N/A","",Table1[[#This Row],[Main source/flow path in (simple)]])</f>
        <v>SWR</v>
      </c>
      <c r="N130" s="22" t="str">
        <f>IF(Table1[[#This Row],[Main flow paths in buffer]]="N/A","",Table1[[#This Row],[Main flow paths in buffer]])</f>
        <v>Direct surface runoff</v>
      </c>
      <c r="O130" s="22" t="str">
        <f>IF(Table1[[#This Row],[Inflow=&gt;Outflow]]="N/A","",Table1[[#This Row],[Inflow=&gt;Outflow]])</f>
        <v>SWR=&gt;SR</v>
      </c>
      <c r="P130" s="22">
        <f>IF(Table1[[#This Row],[Width '[m']]]="N/A","",Table1[[#This Row],[Width '[m']]])</f>
        <v>65</v>
      </c>
      <c r="Q130" s="22">
        <f>IF(Table1[[#This Row],[Area '[m²']]]="N/A","",Table1[[#This Row],[Area '[m²']]])</f>
        <v>14000</v>
      </c>
      <c r="R130" s="22">
        <f>IF(Table1[[#This Row],[Qin '[m³/yr']]]="N/A","",Table1[[#This Row],[Qin '[m³/yr']]])</f>
        <v>153300</v>
      </c>
      <c r="S130" s="22" t="str">
        <f>IF(Table1[[#This Row],[Catchment area '[ha']]]="N/A","",Table1[[#This Row],[Catchment area '[ha']]])</f>
        <v/>
      </c>
      <c r="T130" s="22">
        <f>IF(Table1[[#This Row],[HLR '[mm']]]="N/A","",Table1[[#This Row],[HLR '[mm']]])</f>
        <v>10950</v>
      </c>
    </row>
    <row r="131" spans="1:20" x14ac:dyDescent="0.3">
      <c r="A131" s="22" t="str">
        <f>IF(Table1[[#This Row],[Country]]="N/A","",Table1[[#This Row],[Country]])</f>
        <v>Germany</v>
      </c>
      <c r="B131" s="22" t="str">
        <f>IF(Table1[[#This Row],[Study site]]="N/A","",Table1[[#This Row],[Study site]])</f>
        <v>Donaumoos, Area 1, Bayern, DE</v>
      </c>
      <c r="C131" s="22" t="str">
        <f>IF(Table1[[#This Row],[WBZ-type]]="N/A","",Table1[[#This Row],[WBZ-type]])</f>
        <v>Floodplain</v>
      </c>
      <c r="D131" s="22" t="str">
        <f>IF(Table1[[#This Row],[Nutrient]]="N/A","",Table1[[#This Row],[Nutrient]])</f>
        <v>total nitrogen</v>
      </c>
      <c r="E131" s="22">
        <f>IF(Table1[[#This Row],[Load (kg N, P/ha/yr)]]="N/A","",Table1[[#This Row],[Load (kg N, P/ha/yr)]])</f>
        <v>930.95238095238096</v>
      </c>
      <c r="F131" s="22">
        <f>IF(Table1[[#This Row],[Loss (kg N, P/ha/yr)]]="N/A","",Table1[[#This Row],[Loss (kg N, P/ha/yr)]])</f>
        <v>539.95238095238096</v>
      </c>
      <c r="G131" s="22">
        <f>IF(Table1[[#This Row],[Retention (kg N, P/ha/yr)]]="N/A","",Table1[[#This Row],[Retention (kg N, P/ha/yr)]])</f>
        <v>391</v>
      </c>
      <c r="H131" s="22">
        <f>IF(Table1[[#This Row],[Efficiency (%)]]="N/A","",Table1[[#This Row],[Efficiency (%)]])</f>
        <v>42</v>
      </c>
      <c r="I131" s="22" t="str">
        <f>IF(Table1[[#This Row],[Organic/Mineral Soil]]="N/A","",Table1[[#This Row],[Organic/Mineral Soil]])</f>
        <v>Organic</v>
      </c>
      <c r="J131" s="22" t="str">
        <f>IF(Table1[[#This Row],[Vegetation type]]="N/A","",Table1[[#This Row],[Vegetation type]])</f>
        <v>Aerenchymous</v>
      </c>
      <c r="K131" s="22" t="str">
        <f>IF(Table1[[#This Row],[Reference]]="N/A","",Table1[[#This Row],[Reference]])</f>
        <v>Lenz and Wild, 2001</v>
      </c>
      <c r="L131" s="22" t="str">
        <f>IF(Table1[[#This Row],[Main source/flow path in]]="N/A","",Table1[[#This Row],[Main source/flow path in]])</f>
        <v>River inundation and precipitation</v>
      </c>
      <c r="M131" s="22" t="str">
        <f>IF(Table1[[#This Row],[Main source/flow path in (simple)]]="N/A","",Table1[[#This Row],[Main source/flow path in (simple)]])</f>
        <v>SWR</v>
      </c>
      <c r="N131" s="22" t="str">
        <f>IF(Table1[[#This Row],[Main flow paths in buffer]]="N/A","",Table1[[#This Row],[Main flow paths in buffer]])</f>
        <v>Direct surface runoff</v>
      </c>
      <c r="O131" s="22" t="str">
        <f>IF(Table1[[#This Row],[Inflow=&gt;Outflow]]="N/A","",Table1[[#This Row],[Inflow=&gt;Outflow]])</f>
        <v>SWR=&gt;SR</v>
      </c>
      <c r="P131" s="22">
        <f>IF(Table1[[#This Row],[Width '[m']]]="N/A","",Table1[[#This Row],[Width '[m']]])</f>
        <v>65</v>
      </c>
      <c r="Q131" s="22">
        <f>IF(Table1[[#This Row],[Area '[m²']]]="N/A","",Table1[[#This Row],[Area '[m²']]])</f>
        <v>14000</v>
      </c>
      <c r="R131" s="22">
        <f>IF(Table1[[#This Row],[Qin '[m³/yr']]]="N/A","",Table1[[#This Row],[Qin '[m³/yr']]])</f>
        <v>153300</v>
      </c>
      <c r="S131" s="22" t="str">
        <f>IF(Table1[[#This Row],[Catchment area '[ha']]]="N/A","",Table1[[#This Row],[Catchment area '[ha']]])</f>
        <v/>
      </c>
      <c r="T131" s="22">
        <f>IF(Table1[[#This Row],[HLR '[mm']]]="N/A","",Table1[[#This Row],[HLR '[mm']]])</f>
        <v>10950</v>
      </c>
    </row>
    <row r="132" spans="1:20" hidden="1" x14ac:dyDescent="0.3">
      <c r="A132" s="22" t="str">
        <f>IF(Table1[[#This Row],[Country]]="N/A","",Table1[[#This Row],[Country]])</f>
        <v>Germany</v>
      </c>
      <c r="B132" s="22" t="str">
        <f>IF(Table1[[#This Row],[Study site]]="N/A","",Table1[[#This Row],[Study site]])</f>
        <v>Donaumoos, Area 1, Bayern, DE</v>
      </c>
      <c r="C132" s="22" t="str">
        <f>IF(Table1[[#This Row],[WBZ-type]]="N/A","",Table1[[#This Row],[WBZ-type]])</f>
        <v>Floodplain</v>
      </c>
      <c r="D132" s="22" t="str">
        <f>IF(Table1[[#This Row],[Nutrient]]="N/A","",Table1[[#This Row],[Nutrient]])</f>
        <v>SRP</v>
      </c>
      <c r="E132" s="22">
        <f>IF(Table1[[#This Row],[Load (kg N, P/ha/yr)]]="N/A","",Table1[[#This Row],[Load (kg N, P/ha/yr)]])</f>
        <v>25.641025641025642</v>
      </c>
      <c r="F132" s="22">
        <f>IF(Table1[[#This Row],[Loss (kg N, P/ha/yr)]]="N/A","",Table1[[#This Row],[Loss (kg N, P/ha/yr)]])</f>
        <v>5.6410256410256423</v>
      </c>
      <c r="G132" s="22">
        <f>IF(Table1[[#This Row],[Retention (kg N, P/ha/yr)]]="N/A","",Table1[[#This Row],[Retention (kg N, P/ha/yr)]])</f>
        <v>20</v>
      </c>
      <c r="H132" s="22">
        <f>IF(Table1[[#This Row],[Efficiency (%)]]="N/A","",Table1[[#This Row],[Efficiency (%)]])</f>
        <v>78</v>
      </c>
      <c r="I132" s="22" t="str">
        <f>IF(Table1[[#This Row],[Organic/Mineral Soil]]="N/A","",Table1[[#This Row],[Organic/Mineral Soil]])</f>
        <v>Organic</v>
      </c>
      <c r="J132" s="22" t="str">
        <f>IF(Table1[[#This Row],[Vegetation type]]="N/A","",Table1[[#This Row],[Vegetation type]])</f>
        <v>Aerenchymous</v>
      </c>
      <c r="K132" s="22" t="str">
        <f>IF(Table1[[#This Row],[Reference]]="N/A","",Table1[[#This Row],[Reference]])</f>
        <v>Lenz and Wild, 2001</v>
      </c>
      <c r="L132" s="22" t="str">
        <f>IF(Table1[[#This Row],[Main source/flow path in]]="N/A","",Table1[[#This Row],[Main source/flow path in]])</f>
        <v>River inundation and precipitation</v>
      </c>
      <c r="M132" s="22" t="str">
        <f>IF(Table1[[#This Row],[Main source/flow path in (simple)]]="N/A","",Table1[[#This Row],[Main source/flow path in (simple)]])</f>
        <v>SWR</v>
      </c>
      <c r="N132" s="22" t="str">
        <f>IF(Table1[[#This Row],[Main flow paths in buffer]]="N/A","",Table1[[#This Row],[Main flow paths in buffer]])</f>
        <v>Direct surface runoff</v>
      </c>
      <c r="O132" s="22" t="str">
        <f>IF(Table1[[#This Row],[Inflow=&gt;Outflow]]="N/A","",Table1[[#This Row],[Inflow=&gt;Outflow]])</f>
        <v>SWR=&gt;SR</v>
      </c>
      <c r="P132" s="22">
        <f>IF(Table1[[#This Row],[Width '[m']]]="N/A","",Table1[[#This Row],[Width '[m']]])</f>
        <v>65</v>
      </c>
      <c r="Q132" s="22">
        <f>IF(Table1[[#This Row],[Area '[m²']]]="N/A","",Table1[[#This Row],[Area '[m²']]])</f>
        <v>14000</v>
      </c>
      <c r="R132" s="22">
        <f>IF(Table1[[#This Row],[Qin '[m³/yr']]]="N/A","",Table1[[#This Row],[Qin '[m³/yr']]])</f>
        <v>153300</v>
      </c>
      <c r="S132" s="22" t="str">
        <f>IF(Table1[[#This Row],[Catchment area '[ha']]]="N/A","",Table1[[#This Row],[Catchment area '[ha']]])</f>
        <v/>
      </c>
      <c r="T132" s="22">
        <f>IF(Table1[[#This Row],[HLR '[mm']]]="N/A","",Table1[[#This Row],[HLR '[mm']]])</f>
        <v>10950</v>
      </c>
    </row>
    <row r="133" spans="1:20" hidden="1" x14ac:dyDescent="0.3">
      <c r="A133" s="22" t="str">
        <f>IF(Table1[[#This Row],[Country]]="N/A","",Table1[[#This Row],[Country]])</f>
        <v>Germany</v>
      </c>
      <c r="B133" s="22" t="str">
        <f>IF(Table1[[#This Row],[Study site]]="N/A","",Table1[[#This Row],[Study site]])</f>
        <v>Donaumoos, Area 1, Bayern, DE</v>
      </c>
      <c r="C133" s="22" t="str">
        <f>IF(Table1[[#This Row],[WBZ-type]]="N/A","",Table1[[#This Row],[WBZ-type]])</f>
        <v>Floodplain</v>
      </c>
      <c r="D133" s="22" t="str">
        <f>IF(Table1[[#This Row],[Nutrient]]="N/A","",Table1[[#This Row],[Nutrient]])</f>
        <v>total phosphorus</v>
      </c>
      <c r="E133" s="22">
        <f>IF(Table1[[#This Row],[Load (kg N, P/ha/yr)]]="N/A","",Table1[[#This Row],[Load (kg N, P/ha/yr)]])</f>
        <v>33.783783783783782</v>
      </c>
      <c r="F133" s="22">
        <f>IF(Table1[[#This Row],[Loss (kg N, P/ha/yr)]]="N/A","",Table1[[#This Row],[Loss (kg N, P/ha/yr)]])</f>
        <v>8.7837837837837824</v>
      </c>
      <c r="G133" s="22">
        <f>IF(Table1[[#This Row],[Retention (kg N, P/ha/yr)]]="N/A","",Table1[[#This Row],[Retention (kg N, P/ha/yr)]])</f>
        <v>25</v>
      </c>
      <c r="H133" s="22">
        <f>IF(Table1[[#This Row],[Efficiency (%)]]="N/A","",Table1[[#This Row],[Efficiency (%)]])</f>
        <v>74</v>
      </c>
      <c r="I133" s="22" t="str">
        <f>IF(Table1[[#This Row],[Organic/Mineral Soil]]="N/A","",Table1[[#This Row],[Organic/Mineral Soil]])</f>
        <v>Organic</v>
      </c>
      <c r="J133" s="22" t="str">
        <f>IF(Table1[[#This Row],[Vegetation type]]="N/A","",Table1[[#This Row],[Vegetation type]])</f>
        <v>Aerenchymous</v>
      </c>
      <c r="K133" s="22" t="str">
        <f>IF(Table1[[#This Row],[Reference]]="N/A","",Table1[[#This Row],[Reference]])</f>
        <v>Lenz and Wild, 2001</v>
      </c>
      <c r="L133" s="22" t="str">
        <f>IF(Table1[[#This Row],[Main source/flow path in]]="N/A","",Table1[[#This Row],[Main source/flow path in]])</f>
        <v>River inundation and precipitation</v>
      </c>
      <c r="M133" s="22" t="str">
        <f>IF(Table1[[#This Row],[Main source/flow path in (simple)]]="N/A","",Table1[[#This Row],[Main source/flow path in (simple)]])</f>
        <v>SWR</v>
      </c>
      <c r="N133" s="22" t="str">
        <f>IF(Table1[[#This Row],[Main flow paths in buffer]]="N/A","",Table1[[#This Row],[Main flow paths in buffer]])</f>
        <v>Direct surface runoff</v>
      </c>
      <c r="O133" s="22" t="str">
        <f>IF(Table1[[#This Row],[Inflow=&gt;Outflow]]="N/A","",Table1[[#This Row],[Inflow=&gt;Outflow]])</f>
        <v>SWR=&gt;SR</v>
      </c>
      <c r="P133" s="22">
        <f>IF(Table1[[#This Row],[Width '[m']]]="N/A","",Table1[[#This Row],[Width '[m']]])</f>
        <v>65</v>
      </c>
      <c r="Q133" s="22">
        <f>IF(Table1[[#This Row],[Area '[m²']]]="N/A","",Table1[[#This Row],[Area '[m²']]])</f>
        <v>14000</v>
      </c>
      <c r="R133" s="22">
        <f>IF(Table1[[#This Row],[Qin '[m³/yr']]]="N/A","",Table1[[#This Row],[Qin '[m³/yr']]])</f>
        <v>153300</v>
      </c>
      <c r="S133" s="22" t="str">
        <f>IF(Table1[[#This Row],[Catchment area '[ha']]]="N/A","",Table1[[#This Row],[Catchment area '[ha']]])</f>
        <v/>
      </c>
      <c r="T133" s="22">
        <f>IF(Table1[[#This Row],[HLR '[mm']]]="N/A","",Table1[[#This Row],[HLR '[mm']]])</f>
        <v>10950</v>
      </c>
    </row>
    <row r="134" spans="1:20" hidden="1" x14ac:dyDescent="0.3">
      <c r="A134" s="22" t="str">
        <f>IF(Table1[[#This Row],[Country]]="N/A","",Table1[[#This Row],[Country]])</f>
        <v>Germany</v>
      </c>
      <c r="B134" s="22" t="str">
        <f>IF(Table1[[#This Row],[Study site]]="N/A","",Table1[[#This Row],[Study site]])</f>
        <v>Donaumoos, Area 2, Bayern, DE</v>
      </c>
      <c r="C134" s="22" t="str">
        <f>IF(Table1[[#This Row],[WBZ-type]]="N/A","",Table1[[#This Row],[WBZ-type]])</f>
        <v>Floodplain</v>
      </c>
      <c r="D134" s="22" t="str">
        <f>IF(Table1[[#This Row],[Nutrient]]="N/A","",Table1[[#This Row],[Nutrient]])</f>
        <v>nitrate</v>
      </c>
      <c r="E134" s="22">
        <f>IF(Table1[[#This Row],[Load (kg N, P/ha/yr)]]="N/A","",Table1[[#This Row],[Load (kg N, P/ha/yr)]])</f>
        <v>540.81632653061229</v>
      </c>
      <c r="F134" s="22">
        <f>IF(Table1[[#This Row],[Loss (kg N, P/ha/yr)]]="N/A","",Table1[[#This Row],[Loss (kg N, P/ha/yr)]])</f>
        <v>275.81632653061229</v>
      </c>
      <c r="G134" s="22">
        <f>IF(Table1[[#This Row],[Retention (kg N, P/ha/yr)]]="N/A","",Table1[[#This Row],[Retention (kg N, P/ha/yr)]])</f>
        <v>265</v>
      </c>
      <c r="H134" s="22">
        <f>IF(Table1[[#This Row],[Efficiency (%)]]="N/A","",Table1[[#This Row],[Efficiency (%)]])</f>
        <v>49</v>
      </c>
      <c r="I134" s="22" t="str">
        <f>IF(Table1[[#This Row],[Organic/Mineral Soil]]="N/A","",Table1[[#This Row],[Organic/Mineral Soil]])</f>
        <v>Organic</v>
      </c>
      <c r="J134" s="22" t="str">
        <f>IF(Table1[[#This Row],[Vegetation type]]="N/A","",Table1[[#This Row],[Vegetation type]])</f>
        <v>Aerenchymous</v>
      </c>
      <c r="K134" s="22" t="str">
        <f>IF(Table1[[#This Row],[Reference]]="N/A","",Table1[[#This Row],[Reference]])</f>
        <v>Lenz and Wild, 2001</v>
      </c>
      <c r="L134" s="22" t="str">
        <f>IF(Table1[[#This Row],[Main source/flow path in]]="N/A","",Table1[[#This Row],[Main source/flow path in]])</f>
        <v>River inundation and precipitation</v>
      </c>
      <c r="M134" s="22" t="str">
        <f>IF(Table1[[#This Row],[Main source/flow path in (simple)]]="N/A","",Table1[[#This Row],[Main source/flow path in (simple)]])</f>
        <v>SWR</v>
      </c>
      <c r="N134" s="22" t="str">
        <f>IF(Table1[[#This Row],[Main flow paths in buffer]]="N/A","",Table1[[#This Row],[Main flow paths in buffer]])</f>
        <v>Direct surface runoff</v>
      </c>
      <c r="O134" s="22" t="str">
        <f>IF(Table1[[#This Row],[Inflow=&gt;Outflow]]="N/A","",Table1[[#This Row],[Inflow=&gt;Outflow]])</f>
        <v>SWR=&gt;SR</v>
      </c>
      <c r="P134" s="22">
        <f>IF(Table1[[#This Row],[Width '[m']]]="N/A","",Table1[[#This Row],[Width '[m']]])</f>
        <v>85</v>
      </c>
      <c r="Q134" s="22">
        <f>IF(Table1[[#This Row],[Area '[m²']]]="N/A","",Table1[[#This Row],[Area '[m²']]])</f>
        <v>22000</v>
      </c>
      <c r="R134" s="22">
        <f>IF(Table1[[#This Row],[Qin '[m³/yr']]]="N/A","",Table1[[#This Row],[Qin '[m³/yr']]])</f>
        <v>289080</v>
      </c>
      <c r="S134" s="22" t="str">
        <f>IF(Table1[[#This Row],[Catchment area '[ha']]]="N/A","",Table1[[#This Row],[Catchment area '[ha']]])</f>
        <v/>
      </c>
      <c r="T134" s="22">
        <f>IF(Table1[[#This Row],[HLR '[mm']]]="N/A","",Table1[[#This Row],[HLR '[mm']]])</f>
        <v>13140</v>
      </c>
    </row>
    <row r="135" spans="1:20" hidden="1" x14ac:dyDescent="0.3">
      <c r="A135" s="22" t="str">
        <f>IF(Table1[[#This Row],[Country]]="N/A","",Table1[[#This Row],[Country]])</f>
        <v>Germany</v>
      </c>
      <c r="B135" s="22" t="str">
        <f>IF(Table1[[#This Row],[Study site]]="N/A","",Table1[[#This Row],[Study site]])</f>
        <v>Donaumoos, Area 2, Bayern, DE</v>
      </c>
      <c r="C135" s="22" t="str">
        <f>IF(Table1[[#This Row],[WBZ-type]]="N/A","",Table1[[#This Row],[WBZ-type]])</f>
        <v>Floodplain</v>
      </c>
      <c r="D135" s="22" t="str">
        <f>IF(Table1[[#This Row],[Nutrient]]="N/A","",Table1[[#This Row],[Nutrient]])</f>
        <v>ammonium</v>
      </c>
      <c r="E135" s="22">
        <f>IF(Table1[[#This Row],[Load (kg N, P/ha/yr)]]="N/A","",Table1[[#This Row],[Load (kg N, P/ha/yr)]])</f>
        <v>51.351351351351347</v>
      </c>
      <c r="F135" s="22">
        <f>IF(Table1[[#This Row],[Loss (kg N, P/ha/yr)]]="N/A","",Table1[[#This Row],[Loss (kg N, P/ha/yr)]])</f>
        <v>13.351351351351347</v>
      </c>
      <c r="G135" s="22">
        <f>IF(Table1[[#This Row],[Retention (kg N, P/ha/yr)]]="N/A","",Table1[[#This Row],[Retention (kg N, P/ha/yr)]])</f>
        <v>38</v>
      </c>
      <c r="H135" s="22">
        <f>IF(Table1[[#This Row],[Efficiency (%)]]="N/A","",Table1[[#This Row],[Efficiency (%)]])</f>
        <v>74</v>
      </c>
      <c r="I135" s="22" t="str">
        <f>IF(Table1[[#This Row],[Organic/Mineral Soil]]="N/A","",Table1[[#This Row],[Organic/Mineral Soil]])</f>
        <v>Organic</v>
      </c>
      <c r="J135" s="22" t="str">
        <f>IF(Table1[[#This Row],[Vegetation type]]="N/A","",Table1[[#This Row],[Vegetation type]])</f>
        <v>Aerenchymous</v>
      </c>
      <c r="K135" s="22" t="str">
        <f>IF(Table1[[#This Row],[Reference]]="N/A","",Table1[[#This Row],[Reference]])</f>
        <v>Lenz and Wild, 2001</v>
      </c>
      <c r="L135" s="22" t="str">
        <f>IF(Table1[[#This Row],[Main source/flow path in]]="N/A","",Table1[[#This Row],[Main source/flow path in]])</f>
        <v>River inundation and precipitation</v>
      </c>
      <c r="M135" s="22" t="str">
        <f>IF(Table1[[#This Row],[Main source/flow path in (simple)]]="N/A","",Table1[[#This Row],[Main source/flow path in (simple)]])</f>
        <v>SWR</v>
      </c>
      <c r="N135" s="22" t="str">
        <f>IF(Table1[[#This Row],[Main flow paths in buffer]]="N/A","",Table1[[#This Row],[Main flow paths in buffer]])</f>
        <v>Direct surface runoff</v>
      </c>
      <c r="O135" s="22" t="str">
        <f>IF(Table1[[#This Row],[Inflow=&gt;Outflow]]="N/A","",Table1[[#This Row],[Inflow=&gt;Outflow]])</f>
        <v>SWR=&gt;SR</v>
      </c>
      <c r="P135" s="22">
        <f>IF(Table1[[#This Row],[Width '[m']]]="N/A","",Table1[[#This Row],[Width '[m']]])</f>
        <v>85</v>
      </c>
      <c r="Q135" s="22">
        <f>IF(Table1[[#This Row],[Area '[m²']]]="N/A","",Table1[[#This Row],[Area '[m²']]])</f>
        <v>22000</v>
      </c>
      <c r="R135" s="22">
        <f>IF(Table1[[#This Row],[Qin '[m³/yr']]]="N/A","",Table1[[#This Row],[Qin '[m³/yr']]])</f>
        <v>289080</v>
      </c>
      <c r="S135" s="22" t="str">
        <f>IF(Table1[[#This Row],[Catchment area '[ha']]]="N/A","",Table1[[#This Row],[Catchment area '[ha']]])</f>
        <v/>
      </c>
      <c r="T135" s="22">
        <f>IF(Table1[[#This Row],[HLR '[mm']]]="N/A","",Table1[[#This Row],[HLR '[mm']]])</f>
        <v>13140</v>
      </c>
    </row>
    <row r="136" spans="1:20" hidden="1" x14ac:dyDescent="0.3">
      <c r="A136" s="22" t="str">
        <f>IF(Table1[[#This Row],[Country]]="N/A","",Table1[[#This Row],[Country]])</f>
        <v>Germany</v>
      </c>
      <c r="B136" s="22" t="str">
        <f>IF(Table1[[#This Row],[Study site]]="N/A","",Table1[[#This Row],[Study site]])</f>
        <v>Donaumoos, Area 2, Bayern, DE</v>
      </c>
      <c r="C136" s="22" t="str">
        <f>IF(Table1[[#This Row],[WBZ-type]]="N/A","",Table1[[#This Row],[WBZ-type]])</f>
        <v>Floodplain</v>
      </c>
      <c r="D136" s="22" t="str">
        <f>IF(Table1[[#This Row],[Nutrient]]="N/A","",Table1[[#This Row],[Nutrient]])</f>
        <v>dissolved organic nitrogen</v>
      </c>
      <c r="E136" s="22">
        <f>IF(Table1[[#This Row],[Load (kg N, P/ha/yr)]]="N/A","",Table1[[#This Row],[Load (kg N, P/ha/yr)]])</f>
        <v>741.97866358145086</v>
      </c>
      <c r="F136" s="22">
        <f>IF(Table1[[#This Row],[Loss (kg N, P/ha/yr)]]="N/A","",Table1[[#This Row],[Loss (kg N, P/ha/yr)]])</f>
        <v>497.97866358145086</v>
      </c>
      <c r="G136" s="22">
        <f>IF(Table1[[#This Row],[Retention (kg N, P/ha/yr)]]="N/A","",Table1[[#This Row],[Retention (kg N, P/ha/yr)]])</f>
        <v>244</v>
      </c>
      <c r="H136" s="22">
        <f>IF(Table1[[#This Row],[Efficiency (%)]]="N/A","",Table1[[#This Row],[Efficiency (%)]])</f>
        <v>32.885042653684728</v>
      </c>
      <c r="I136" s="22" t="str">
        <f>IF(Table1[[#This Row],[Organic/Mineral Soil]]="N/A","",Table1[[#This Row],[Organic/Mineral Soil]])</f>
        <v>Organic</v>
      </c>
      <c r="J136" s="22" t="str">
        <f>IF(Table1[[#This Row],[Vegetation type]]="N/A","",Table1[[#This Row],[Vegetation type]])</f>
        <v>Aerenchymous</v>
      </c>
      <c r="K136" s="22" t="str">
        <f>IF(Table1[[#This Row],[Reference]]="N/A","",Table1[[#This Row],[Reference]])</f>
        <v>Lenz and Wild, 2001</v>
      </c>
      <c r="L136" s="22" t="str">
        <f>IF(Table1[[#This Row],[Main source/flow path in]]="N/A","",Table1[[#This Row],[Main source/flow path in]])</f>
        <v>River inundation and precipitation</v>
      </c>
      <c r="M136" s="22" t="str">
        <f>IF(Table1[[#This Row],[Main source/flow path in (simple)]]="N/A","",Table1[[#This Row],[Main source/flow path in (simple)]])</f>
        <v>SWR</v>
      </c>
      <c r="N136" s="22" t="str">
        <f>IF(Table1[[#This Row],[Main flow paths in buffer]]="N/A","",Table1[[#This Row],[Main flow paths in buffer]])</f>
        <v>Direct surface runoff</v>
      </c>
      <c r="O136" s="22" t="str">
        <f>IF(Table1[[#This Row],[Inflow=&gt;Outflow]]="N/A","",Table1[[#This Row],[Inflow=&gt;Outflow]])</f>
        <v>SWR=&gt;SR</v>
      </c>
      <c r="P136" s="22">
        <f>IF(Table1[[#This Row],[Width '[m']]]="N/A","",Table1[[#This Row],[Width '[m']]])</f>
        <v>85</v>
      </c>
      <c r="Q136" s="22">
        <f>IF(Table1[[#This Row],[Area '[m²']]]="N/A","",Table1[[#This Row],[Area '[m²']]])</f>
        <v>22000</v>
      </c>
      <c r="R136" s="22">
        <f>IF(Table1[[#This Row],[Qin '[m³/yr']]]="N/A","",Table1[[#This Row],[Qin '[m³/yr']]])</f>
        <v>289080</v>
      </c>
      <c r="S136" s="22" t="str">
        <f>IF(Table1[[#This Row],[Catchment area '[ha']]]="N/A","",Table1[[#This Row],[Catchment area '[ha']]])</f>
        <v/>
      </c>
      <c r="T136" s="22">
        <f>IF(Table1[[#This Row],[HLR '[mm']]]="N/A","",Table1[[#This Row],[HLR '[mm']]])</f>
        <v>13140</v>
      </c>
    </row>
    <row r="137" spans="1:20" x14ac:dyDescent="0.3">
      <c r="A137" s="22" t="str">
        <f>IF(Table1[[#This Row],[Country]]="N/A","",Table1[[#This Row],[Country]])</f>
        <v>Germany</v>
      </c>
      <c r="B137" s="22" t="str">
        <f>IF(Table1[[#This Row],[Study site]]="N/A","",Table1[[#This Row],[Study site]])</f>
        <v>Donaumoos, Area 2, Bayern, DE</v>
      </c>
      <c r="C137" s="22" t="str">
        <f>IF(Table1[[#This Row],[WBZ-type]]="N/A","",Table1[[#This Row],[WBZ-type]])</f>
        <v>Floodplain</v>
      </c>
      <c r="D137" s="22" t="str">
        <f>IF(Table1[[#This Row],[Nutrient]]="N/A","",Table1[[#This Row],[Nutrient]])</f>
        <v>total nitrogen</v>
      </c>
      <c r="E137" s="22">
        <f>IF(Table1[[#This Row],[Load (kg N, P/ha/yr)]]="N/A","",Table1[[#This Row],[Load (kg N, P/ha/yr)]])</f>
        <v>1334.1463414634145</v>
      </c>
      <c r="F137" s="22">
        <f>IF(Table1[[#This Row],[Loss (kg N, P/ha/yr)]]="N/A","",Table1[[#This Row],[Loss (kg N, P/ha/yr)]])</f>
        <v>787.1463414634145</v>
      </c>
      <c r="G137" s="22">
        <f>IF(Table1[[#This Row],[Retention (kg N, P/ha/yr)]]="N/A","",Table1[[#This Row],[Retention (kg N, P/ha/yr)]])</f>
        <v>547</v>
      </c>
      <c r="H137" s="22">
        <f>IF(Table1[[#This Row],[Efficiency (%)]]="N/A","",Table1[[#This Row],[Efficiency (%)]])</f>
        <v>41</v>
      </c>
      <c r="I137" s="22" t="str">
        <f>IF(Table1[[#This Row],[Organic/Mineral Soil]]="N/A","",Table1[[#This Row],[Organic/Mineral Soil]])</f>
        <v>Organic</v>
      </c>
      <c r="J137" s="22" t="str">
        <f>IF(Table1[[#This Row],[Vegetation type]]="N/A","",Table1[[#This Row],[Vegetation type]])</f>
        <v>Aerenchymous</v>
      </c>
      <c r="K137" s="22" t="str">
        <f>IF(Table1[[#This Row],[Reference]]="N/A","",Table1[[#This Row],[Reference]])</f>
        <v>Lenz and Wild, 2001</v>
      </c>
      <c r="L137" s="22" t="str">
        <f>IF(Table1[[#This Row],[Main source/flow path in]]="N/A","",Table1[[#This Row],[Main source/flow path in]])</f>
        <v>River inundation and precipitation</v>
      </c>
      <c r="M137" s="22" t="str">
        <f>IF(Table1[[#This Row],[Main source/flow path in (simple)]]="N/A","",Table1[[#This Row],[Main source/flow path in (simple)]])</f>
        <v>SWR</v>
      </c>
      <c r="N137" s="22" t="str">
        <f>IF(Table1[[#This Row],[Main flow paths in buffer]]="N/A","",Table1[[#This Row],[Main flow paths in buffer]])</f>
        <v>Direct surface runoff</v>
      </c>
      <c r="O137" s="22" t="str">
        <f>IF(Table1[[#This Row],[Inflow=&gt;Outflow]]="N/A","",Table1[[#This Row],[Inflow=&gt;Outflow]])</f>
        <v>SWR=&gt;SR</v>
      </c>
      <c r="P137" s="22">
        <f>IF(Table1[[#This Row],[Width '[m']]]="N/A","",Table1[[#This Row],[Width '[m']]])</f>
        <v>85</v>
      </c>
      <c r="Q137" s="22">
        <f>IF(Table1[[#This Row],[Area '[m²']]]="N/A","",Table1[[#This Row],[Area '[m²']]])</f>
        <v>22000</v>
      </c>
      <c r="R137" s="22">
        <f>IF(Table1[[#This Row],[Qin '[m³/yr']]]="N/A","",Table1[[#This Row],[Qin '[m³/yr']]])</f>
        <v>289080</v>
      </c>
      <c r="S137" s="22" t="str">
        <f>IF(Table1[[#This Row],[Catchment area '[ha']]]="N/A","",Table1[[#This Row],[Catchment area '[ha']]])</f>
        <v/>
      </c>
      <c r="T137" s="22">
        <f>IF(Table1[[#This Row],[HLR '[mm']]]="N/A","",Table1[[#This Row],[HLR '[mm']]])</f>
        <v>13140</v>
      </c>
    </row>
    <row r="138" spans="1:20" hidden="1" x14ac:dyDescent="0.3">
      <c r="A138" s="22" t="str">
        <f>IF(Table1[[#This Row],[Country]]="N/A","",Table1[[#This Row],[Country]])</f>
        <v>Germany</v>
      </c>
      <c r="B138" s="22" t="str">
        <f>IF(Table1[[#This Row],[Study site]]="N/A","",Table1[[#This Row],[Study site]])</f>
        <v>Donaumoos, Area 2, Bayern, DE</v>
      </c>
      <c r="C138" s="22" t="str">
        <f>IF(Table1[[#This Row],[WBZ-type]]="N/A","",Table1[[#This Row],[WBZ-type]])</f>
        <v>Floodplain</v>
      </c>
      <c r="D138" s="22" t="str">
        <f>IF(Table1[[#This Row],[Nutrient]]="N/A","",Table1[[#This Row],[Nutrient]])</f>
        <v>SRP</v>
      </c>
      <c r="E138" s="22">
        <f>IF(Table1[[#This Row],[Load (kg N, P/ha/yr)]]="N/A","",Table1[[#This Row],[Load (kg N, P/ha/yr)]])</f>
        <v>21.333333333333332</v>
      </c>
      <c r="F138" s="22">
        <f>IF(Table1[[#This Row],[Loss (kg N, P/ha/yr)]]="N/A","",Table1[[#This Row],[Loss (kg N, P/ha/yr)]])</f>
        <v>5.3333333333333321</v>
      </c>
      <c r="G138" s="22">
        <f>IF(Table1[[#This Row],[Retention (kg N, P/ha/yr)]]="N/A","",Table1[[#This Row],[Retention (kg N, P/ha/yr)]])</f>
        <v>16</v>
      </c>
      <c r="H138" s="22">
        <f>IF(Table1[[#This Row],[Efficiency (%)]]="N/A","",Table1[[#This Row],[Efficiency (%)]])</f>
        <v>75</v>
      </c>
      <c r="I138" s="22" t="str">
        <f>IF(Table1[[#This Row],[Organic/Mineral Soil]]="N/A","",Table1[[#This Row],[Organic/Mineral Soil]])</f>
        <v>Organic</v>
      </c>
      <c r="J138" s="22" t="str">
        <f>IF(Table1[[#This Row],[Vegetation type]]="N/A","",Table1[[#This Row],[Vegetation type]])</f>
        <v>Aerenchymous</v>
      </c>
      <c r="K138" s="22" t="str">
        <f>IF(Table1[[#This Row],[Reference]]="N/A","",Table1[[#This Row],[Reference]])</f>
        <v>Lenz and Wild, 2001</v>
      </c>
      <c r="L138" s="22" t="str">
        <f>IF(Table1[[#This Row],[Main source/flow path in]]="N/A","",Table1[[#This Row],[Main source/flow path in]])</f>
        <v>River inundation and precipitation</v>
      </c>
      <c r="M138" s="22" t="str">
        <f>IF(Table1[[#This Row],[Main source/flow path in (simple)]]="N/A","",Table1[[#This Row],[Main source/flow path in (simple)]])</f>
        <v>SWR</v>
      </c>
      <c r="N138" s="22" t="str">
        <f>IF(Table1[[#This Row],[Main flow paths in buffer]]="N/A","",Table1[[#This Row],[Main flow paths in buffer]])</f>
        <v>Direct surface runoff</v>
      </c>
      <c r="O138" s="22" t="str">
        <f>IF(Table1[[#This Row],[Inflow=&gt;Outflow]]="N/A","",Table1[[#This Row],[Inflow=&gt;Outflow]])</f>
        <v>SWR=&gt;SR</v>
      </c>
      <c r="P138" s="22">
        <f>IF(Table1[[#This Row],[Width '[m']]]="N/A","",Table1[[#This Row],[Width '[m']]])</f>
        <v>85</v>
      </c>
      <c r="Q138" s="22">
        <f>IF(Table1[[#This Row],[Area '[m²']]]="N/A","",Table1[[#This Row],[Area '[m²']]])</f>
        <v>22000</v>
      </c>
      <c r="R138" s="22">
        <f>IF(Table1[[#This Row],[Qin '[m³/yr']]]="N/A","",Table1[[#This Row],[Qin '[m³/yr']]])</f>
        <v>289080</v>
      </c>
      <c r="S138" s="22" t="str">
        <f>IF(Table1[[#This Row],[Catchment area '[ha']]]="N/A","",Table1[[#This Row],[Catchment area '[ha']]])</f>
        <v/>
      </c>
      <c r="T138" s="22">
        <f>IF(Table1[[#This Row],[HLR '[mm']]]="N/A","",Table1[[#This Row],[HLR '[mm']]])</f>
        <v>13140</v>
      </c>
    </row>
    <row r="139" spans="1:20" hidden="1" x14ac:dyDescent="0.3">
      <c r="A139" s="22" t="str">
        <f>IF(Table1[[#This Row],[Country]]="N/A","",Table1[[#This Row],[Country]])</f>
        <v>Germany</v>
      </c>
      <c r="B139" s="22" t="str">
        <f>IF(Table1[[#This Row],[Study site]]="N/A","",Table1[[#This Row],[Study site]])</f>
        <v>Donaumoos, Area 2, Bayern, DE</v>
      </c>
      <c r="C139" s="22" t="str">
        <f>IF(Table1[[#This Row],[WBZ-type]]="N/A","",Table1[[#This Row],[WBZ-type]])</f>
        <v>Floodplain</v>
      </c>
      <c r="D139" s="22" t="str">
        <f>IF(Table1[[#This Row],[Nutrient]]="N/A","",Table1[[#This Row],[Nutrient]])</f>
        <v>total phosphorus</v>
      </c>
      <c r="E139" s="22">
        <f>IF(Table1[[#This Row],[Load (kg N, P/ha/yr)]]="N/A","",Table1[[#This Row],[Load (kg N, P/ha/yr)]])</f>
        <v>31.428571428571431</v>
      </c>
      <c r="F139" s="22">
        <f>IF(Table1[[#This Row],[Loss (kg N, P/ha/yr)]]="N/A","",Table1[[#This Row],[Loss (kg N, P/ha/yr)]])</f>
        <v>9.4285714285714306</v>
      </c>
      <c r="G139" s="22">
        <f>IF(Table1[[#This Row],[Retention (kg N, P/ha/yr)]]="N/A","",Table1[[#This Row],[Retention (kg N, P/ha/yr)]])</f>
        <v>22</v>
      </c>
      <c r="H139" s="22">
        <f>IF(Table1[[#This Row],[Efficiency (%)]]="N/A","",Table1[[#This Row],[Efficiency (%)]])</f>
        <v>70</v>
      </c>
      <c r="I139" s="22" t="str">
        <f>IF(Table1[[#This Row],[Organic/Mineral Soil]]="N/A","",Table1[[#This Row],[Organic/Mineral Soil]])</f>
        <v>Organic</v>
      </c>
      <c r="J139" s="22" t="str">
        <f>IF(Table1[[#This Row],[Vegetation type]]="N/A","",Table1[[#This Row],[Vegetation type]])</f>
        <v>Aerenchymous</v>
      </c>
      <c r="K139" s="22" t="str">
        <f>IF(Table1[[#This Row],[Reference]]="N/A","",Table1[[#This Row],[Reference]])</f>
        <v>Lenz and Wild, 2001</v>
      </c>
      <c r="L139" s="22" t="str">
        <f>IF(Table1[[#This Row],[Main source/flow path in]]="N/A","",Table1[[#This Row],[Main source/flow path in]])</f>
        <v>River inundation and precipitation</v>
      </c>
      <c r="M139" s="22" t="str">
        <f>IF(Table1[[#This Row],[Main source/flow path in (simple)]]="N/A","",Table1[[#This Row],[Main source/flow path in (simple)]])</f>
        <v>SWR</v>
      </c>
      <c r="N139" s="22" t="str">
        <f>IF(Table1[[#This Row],[Main flow paths in buffer]]="N/A","",Table1[[#This Row],[Main flow paths in buffer]])</f>
        <v>Direct surface runoff</v>
      </c>
      <c r="O139" s="22" t="str">
        <f>IF(Table1[[#This Row],[Inflow=&gt;Outflow]]="N/A","",Table1[[#This Row],[Inflow=&gt;Outflow]])</f>
        <v>SWR=&gt;SR</v>
      </c>
      <c r="P139" s="22">
        <f>IF(Table1[[#This Row],[Width '[m']]]="N/A","",Table1[[#This Row],[Width '[m']]])</f>
        <v>85</v>
      </c>
      <c r="Q139" s="22">
        <f>IF(Table1[[#This Row],[Area '[m²']]]="N/A","",Table1[[#This Row],[Area '[m²']]])</f>
        <v>22000</v>
      </c>
      <c r="R139" s="22">
        <f>IF(Table1[[#This Row],[Qin '[m³/yr']]]="N/A","",Table1[[#This Row],[Qin '[m³/yr']]])</f>
        <v>289080</v>
      </c>
      <c r="S139" s="22" t="str">
        <f>IF(Table1[[#This Row],[Catchment area '[ha']]]="N/A","",Table1[[#This Row],[Catchment area '[ha']]])</f>
        <v/>
      </c>
      <c r="T139" s="22">
        <f>IF(Table1[[#This Row],[HLR '[mm']]]="N/A","",Table1[[#This Row],[HLR '[mm']]])</f>
        <v>13140</v>
      </c>
    </row>
    <row r="140" spans="1:20" hidden="1" x14ac:dyDescent="0.3">
      <c r="A140" s="22" t="str">
        <f>IF(Table1[[#This Row],[Country]]="N/A","",Table1[[#This Row],[Country]])</f>
        <v>Germany</v>
      </c>
      <c r="B140" s="22" t="str">
        <f>IF(Table1[[#This Row],[Study site]]="N/A","",Table1[[#This Row],[Study site]])</f>
        <v>Donaumoos, Area 3, Bayern, DE</v>
      </c>
      <c r="C140" s="22" t="str">
        <f>IF(Table1[[#This Row],[WBZ-type]]="N/A","",Table1[[#This Row],[WBZ-type]])</f>
        <v>Floodplain</v>
      </c>
      <c r="D140" s="22" t="str">
        <f>IF(Table1[[#This Row],[Nutrient]]="N/A","",Table1[[#This Row],[Nutrient]])</f>
        <v>nitrate</v>
      </c>
      <c r="E140" s="22">
        <f>IF(Table1[[#This Row],[Load (kg N, P/ha/yr)]]="N/A","",Table1[[#This Row],[Load (kg N, P/ha/yr)]])</f>
        <v>234.61538461538461</v>
      </c>
      <c r="F140" s="22">
        <f>IF(Table1[[#This Row],[Loss (kg N, P/ha/yr)]]="N/A","",Table1[[#This Row],[Loss (kg N, P/ha/yr)]])</f>
        <v>173.61538461538461</v>
      </c>
      <c r="G140" s="22">
        <f>IF(Table1[[#This Row],[Retention (kg N, P/ha/yr)]]="N/A","",Table1[[#This Row],[Retention (kg N, P/ha/yr)]])</f>
        <v>61</v>
      </c>
      <c r="H140" s="22">
        <f>IF(Table1[[#This Row],[Efficiency (%)]]="N/A","",Table1[[#This Row],[Efficiency (%)]])</f>
        <v>26</v>
      </c>
      <c r="I140" s="22" t="str">
        <f>IF(Table1[[#This Row],[Organic/Mineral Soil]]="N/A","",Table1[[#This Row],[Organic/Mineral Soil]])</f>
        <v>Organic</v>
      </c>
      <c r="J140" s="22" t="str">
        <f>IF(Table1[[#This Row],[Vegetation type]]="N/A","",Table1[[#This Row],[Vegetation type]])</f>
        <v>Aerenchymous</v>
      </c>
      <c r="K140" s="22" t="str">
        <f>IF(Table1[[#This Row],[Reference]]="N/A","",Table1[[#This Row],[Reference]])</f>
        <v>Lenz and Wild, 2001</v>
      </c>
      <c r="L140" s="22" t="str">
        <f>IF(Table1[[#This Row],[Main source/flow path in]]="N/A","",Table1[[#This Row],[Main source/flow path in]])</f>
        <v>River inundation and precipitation</v>
      </c>
      <c r="M140" s="22" t="str">
        <f>IF(Table1[[#This Row],[Main source/flow path in (simple)]]="N/A","",Table1[[#This Row],[Main source/flow path in (simple)]])</f>
        <v>SWR</v>
      </c>
      <c r="N140" s="22" t="str">
        <f>IF(Table1[[#This Row],[Main flow paths in buffer]]="N/A","",Table1[[#This Row],[Main flow paths in buffer]])</f>
        <v>Direct surface runoff</v>
      </c>
      <c r="O140" s="22" t="str">
        <f>IF(Table1[[#This Row],[Inflow=&gt;Outflow]]="N/A","",Table1[[#This Row],[Inflow=&gt;Outflow]])</f>
        <v>SWR=&gt;SR</v>
      </c>
      <c r="P140" s="22">
        <f>IF(Table1[[#This Row],[Width '[m']]]="N/A","",Table1[[#This Row],[Width '[m']]])</f>
        <v>100</v>
      </c>
      <c r="Q140" s="22">
        <f>IF(Table1[[#This Row],[Area '[m²']]]="N/A","",Table1[[#This Row],[Area '[m²']]])</f>
        <v>26000</v>
      </c>
      <c r="R140" s="22">
        <f>IF(Table1[[#This Row],[Qin '[m³/yr']]]="N/A","",Table1[[#This Row],[Qin '[m³/yr']]])</f>
        <v>237250</v>
      </c>
      <c r="S140" s="22" t="str">
        <f>IF(Table1[[#This Row],[Catchment area '[ha']]]="N/A","",Table1[[#This Row],[Catchment area '[ha']]])</f>
        <v/>
      </c>
      <c r="T140" s="22">
        <f>IF(Table1[[#This Row],[HLR '[mm']]]="N/A","",Table1[[#This Row],[HLR '[mm']]])</f>
        <v>9125</v>
      </c>
    </row>
    <row r="141" spans="1:20" hidden="1" x14ac:dyDescent="0.3">
      <c r="A141" s="22" t="str">
        <f>IF(Table1[[#This Row],[Country]]="N/A","",Table1[[#This Row],[Country]])</f>
        <v>Germany</v>
      </c>
      <c r="B141" s="22" t="str">
        <f>IF(Table1[[#This Row],[Study site]]="N/A","",Table1[[#This Row],[Study site]])</f>
        <v>Donaumoos, Area 3, Bayern, DE</v>
      </c>
      <c r="C141" s="22" t="str">
        <f>IF(Table1[[#This Row],[WBZ-type]]="N/A","",Table1[[#This Row],[WBZ-type]])</f>
        <v>Floodplain</v>
      </c>
      <c r="D141" s="22" t="str">
        <f>IF(Table1[[#This Row],[Nutrient]]="N/A","",Table1[[#This Row],[Nutrient]])</f>
        <v>ammonium</v>
      </c>
      <c r="E141" s="22">
        <f>IF(Table1[[#This Row],[Load (kg N, P/ha/yr)]]="N/A","",Table1[[#This Row],[Load (kg N, P/ha/yr)]])</f>
        <v>10.810810810810811</v>
      </c>
      <c r="F141" s="22">
        <f>IF(Table1[[#This Row],[Loss (kg N, P/ha/yr)]]="N/A","",Table1[[#This Row],[Loss (kg N, P/ha/yr)]])</f>
        <v>14.810810810810811</v>
      </c>
      <c r="G141" s="22">
        <f>IF(Table1[[#This Row],[Retention (kg N, P/ha/yr)]]="N/A","",Table1[[#This Row],[Retention (kg N, P/ha/yr)]])</f>
        <v>-4</v>
      </c>
      <c r="H141" s="22">
        <f>IF(Table1[[#This Row],[Efficiency (%)]]="N/A","",Table1[[#This Row],[Efficiency (%)]])</f>
        <v>-37</v>
      </c>
      <c r="I141" s="22" t="str">
        <f>IF(Table1[[#This Row],[Organic/Mineral Soil]]="N/A","",Table1[[#This Row],[Organic/Mineral Soil]])</f>
        <v>Organic</v>
      </c>
      <c r="J141" s="22" t="str">
        <f>IF(Table1[[#This Row],[Vegetation type]]="N/A","",Table1[[#This Row],[Vegetation type]])</f>
        <v>Aerenchymous</v>
      </c>
      <c r="K141" s="22" t="str">
        <f>IF(Table1[[#This Row],[Reference]]="N/A","",Table1[[#This Row],[Reference]])</f>
        <v>Lenz and Wild, 2001</v>
      </c>
      <c r="L141" s="22" t="str">
        <f>IF(Table1[[#This Row],[Main source/flow path in]]="N/A","",Table1[[#This Row],[Main source/flow path in]])</f>
        <v>River inundation and precipitation</v>
      </c>
      <c r="M141" s="22" t="str">
        <f>IF(Table1[[#This Row],[Main source/flow path in (simple)]]="N/A","",Table1[[#This Row],[Main source/flow path in (simple)]])</f>
        <v>SWR</v>
      </c>
      <c r="N141" s="22" t="str">
        <f>IF(Table1[[#This Row],[Main flow paths in buffer]]="N/A","",Table1[[#This Row],[Main flow paths in buffer]])</f>
        <v>Direct surface runoff</v>
      </c>
      <c r="O141" s="22" t="str">
        <f>IF(Table1[[#This Row],[Inflow=&gt;Outflow]]="N/A","",Table1[[#This Row],[Inflow=&gt;Outflow]])</f>
        <v>SWR=&gt;SR</v>
      </c>
      <c r="P141" s="22">
        <f>IF(Table1[[#This Row],[Width '[m']]]="N/A","",Table1[[#This Row],[Width '[m']]])</f>
        <v>100</v>
      </c>
      <c r="Q141" s="22">
        <f>IF(Table1[[#This Row],[Area '[m²']]]="N/A","",Table1[[#This Row],[Area '[m²']]])</f>
        <v>26000</v>
      </c>
      <c r="R141" s="22">
        <f>IF(Table1[[#This Row],[Qin '[m³/yr']]]="N/A","",Table1[[#This Row],[Qin '[m³/yr']]])</f>
        <v>237250</v>
      </c>
      <c r="S141" s="22" t="str">
        <f>IF(Table1[[#This Row],[Catchment area '[ha']]]="N/A","",Table1[[#This Row],[Catchment area '[ha']]])</f>
        <v/>
      </c>
      <c r="T141" s="22">
        <f>IF(Table1[[#This Row],[HLR '[mm']]]="N/A","",Table1[[#This Row],[HLR '[mm']]])</f>
        <v>9125</v>
      </c>
    </row>
    <row r="142" spans="1:20" hidden="1" x14ac:dyDescent="0.3">
      <c r="A142" s="22" t="str">
        <f>IF(Table1[[#This Row],[Country]]="N/A","",Table1[[#This Row],[Country]])</f>
        <v>Germany</v>
      </c>
      <c r="B142" s="22" t="str">
        <f>IF(Table1[[#This Row],[Study site]]="N/A","",Table1[[#This Row],[Study site]])</f>
        <v>Donaumoos, Area 3, Bayern, DE</v>
      </c>
      <c r="C142" s="22" t="str">
        <f>IF(Table1[[#This Row],[WBZ-type]]="N/A","",Table1[[#This Row],[WBZ-type]])</f>
        <v>Floodplain</v>
      </c>
      <c r="D142" s="22" t="str">
        <f>IF(Table1[[#This Row],[Nutrient]]="N/A","",Table1[[#This Row],[Nutrient]])</f>
        <v>dissolved organic nitrogen</v>
      </c>
      <c r="E142" s="22">
        <f>IF(Table1[[#This Row],[Load (kg N, P/ha/yr)]]="N/A","",Table1[[#This Row],[Load (kg N, P/ha/yr)]])</f>
        <v>433.33333333333337</v>
      </c>
      <c r="F142" s="22">
        <f>IF(Table1[[#This Row],[Loss (kg N, P/ha/yr)]]="N/A","",Table1[[#This Row],[Loss (kg N, P/ha/yr)]])</f>
        <v>446.33333333333337</v>
      </c>
      <c r="G142" s="22">
        <f>IF(Table1[[#This Row],[Retention (kg N, P/ha/yr)]]="N/A","",Table1[[#This Row],[Retention (kg N, P/ha/yr)]])</f>
        <v>-13</v>
      </c>
      <c r="H142" s="22">
        <f>IF(Table1[[#This Row],[Efficiency (%)]]="N/A","",Table1[[#This Row],[Efficiency (%)]])</f>
        <v>-3</v>
      </c>
      <c r="I142" s="22" t="str">
        <f>IF(Table1[[#This Row],[Organic/Mineral Soil]]="N/A","",Table1[[#This Row],[Organic/Mineral Soil]])</f>
        <v>Organic</v>
      </c>
      <c r="J142" s="22" t="str">
        <f>IF(Table1[[#This Row],[Vegetation type]]="N/A","",Table1[[#This Row],[Vegetation type]])</f>
        <v>Aerenchymous</v>
      </c>
      <c r="K142" s="22" t="str">
        <f>IF(Table1[[#This Row],[Reference]]="N/A","",Table1[[#This Row],[Reference]])</f>
        <v>Lenz and Wild, 2001</v>
      </c>
      <c r="L142" s="22" t="str">
        <f>IF(Table1[[#This Row],[Main source/flow path in]]="N/A","",Table1[[#This Row],[Main source/flow path in]])</f>
        <v>River inundation and precipitation</v>
      </c>
      <c r="M142" s="22" t="str">
        <f>IF(Table1[[#This Row],[Main source/flow path in (simple)]]="N/A","",Table1[[#This Row],[Main source/flow path in (simple)]])</f>
        <v>SWR</v>
      </c>
      <c r="N142" s="22" t="str">
        <f>IF(Table1[[#This Row],[Main flow paths in buffer]]="N/A","",Table1[[#This Row],[Main flow paths in buffer]])</f>
        <v>Direct surface runoff</v>
      </c>
      <c r="O142" s="22" t="str">
        <f>IF(Table1[[#This Row],[Inflow=&gt;Outflow]]="N/A","",Table1[[#This Row],[Inflow=&gt;Outflow]])</f>
        <v>SWR=&gt;SR</v>
      </c>
      <c r="P142" s="22">
        <f>IF(Table1[[#This Row],[Width '[m']]]="N/A","",Table1[[#This Row],[Width '[m']]])</f>
        <v>100</v>
      </c>
      <c r="Q142" s="22">
        <f>IF(Table1[[#This Row],[Area '[m²']]]="N/A","",Table1[[#This Row],[Area '[m²']]])</f>
        <v>26000</v>
      </c>
      <c r="R142" s="22">
        <f>IF(Table1[[#This Row],[Qin '[m³/yr']]]="N/A","",Table1[[#This Row],[Qin '[m³/yr']]])</f>
        <v>237250</v>
      </c>
      <c r="S142" s="22" t="str">
        <f>IF(Table1[[#This Row],[Catchment area '[ha']]]="N/A","",Table1[[#This Row],[Catchment area '[ha']]])</f>
        <v/>
      </c>
      <c r="T142" s="22">
        <f>IF(Table1[[#This Row],[HLR '[mm']]]="N/A","",Table1[[#This Row],[HLR '[mm']]])</f>
        <v>9125</v>
      </c>
    </row>
    <row r="143" spans="1:20" x14ac:dyDescent="0.3">
      <c r="A143" s="22" t="str">
        <f>IF(Table1[[#This Row],[Country]]="N/A","",Table1[[#This Row],[Country]])</f>
        <v>Germany</v>
      </c>
      <c r="B143" s="22" t="str">
        <f>IF(Table1[[#This Row],[Study site]]="N/A","",Table1[[#This Row],[Study site]])</f>
        <v>Donaumoos, Area 3, Bayern, DE</v>
      </c>
      <c r="C143" s="22" t="str">
        <f>IF(Table1[[#This Row],[WBZ-type]]="N/A","",Table1[[#This Row],[WBZ-type]])</f>
        <v>Floodplain</v>
      </c>
      <c r="D143" s="22" t="str">
        <f>IF(Table1[[#This Row],[Nutrient]]="N/A","",Table1[[#This Row],[Nutrient]])</f>
        <v>total nitrogen</v>
      </c>
      <c r="E143" s="22">
        <f>IF(Table1[[#This Row],[Load (kg N, P/ha/yr)]]="N/A","",Table1[[#This Row],[Load (kg N, P/ha/yr)]])</f>
        <v>642.85714285714289</v>
      </c>
      <c r="F143" s="22">
        <f>IF(Table1[[#This Row],[Loss (kg N, P/ha/yr)]]="N/A","",Table1[[#This Row],[Loss (kg N, P/ha/yr)]])</f>
        <v>597.85714285714289</v>
      </c>
      <c r="G143" s="22">
        <f>IF(Table1[[#This Row],[Retention (kg N, P/ha/yr)]]="N/A","",Table1[[#This Row],[Retention (kg N, P/ha/yr)]])</f>
        <v>45</v>
      </c>
      <c r="H143" s="22">
        <f>IF(Table1[[#This Row],[Efficiency (%)]]="N/A","",Table1[[#This Row],[Efficiency (%)]])</f>
        <v>7</v>
      </c>
      <c r="I143" s="22" t="str">
        <f>IF(Table1[[#This Row],[Organic/Mineral Soil]]="N/A","",Table1[[#This Row],[Organic/Mineral Soil]])</f>
        <v>Organic</v>
      </c>
      <c r="J143" s="22" t="str">
        <f>IF(Table1[[#This Row],[Vegetation type]]="N/A","",Table1[[#This Row],[Vegetation type]])</f>
        <v>Aerenchymous</v>
      </c>
      <c r="K143" s="22" t="str">
        <f>IF(Table1[[#This Row],[Reference]]="N/A","",Table1[[#This Row],[Reference]])</f>
        <v>Lenz and Wild, 2001</v>
      </c>
      <c r="L143" s="22" t="str">
        <f>IF(Table1[[#This Row],[Main source/flow path in]]="N/A","",Table1[[#This Row],[Main source/flow path in]])</f>
        <v>River inundation and precipitation</v>
      </c>
      <c r="M143" s="22" t="str">
        <f>IF(Table1[[#This Row],[Main source/flow path in (simple)]]="N/A","",Table1[[#This Row],[Main source/flow path in (simple)]])</f>
        <v>SWR</v>
      </c>
      <c r="N143" s="22" t="str">
        <f>IF(Table1[[#This Row],[Main flow paths in buffer]]="N/A","",Table1[[#This Row],[Main flow paths in buffer]])</f>
        <v>Direct surface runoff</v>
      </c>
      <c r="O143" s="22" t="str">
        <f>IF(Table1[[#This Row],[Inflow=&gt;Outflow]]="N/A","",Table1[[#This Row],[Inflow=&gt;Outflow]])</f>
        <v>SWR=&gt;SR</v>
      </c>
      <c r="P143" s="22">
        <f>IF(Table1[[#This Row],[Width '[m']]]="N/A","",Table1[[#This Row],[Width '[m']]])</f>
        <v>100</v>
      </c>
      <c r="Q143" s="22">
        <f>IF(Table1[[#This Row],[Area '[m²']]]="N/A","",Table1[[#This Row],[Area '[m²']]])</f>
        <v>26000</v>
      </c>
      <c r="R143" s="22">
        <f>IF(Table1[[#This Row],[Qin '[m³/yr']]]="N/A","",Table1[[#This Row],[Qin '[m³/yr']]])</f>
        <v>237250</v>
      </c>
      <c r="S143" s="22" t="str">
        <f>IF(Table1[[#This Row],[Catchment area '[ha']]]="N/A","",Table1[[#This Row],[Catchment area '[ha']]])</f>
        <v/>
      </c>
      <c r="T143" s="22">
        <f>IF(Table1[[#This Row],[HLR '[mm']]]="N/A","",Table1[[#This Row],[HLR '[mm']]])</f>
        <v>9125</v>
      </c>
    </row>
    <row r="144" spans="1:20" hidden="1" x14ac:dyDescent="0.3">
      <c r="A144" s="22" t="str">
        <f>IF(Table1[[#This Row],[Country]]="N/A","",Table1[[#This Row],[Country]])</f>
        <v>Germany</v>
      </c>
      <c r="B144" s="22" t="str">
        <f>IF(Table1[[#This Row],[Study site]]="N/A","",Table1[[#This Row],[Study site]])</f>
        <v>Donaumoos, Area 3, Bayern, DE</v>
      </c>
      <c r="C144" s="22" t="str">
        <f>IF(Table1[[#This Row],[WBZ-type]]="N/A","",Table1[[#This Row],[WBZ-type]])</f>
        <v>Floodplain</v>
      </c>
      <c r="D144" s="22" t="str">
        <f>IF(Table1[[#This Row],[Nutrient]]="N/A","",Table1[[#This Row],[Nutrient]])</f>
        <v>SRP</v>
      </c>
      <c r="E144" s="22">
        <f>IF(Table1[[#This Row],[Load (kg N, P/ha/yr)]]="N/A","",Table1[[#This Row],[Load (kg N, P/ha/yr)]])</f>
        <v>0</v>
      </c>
      <c r="F144" s="22">
        <f>IF(Table1[[#This Row],[Loss (kg N, P/ha/yr)]]="N/A","",Table1[[#This Row],[Loss (kg N, P/ha/yr)]])</f>
        <v>0</v>
      </c>
      <c r="G144" s="22">
        <f>IF(Table1[[#This Row],[Retention (kg N, P/ha/yr)]]="N/A","",Table1[[#This Row],[Retention (kg N, P/ha/yr)]])</f>
        <v>0</v>
      </c>
      <c r="H144" s="22">
        <f>IF(Table1[[#This Row],[Efficiency (%)]]="N/A","",Table1[[#This Row],[Efficiency (%)]])</f>
        <v>7</v>
      </c>
      <c r="I144" s="22" t="str">
        <f>IF(Table1[[#This Row],[Organic/Mineral Soil]]="N/A","",Table1[[#This Row],[Organic/Mineral Soil]])</f>
        <v>Organic</v>
      </c>
      <c r="J144" s="22" t="str">
        <f>IF(Table1[[#This Row],[Vegetation type]]="N/A","",Table1[[#This Row],[Vegetation type]])</f>
        <v>Aerenchymous</v>
      </c>
      <c r="K144" s="22" t="str">
        <f>IF(Table1[[#This Row],[Reference]]="N/A","",Table1[[#This Row],[Reference]])</f>
        <v>Lenz and Wild, 2001</v>
      </c>
      <c r="L144" s="22" t="str">
        <f>IF(Table1[[#This Row],[Main source/flow path in]]="N/A","",Table1[[#This Row],[Main source/flow path in]])</f>
        <v>River inundation and precipitation</v>
      </c>
      <c r="M144" s="22" t="str">
        <f>IF(Table1[[#This Row],[Main source/flow path in (simple)]]="N/A","",Table1[[#This Row],[Main source/flow path in (simple)]])</f>
        <v>SWR</v>
      </c>
      <c r="N144" s="22" t="str">
        <f>IF(Table1[[#This Row],[Main flow paths in buffer]]="N/A","",Table1[[#This Row],[Main flow paths in buffer]])</f>
        <v>Direct surface runoff</v>
      </c>
      <c r="O144" s="22" t="str">
        <f>IF(Table1[[#This Row],[Inflow=&gt;Outflow]]="N/A","",Table1[[#This Row],[Inflow=&gt;Outflow]])</f>
        <v>SWR=&gt;SR</v>
      </c>
      <c r="P144" s="22">
        <f>IF(Table1[[#This Row],[Width '[m']]]="N/A","",Table1[[#This Row],[Width '[m']]])</f>
        <v>100</v>
      </c>
      <c r="Q144" s="22">
        <f>IF(Table1[[#This Row],[Area '[m²']]]="N/A","",Table1[[#This Row],[Area '[m²']]])</f>
        <v>26000</v>
      </c>
      <c r="R144" s="22">
        <f>IF(Table1[[#This Row],[Qin '[m³/yr']]]="N/A","",Table1[[#This Row],[Qin '[m³/yr']]])</f>
        <v>237250</v>
      </c>
      <c r="S144" s="22" t="str">
        <f>IF(Table1[[#This Row],[Catchment area '[ha']]]="N/A","",Table1[[#This Row],[Catchment area '[ha']]])</f>
        <v/>
      </c>
      <c r="T144" s="22">
        <f>IF(Table1[[#This Row],[HLR '[mm']]]="N/A","",Table1[[#This Row],[HLR '[mm']]])</f>
        <v>9125</v>
      </c>
    </row>
    <row r="145" spans="1:20" hidden="1" x14ac:dyDescent="0.3">
      <c r="A145" s="22" t="str">
        <f>IF(Table1[[#This Row],[Country]]="N/A","",Table1[[#This Row],[Country]])</f>
        <v>Germany</v>
      </c>
      <c r="B145" s="22" t="str">
        <f>IF(Table1[[#This Row],[Study site]]="N/A","",Table1[[#This Row],[Study site]])</f>
        <v>Donaumoos, Area 3, Bayern, DE</v>
      </c>
      <c r="C145" s="22" t="str">
        <f>IF(Table1[[#This Row],[WBZ-type]]="N/A","",Table1[[#This Row],[WBZ-type]])</f>
        <v>Floodplain</v>
      </c>
      <c r="D145" s="22" t="str">
        <f>IF(Table1[[#This Row],[Nutrient]]="N/A","",Table1[[#This Row],[Nutrient]])</f>
        <v>total phosphorus</v>
      </c>
      <c r="E145" s="22">
        <f>IF(Table1[[#This Row],[Load (kg N, P/ha/yr)]]="N/A","",Table1[[#This Row],[Load (kg N, P/ha/yr)]])</f>
        <v>9.0909090909090917</v>
      </c>
      <c r="F145" s="22">
        <f>IF(Table1[[#This Row],[Loss (kg N, P/ha/yr)]]="N/A","",Table1[[#This Row],[Loss (kg N, P/ha/yr)]])</f>
        <v>11.090909090909092</v>
      </c>
      <c r="G145" s="22">
        <f>IF(Table1[[#This Row],[Retention (kg N, P/ha/yr)]]="N/A","",Table1[[#This Row],[Retention (kg N, P/ha/yr)]])</f>
        <v>-2</v>
      </c>
      <c r="H145" s="22">
        <f>IF(Table1[[#This Row],[Efficiency (%)]]="N/A","",Table1[[#This Row],[Efficiency (%)]])</f>
        <v>-22</v>
      </c>
      <c r="I145" s="22" t="str">
        <f>IF(Table1[[#This Row],[Organic/Mineral Soil]]="N/A","",Table1[[#This Row],[Organic/Mineral Soil]])</f>
        <v>Organic</v>
      </c>
      <c r="J145" s="22" t="str">
        <f>IF(Table1[[#This Row],[Vegetation type]]="N/A","",Table1[[#This Row],[Vegetation type]])</f>
        <v>Aerenchymous</v>
      </c>
      <c r="K145" s="22" t="str">
        <f>IF(Table1[[#This Row],[Reference]]="N/A","",Table1[[#This Row],[Reference]])</f>
        <v>Lenz and Wild, 2001</v>
      </c>
      <c r="L145" s="22" t="str">
        <f>IF(Table1[[#This Row],[Main source/flow path in]]="N/A","",Table1[[#This Row],[Main source/flow path in]])</f>
        <v>River inundation and precipitation</v>
      </c>
      <c r="M145" s="22" t="str">
        <f>IF(Table1[[#This Row],[Main source/flow path in (simple)]]="N/A","",Table1[[#This Row],[Main source/flow path in (simple)]])</f>
        <v>SWR</v>
      </c>
      <c r="N145" s="22" t="str">
        <f>IF(Table1[[#This Row],[Main flow paths in buffer]]="N/A","",Table1[[#This Row],[Main flow paths in buffer]])</f>
        <v>Direct surface runoff</v>
      </c>
      <c r="O145" s="22" t="str">
        <f>IF(Table1[[#This Row],[Inflow=&gt;Outflow]]="N/A","",Table1[[#This Row],[Inflow=&gt;Outflow]])</f>
        <v>SWR=&gt;SR</v>
      </c>
      <c r="P145" s="22">
        <f>IF(Table1[[#This Row],[Width '[m']]]="N/A","",Table1[[#This Row],[Width '[m']]])</f>
        <v>100</v>
      </c>
      <c r="Q145" s="22">
        <f>IF(Table1[[#This Row],[Area '[m²']]]="N/A","",Table1[[#This Row],[Area '[m²']]])</f>
        <v>26000</v>
      </c>
      <c r="R145" s="22">
        <f>IF(Table1[[#This Row],[Qin '[m³/yr']]]="N/A","",Table1[[#This Row],[Qin '[m³/yr']]])</f>
        <v>237250</v>
      </c>
      <c r="S145" s="22" t="str">
        <f>IF(Table1[[#This Row],[Catchment area '[ha']]]="N/A","",Table1[[#This Row],[Catchment area '[ha']]])</f>
        <v/>
      </c>
      <c r="T145" s="22">
        <f>IF(Table1[[#This Row],[HLR '[mm']]]="N/A","",Table1[[#This Row],[HLR '[mm']]])</f>
        <v>9125</v>
      </c>
    </row>
    <row r="146" spans="1:20" x14ac:dyDescent="0.3">
      <c r="A146" s="22" t="str">
        <f>IF(Table1[[#This Row],[Country]]="N/A","",Table1[[#This Row],[Country]])</f>
        <v>Germany</v>
      </c>
      <c r="B146" s="22" t="str">
        <f>IF(Table1[[#This Row],[Study site]]="N/A","",Table1[[#This Row],[Study site]])</f>
        <v>Dummerstorf, DE</v>
      </c>
      <c r="C146" s="22" t="str">
        <f>IF(Table1[[#This Row],[WBZ-type]]="N/A","",Table1[[#This Row],[WBZ-type]])</f>
        <v>Rewetted Fen</v>
      </c>
      <c r="D146" s="22" t="str">
        <f>IF(Table1[[#This Row],[Nutrient]]="N/A","",Table1[[#This Row],[Nutrient]])</f>
        <v>total nitrogen</v>
      </c>
      <c r="E146" s="22">
        <f>IF(Table1[[#This Row],[Load (kg N, P/ha/yr)]]="N/A","",Table1[[#This Row],[Load (kg N, P/ha/yr)]])</f>
        <v>51.5</v>
      </c>
      <c r="F146" s="22">
        <f>IF(Table1[[#This Row],[Loss (kg N, P/ha/yr)]]="N/A","",Table1[[#This Row],[Loss (kg N, P/ha/yr)]])</f>
        <v>36.5</v>
      </c>
      <c r="G146" s="22">
        <f>IF(Table1[[#This Row],[Retention (kg N, P/ha/yr)]]="N/A","",Table1[[#This Row],[Retention (kg N, P/ha/yr)]])</f>
        <v>15</v>
      </c>
      <c r="H146" s="22">
        <f>IF(Table1[[#This Row],[Efficiency (%)]]="N/A","",Table1[[#This Row],[Efficiency (%)]])</f>
        <v>29.126213592233007</v>
      </c>
      <c r="I146" s="22" t="str">
        <f>IF(Table1[[#This Row],[Organic/Mineral Soil]]="N/A","",Table1[[#This Row],[Organic/Mineral Soil]])</f>
        <v>Organic</v>
      </c>
      <c r="J146" s="22" t="str">
        <f>IF(Table1[[#This Row],[Vegetation type]]="N/A","",Table1[[#This Row],[Vegetation type]])</f>
        <v>Herbaceous</v>
      </c>
      <c r="K146" s="22" t="str">
        <f>IF(Table1[[#This Row],[Reference]]="N/A","",Table1[[#This Row],[Reference]])</f>
        <v>Tiemeyer &amp; Kahle 2014</v>
      </c>
      <c r="L146" s="22" t="str">
        <f>IF(Table1[[#This Row],[Main source/flow path in]]="N/A","",Table1[[#This Row],[Main source/flow path in]])</f>
        <v>Groundwater</v>
      </c>
      <c r="M146" s="22" t="str">
        <f>IF(Table1[[#This Row],[Main source/flow path in (simple)]]="N/A","",Table1[[#This Row],[Main source/flow path in (simple)]])</f>
        <v>GW</v>
      </c>
      <c r="N146" s="22" t="str">
        <f>IF(Table1[[#This Row],[Main flow paths in buffer]]="N/A","",Table1[[#This Row],[Main flow paths in buffer]])</f>
        <v>GW exfiltration =&gt; surface flow in ditches</v>
      </c>
      <c r="O146" s="22" t="str">
        <f>IF(Table1[[#This Row],[Inflow=&gt;Outflow]]="N/A","",Table1[[#This Row],[Inflow=&gt;Outflow]])</f>
        <v>SWU=&gt;SR</v>
      </c>
      <c r="P146" s="22">
        <f>IF(Table1[[#This Row],[Width '[m']]]="N/A","",Table1[[#This Row],[Width '[m']]])</f>
        <v>250</v>
      </c>
      <c r="Q146" s="22">
        <f>IF(Table1[[#This Row],[Area '[m²']]]="N/A","",Table1[[#This Row],[Area '[m²']]])</f>
        <v>425000</v>
      </c>
      <c r="R146" s="22">
        <f>IF(Table1[[#This Row],[Qin '[m³/yr']]]="N/A","",Table1[[#This Row],[Qin '[m³/yr']]])</f>
        <v>191250</v>
      </c>
      <c r="S146" s="22">
        <f>IF(Table1[[#This Row],[Catchment area '[ha']]]="N/A","",Table1[[#This Row],[Catchment area '[ha']]])</f>
        <v>85</v>
      </c>
      <c r="T146" s="22">
        <f>IF(Table1[[#This Row],[HLR '[mm']]]="N/A","",Table1[[#This Row],[HLR '[mm']]])</f>
        <v>450</v>
      </c>
    </row>
    <row r="147" spans="1:20" hidden="1" x14ac:dyDescent="0.3">
      <c r="A147" s="22" t="str">
        <f>IF(Table1[[#This Row],[Country]]="N/A","",Table1[[#This Row],[Country]])</f>
        <v>Germany</v>
      </c>
      <c r="B147" s="22" t="str">
        <f>IF(Table1[[#This Row],[Study site]]="N/A","",Table1[[#This Row],[Study site]])</f>
        <v>Dummerstorf, DE</v>
      </c>
      <c r="C147" s="22" t="str">
        <f>IF(Table1[[#This Row],[WBZ-type]]="N/A","",Table1[[#This Row],[WBZ-type]])</f>
        <v>Rewetted Fen</v>
      </c>
      <c r="D147" s="22" t="str">
        <f>IF(Table1[[#This Row],[Nutrient]]="N/A","",Table1[[#This Row],[Nutrient]])</f>
        <v>nitrate</v>
      </c>
      <c r="E147" s="22">
        <f>IF(Table1[[#This Row],[Load (kg N, P/ha/yr)]]="N/A","",Table1[[#This Row],[Load (kg N, P/ha/yr)]])</f>
        <v>0</v>
      </c>
      <c r="F147" s="22">
        <f>IF(Table1[[#This Row],[Loss (kg N, P/ha/yr)]]="N/A","",Table1[[#This Row],[Loss (kg N, P/ha/yr)]])</f>
        <v>30.5</v>
      </c>
      <c r="G147" s="22">
        <f>IF(Table1[[#This Row],[Retention (kg N, P/ha/yr)]]="N/A","",Table1[[#This Row],[Retention (kg N, P/ha/yr)]])</f>
        <v>0</v>
      </c>
      <c r="H147" s="22">
        <f>IF(Table1[[#This Row],[Efficiency (%)]]="N/A","",Table1[[#This Row],[Efficiency (%)]])</f>
        <v>0</v>
      </c>
      <c r="I147" s="22" t="str">
        <f>IF(Table1[[#This Row],[Organic/Mineral Soil]]="N/A","",Table1[[#This Row],[Organic/Mineral Soil]])</f>
        <v>Organic</v>
      </c>
      <c r="J147" s="22" t="str">
        <f>IF(Table1[[#This Row],[Vegetation type]]="N/A","",Table1[[#This Row],[Vegetation type]])</f>
        <v>Herbaceous</v>
      </c>
      <c r="K147" s="22" t="str">
        <f>IF(Table1[[#This Row],[Reference]]="N/A","",Table1[[#This Row],[Reference]])</f>
        <v>Tiemeyer &amp; Kahle 2014</v>
      </c>
      <c r="L147" s="22" t="str">
        <f>IF(Table1[[#This Row],[Main source/flow path in]]="N/A","",Table1[[#This Row],[Main source/flow path in]])</f>
        <v>Groundwater</v>
      </c>
      <c r="M147" s="22" t="str">
        <f>IF(Table1[[#This Row],[Main source/flow path in (simple)]]="N/A","",Table1[[#This Row],[Main source/flow path in (simple)]])</f>
        <v>GW</v>
      </c>
      <c r="N147" s="22" t="str">
        <f>IF(Table1[[#This Row],[Main flow paths in buffer]]="N/A","",Table1[[#This Row],[Main flow paths in buffer]])</f>
        <v>GW exfiltration =&gt; surface flow in ditches</v>
      </c>
      <c r="O147" s="22" t="str">
        <f>IF(Table1[[#This Row],[Inflow=&gt;Outflow]]="N/A","",Table1[[#This Row],[Inflow=&gt;Outflow]])</f>
        <v>SWU=&gt;SR</v>
      </c>
      <c r="P147" s="22">
        <f>IF(Table1[[#This Row],[Width '[m']]]="N/A","",Table1[[#This Row],[Width '[m']]])</f>
        <v>250</v>
      </c>
      <c r="Q147" s="22">
        <f>IF(Table1[[#This Row],[Area '[m²']]]="N/A","",Table1[[#This Row],[Area '[m²']]])</f>
        <v>425000</v>
      </c>
      <c r="R147" s="22">
        <f>IF(Table1[[#This Row],[Qin '[m³/yr']]]="N/A","",Table1[[#This Row],[Qin '[m³/yr']]])</f>
        <v>191250</v>
      </c>
      <c r="S147" s="22">
        <f>IF(Table1[[#This Row],[Catchment area '[ha']]]="N/A","",Table1[[#This Row],[Catchment area '[ha']]])</f>
        <v>85</v>
      </c>
      <c r="T147" s="22">
        <f>IF(Table1[[#This Row],[HLR '[mm']]]="N/A","",Table1[[#This Row],[HLR '[mm']]])</f>
        <v>450</v>
      </c>
    </row>
    <row r="148" spans="1:20" hidden="1" x14ac:dyDescent="0.3">
      <c r="A148" s="22" t="str">
        <f>IF(Table1[[#This Row],[Country]]="N/A","",Table1[[#This Row],[Country]])</f>
        <v>Germany</v>
      </c>
      <c r="B148" s="22" t="str">
        <f>IF(Table1[[#This Row],[Study site]]="N/A","",Table1[[#This Row],[Study site]])</f>
        <v>Dummerstorf, DE</v>
      </c>
      <c r="C148" s="22" t="str">
        <f>IF(Table1[[#This Row],[WBZ-type]]="N/A","",Table1[[#This Row],[WBZ-type]])</f>
        <v>Rewetted Fen</v>
      </c>
      <c r="D148" s="22" t="str">
        <f>IF(Table1[[#This Row],[Nutrient]]="N/A","",Table1[[#This Row],[Nutrient]])</f>
        <v>dissolved organic nitrogen</v>
      </c>
      <c r="E148" s="22">
        <f>IF(Table1[[#This Row],[Load (kg N, P/ha/yr)]]="N/A","",Table1[[#This Row],[Load (kg N, P/ha/yr)]])</f>
        <v>0</v>
      </c>
      <c r="F148" s="22">
        <f>IF(Table1[[#This Row],[Loss (kg N, P/ha/yr)]]="N/A","",Table1[[#This Row],[Loss (kg N, P/ha/yr)]])</f>
        <v>6</v>
      </c>
      <c r="G148" s="22">
        <f>IF(Table1[[#This Row],[Retention (kg N, P/ha/yr)]]="N/A","",Table1[[#This Row],[Retention (kg N, P/ha/yr)]])</f>
        <v>0</v>
      </c>
      <c r="H148" s="22">
        <f>IF(Table1[[#This Row],[Efficiency (%)]]="N/A","",Table1[[#This Row],[Efficiency (%)]])</f>
        <v>0</v>
      </c>
      <c r="I148" s="22" t="str">
        <f>IF(Table1[[#This Row],[Organic/Mineral Soil]]="N/A","",Table1[[#This Row],[Organic/Mineral Soil]])</f>
        <v>Organic</v>
      </c>
      <c r="J148" s="22" t="str">
        <f>IF(Table1[[#This Row],[Vegetation type]]="N/A","",Table1[[#This Row],[Vegetation type]])</f>
        <v>Herbaceous</v>
      </c>
      <c r="K148" s="22" t="str">
        <f>IF(Table1[[#This Row],[Reference]]="N/A","",Table1[[#This Row],[Reference]])</f>
        <v>Tiemeyer &amp; Kahle 2014</v>
      </c>
      <c r="L148" s="22" t="str">
        <f>IF(Table1[[#This Row],[Main source/flow path in]]="N/A","",Table1[[#This Row],[Main source/flow path in]])</f>
        <v>Groundwater</v>
      </c>
      <c r="M148" s="22" t="str">
        <f>IF(Table1[[#This Row],[Main source/flow path in (simple)]]="N/A","",Table1[[#This Row],[Main source/flow path in (simple)]])</f>
        <v>GW</v>
      </c>
      <c r="N148" s="22" t="str">
        <f>IF(Table1[[#This Row],[Main flow paths in buffer]]="N/A","",Table1[[#This Row],[Main flow paths in buffer]])</f>
        <v>GW exfiltration =&gt; surface flow in ditches</v>
      </c>
      <c r="O148" s="22" t="str">
        <f>IF(Table1[[#This Row],[Inflow=&gt;Outflow]]="N/A","",Table1[[#This Row],[Inflow=&gt;Outflow]])</f>
        <v>SWU=&gt;SR</v>
      </c>
      <c r="P148" s="22">
        <f>IF(Table1[[#This Row],[Width '[m']]]="N/A","",Table1[[#This Row],[Width '[m']]])</f>
        <v>250</v>
      </c>
      <c r="Q148" s="22">
        <f>IF(Table1[[#This Row],[Area '[m²']]]="N/A","",Table1[[#This Row],[Area '[m²']]])</f>
        <v>425000</v>
      </c>
      <c r="R148" s="22">
        <f>IF(Table1[[#This Row],[Qin '[m³/yr']]]="N/A","",Table1[[#This Row],[Qin '[m³/yr']]])</f>
        <v>191250</v>
      </c>
      <c r="S148" s="22">
        <f>IF(Table1[[#This Row],[Catchment area '[ha']]]="N/A","",Table1[[#This Row],[Catchment area '[ha']]])</f>
        <v>85</v>
      </c>
      <c r="T148" s="22">
        <f>IF(Table1[[#This Row],[HLR '[mm']]]="N/A","",Table1[[#This Row],[HLR '[mm']]])</f>
        <v>450</v>
      </c>
    </row>
    <row r="149" spans="1:20" hidden="1" x14ac:dyDescent="0.3">
      <c r="A149" s="22" t="str">
        <f>IF(Table1[[#This Row],[Country]]="N/A","",Table1[[#This Row],[Country]])</f>
        <v>Germany</v>
      </c>
      <c r="B149" s="22" t="str">
        <f>IF(Table1[[#This Row],[Study site]]="N/A","",Table1[[#This Row],[Study site]])</f>
        <v>Pohnsdorfer Stauung Eastpolder, DE</v>
      </c>
      <c r="C149" s="22" t="str">
        <f>IF(Table1[[#This Row],[WBZ-type]]="N/A","",Table1[[#This Row],[WBZ-type]])</f>
        <v>Rewetted Fen</v>
      </c>
      <c r="D149" s="22" t="str">
        <f>IF(Table1[[#This Row],[Nutrient]]="N/A","",Table1[[#This Row],[Nutrient]])</f>
        <v>nitrate</v>
      </c>
      <c r="E149" s="22">
        <f>IF(Table1[[#This Row],[Load (kg N, P/ha/yr)]]="N/A","",Table1[[#This Row],[Load (kg N, P/ha/yr)]])</f>
        <v>366.66666666666669</v>
      </c>
      <c r="F149" s="22">
        <f>IF(Table1[[#This Row],[Loss (kg N, P/ha/yr)]]="N/A","",Table1[[#This Row],[Loss (kg N, P/ha/yr)]])</f>
        <v>265</v>
      </c>
      <c r="G149" s="22">
        <f>IF(Table1[[#This Row],[Retention (kg N, P/ha/yr)]]="N/A","",Table1[[#This Row],[Retention (kg N, P/ha/yr)]])</f>
        <v>101.66666666666667</v>
      </c>
      <c r="H149" s="22">
        <f>IF(Table1[[#This Row],[Efficiency (%)]]="N/A","",Table1[[#This Row],[Efficiency (%)]])</f>
        <v>27.727272727272727</v>
      </c>
      <c r="I149" s="22" t="str">
        <f>IF(Table1[[#This Row],[Organic/Mineral Soil]]="N/A","",Table1[[#This Row],[Organic/Mineral Soil]])</f>
        <v>Organic</v>
      </c>
      <c r="J149" s="22" t="str">
        <f>IF(Table1[[#This Row],[Vegetation type]]="N/A","",Table1[[#This Row],[Vegetation type]])</f>
        <v>Herbaceous</v>
      </c>
      <c r="K149" s="22" t="str">
        <f>IF(Table1[[#This Row],[Reference]]="N/A","",Table1[[#This Row],[Reference]])</f>
        <v>Kieckbusch und Schrautzer, 2007</v>
      </c>
      <c r="L149" s="22" t="str">
        <f>IF(Table1[[#This Row],[Main source/flow path in]]="N/A","",Table1[[#This Row],[Main source/flow path in]])</f>
        <v>River inundation and precipitation</v>
      </c>
      <c r="M149" s="22" t="str">
        <f>IF(Table1[[#This Row],[Main source/flow path in (simple)]]="N/A","",Table1[[#This Row],[Main source/flow path in (simple)]])</f>
        <v>SWR</v>
      </c>
      <c r="N149" s="22" t="str">
        <f>IF(Table1[[#This Row],[Main flow paths in buffer]]="N/A","",Table1[[#This Row],[Main flow paths in buffer]])</f>
        <v>Direct surface runoff</v>
      </c>
      <c r="O149" s="22" t="str">
        <f>IF(Table1[[#This Row],[Inflow=&gt;Outflow]]="N/A","",Table1[[#This Row],[Inflow=&gt;Outflow]])</f>
        <v>SWR=&gt;SR</v>
      </c>
      <c r="P149" s="22" t="str">
        <f>IF(Table1[[#This Row],[Width '[m']]]="N/A","",Table1[[#This Row],[Width '[m']]])</f>
        <v/>
      </c>
      <c r="Q149" s="22">
        <f>IF(Table1[[#This Row],[Area '[m²']]]="N/A","",Table1[[#This Row],[Area '[m²']]])</f>
        <v>400000</v>
      </c>
      <c r="R149" s="22" t="str">
        <f>IF(Table1[[#This Row],[Qin '[m³/yr']]]="N/A","",Table1[[#This Row],[Qin '[m³/yr']]])</f>
        <v/>
      </c>
      <c r="S149" s="22">
        <f>IF(Table1[[#This Row],[Catchment area '[ha']]]="N/A","",Table1[[#This Row],[Catchment area '[ha']]])</f>
        <v>3800</v>
      </c>
      <c r="T149" s="22" t="str">
        <f>IF(Table1[[#This Row],[HLR '[mm']]]="N/A","",Table1[[#This Row],[HLR '[mm']]])</f>
        <v/>
      </c>
    </row>
    <row r="150" spans="1:20" hidden="1" x14ac:dyDescent="0.3">
      <c r="A150" s="22" t="str">
        <f>IF(Table1[[#This Row],[Country]]="N/A","",Table1[[#This Row],[Country]])</f>
        <v>Germany</v>
      </c>
      <c r="B150" s="22" t="str">
        <f>IF(Table1[[#This Row],[Study site]]="N/A","",Table1[[#This Row],[Study site]])</f>
        <v>Pohnsdorfer Stauung Eastpolder, DE</v>
      </c>
      <c r="C150" s="22" t="str">
        <f>IF(Table1[[#This Row],[WBZ-type]]="N/A","",Table1[[#This Row],[WBZ-type]])</f>
        <v>Rewetted Fen</v>
      </c>
      <c r="D150" s="22" t="str">
        <f>IF(Table1[[#This Row],[Nutrient]]="N/A","",Table1[[#This Row],[Nutrient]])</f>
        <v>ammonium</v>
      </c>
      <c r="E150" s="22">
        <f>IF(Table1[[#This Row],[Load (kg N, P/ha/yr)]]="N/A","",Table1[[#This Row],[Load (kg N, P/ha/yr)]])</f>
        <v>22.666666666666668</v>
      </c>
      <c r="F150" s="22">
        <f>IF(Table1[[#This Row],[Loss (kg N, P/ha/yr)]]="N/A","",Table1[[#This Row],[Loss (kg N, P/ha/yr)]])</f>
        <v>20</v>
      </c>
      <c r="G150" s="22">
        <f>IF(Table1[[#This Row],[Retention (kg N, P/ha/yr)]]="N/A","",Table1[[#This Row],[Retention (kg N, P/ha/yr)]])</f>
        <v>2.6666666666666665</v>
      </c>
      <c r="H150" s="22">
        <f>IF(Table1[[#This Row],[Efficiency (%)]]="N/A","",Table1[[#This Row],[Efficiency (%)]])</f>
        <v>11.76470588235294</v>
      </c>
      <c r="I150" s="22" t="str">
        <f>IF(Table1[[#This Row],[Organic/Mineral Soil]]="N/A","",Table1[[#This Row],[Organic/Mineral Soil]])</f>
        <v>Organic</v>
      </c>
      <c r="J150" s="22" t="str">
        <f>IF(Table1[[#This Row],[Vegetation type]]="N/A","",Table1[[#This Row],[Vegetation type]])</f>
        <v>Herbaceous</v>
      </c>
      <c r="K150" s="22" t="str">
        <f>IF(Table1[[#This Row],[Reference]]="N/A","",Table1[[#This Row],[Reference]])</f>
        <v>Kieckbusch und Schrautzer, 2007</v>
      </c>
      <c r="L150" s="22" t="str">
        <f>IF(Table1[[#This Row],[Main source/flow path in]]="N/A","",Table1[[#This Row],[Main source/flow path in]])</f>
        <v>River inundation and precipitation</v>
      </c>
      <c r="M150" s="22" t="str">
        <f>IF(Table1[[#This Row],[Main source/flow path in (simple)]]="N/A","",Table1[[#This Row],[Main source/flow path in (simple)]])</f>
        <v>SWR</v>
      </c>
      <c r="N150" s="22" t="str">
        <f>IF(Table1[[#This Row],[Main flow paths in buffer]]="N/A","",Table1[[#This Row],[Main flow paths in buffer]])</f>
        <v>Direct surface runoff</v>
      </c>
      <c r="O150" s="22" t="str">
        <f>IF(Table1[[#This Row],[Inflow=&gt;Outflow]]="N/A","",Table1[[#This Row],[Inflow=&gt;Outflow]])</f>
        <v>SWR=&gt;SR</v>
      </c>
      <c r="P150" s="22" t="str">
        <f>IF(Table1[[#This Row],[Width '[m']]]="N/A","",Table1[[#This Row],[Width '[m']]])</f>
        <v/>
      </c>
      <c r="Q150" s="22">
        <f>IF(Table1[[#This Row],[Area '[m²']]]="N/A","",Table1[[#This Row],[Area '[m²']]])</f>
        <v>400000</v>
      </c>
      <c r="R150" s="22" t="str">
        <f>IF(Table1[[#This Row],[Qin '[m³/yr']]]="N/A","",Table1[[#This Row],[Qin '[m³/yr']]])</f>
        <v/>
      </c>
      <c r="S150" s="22">
        <f>IF(Table1[[#This Row],[Catchment area '[ha']]]="N/A","",Table1[[#This Row],[Catchment area '[ha']]])</f>
        <v>3800</v>
      </c>
      <c r="T150" s="22" t="str">
        <f>IF(Table1[[#This Row],[HLR '[mm']]]="N/A","",Table1[[#This Row],[HLR '[mm']]])</f>
        <v/>
      </c>
    </row>
    <row r="151" spans="1:20" hidden="1" x14ac:dyDescent="0.3">
      <c r="A151" s="22" t="str">
        <f>IF(Table1[[#This Row],[Country]]="N/A","",Table1[[#This Row],[Country]])</f>
        <v>Germany</v>
      </c>
      <c r="B151" s="22" t="str">
        <f>IF(Table1[[#This Row],[Study site]]="N/A","",Table1[[#This Row],[Study site]])</f>
        <v>Pohnsdorfer Stauung Eastpolder, DE</v>
      </c>
      <c r="C151" s="22" t="str">
        <f>IF(Table1[[#This Row],[WBZ-type]]="N/A","",Table1[[#This Row],[WBZ-type]])</f>
        <v>Rewetted Fen</v>
      </c>
      <c r="D151" s="22" t="str">
        <f>IF(Table1[[#This Row],[Nutrient]]="N/A","",Table1[[#This Row],[Nutrient]])</f>
        <v>dissolved organic nitrogen</v>
      </c>
      <c r="E151" s="22">
        <f>IF(Table1[[#This Row],[Load (kg N, P/ha/yr)]]="N/A","",Table1[[#This Row],[Load (kg N, P/ha/yr)]])</f>
        <v>121.66666666666664</v>
      </c>
      <c r="F151" s="22">
        <f>IF(Table1[[#This Row],[Loss (kg N, P/ha/yr)]]="N/A","",Table1[[#This Row],[Loss (kg N, P/ha/yr)]])</f>
        <v>180.33333333333331</v>
      </c>
      <c r="G151" s="22">
        <f>IF(Table1[[#This Row],[Retention (kg N, P/ha/yr)]]="N/A","",Table1[[#This Row],[Retention (kg N, P/ha/yr)]])</f>
        <v>-58.666666666666671</v>
      </c>
      <c r="H151" s="22">
        <f>IF(Table1[[#This Row],[Efficiency (%)]]="N/A","",Table1[[#This Row],[Efficiency (%)]])</f>
        <v>-48.219178082191796</v>
      </c>
      <c r="I151" s="22" t="str">
        <f>IF(Table1[[#This Row],[Organic/Mineral Soil]]="N/A","",Table1[[#This Row],[Organic/Mineral Soil]])</f>
        <v>Organic</v>
      </c>
      <c r="J151" s="22" t="str">
        <f>IF(Table1[[#This Row],[Vegetation type]]="N/A","",Table1[[#This Row],[Vegetation type]])</f>
        <v>Herbaceous</v>
      </c>
      <c r="K151" s="22" t="str">
        <f>IF(Table1[[#This Row],[Reference]]="N/A","",Table1[[#This Row],[Reference]])</f>
        <v>Kieckbusch und Schrautzer, 2007</v>
      </c>
      <c r="L151" s="22" t="str">
        <f>IF(Table1[[#This Row],[Main source/flow path in]]="N/A","",Table1[[#This Row],[Main source/flow path in]])</f>
        <v>River inundation and precipitation</v>
      </c>
      <c r="M151" s="22" t="str">
        <f>IF(Table1[[#This Row],[Main source/flow path in (simple)]]="N/A","",Table1[[#This Row],[Main source/flow path in (simple)]])</f>
        <v>SWR</v>
      </c>
      <c r="N151" s="22" t="str">
        <f>IF(Table1[[#This Row],[Main flow paths in buffer]]="N/A","",Table1[[#This Row],[Main flow paths in buffer]])</f>
        <v>Direct surface runoff</v>
      </c>
      <c r="O151" s="22" t="str">
        <f>IF(Table1[[#This Row],[Inflow=&gt;Outflow]]="N/A","",Table1[[#This Row],[Inflow=&gt;Outflow]])</f>
        <v>SWR=&gt;SR</v>
      </c>
      <c r="P151" s="22" t="str">
        <f>IF(Table1[[#This Row],[Width '[m']]]="N/A","",Table1[[#This Row],[Width '[m']]])</f>
        <v/>
      </c>
      <c r="Q151" s="22">
        <f>IF(Table1[[#This Row],[Area '[m²']]]="N/A","",Table1[[#This Row],[Area '[m²']]])</f>
        <v>400000</v>
      </c>
      <c r="R151" s="22" t="str">
        <f>IF(Table1[[#This Row],[Qin '[m³/yr']]]="N/A","",Table1[[#This Row],[Qin '[m³/yr']]])</f>
        <v/>
      </c>
      <c r="S151" s="22">
        <f>IF(Table1[[#This Row],[Catchment area '[ha']]]="N/A","",Table1[[#This Row],[Catchment area '[ha']]])</f>
        <v>3800</v>
      </c>
      <c r="T151" s="22" t="str">
        <f>IF(Table1[[#This Row],[HLR '[mm']]]="N/A","",Table1[[#This Row],[HLR '[mm']]])</f>
        <v/>
      </c>
    </row>
    <row r="152" spans="1:20" x14ac:dyDescent="0.3">
      <c r="A152" s="22" t="str">
        <f>IF(Table1[[#This Row],[Country]]="N/A","",Table1[[#This Row],[Country]])</f>
        <v>Germany</v>
      </c>
      <c r="B152" s="22" t="str">
        <f>IF(Table1[[#This Row],[Study site]]="N/A","",Table1[[#This Row],[Study site]])</f>
        <v>Pohnsdorfer Stauung Eastpolder, DE</v>
      </c>
      <c r="C152" s="22" t="str">
        <f>IF(Table1[[#This Row],[WBZ-type]]="N/A","",Table1[[#This Row],[WBZ-type]])</f>
        <v>Rewetted Fen</v>
      </c>
      <c r="D152" s="22" t="str">
        <f>IF(Table1[[#This Row],[Nutrient]]="N/A","",Table1[[#This Row],[Nutrient]])</f>
        <v>total nitrogen</v>
      </c>
      <c r="E152" s="22">
        <f>IF(Table1[[#This Row],[Load (kg N, P/ha/yr)]]="N/A","",Table1[[#This Row],[Load (kg N, P/ha/yr)]])</f>
        <v>511</v>
      </c>
      <c r="F152" s="22">
        <f>IF(Table1[[#This Row],[Loss (kg N, P/ha/yr)]]="N/A","",Table1[[#This Row],[Loss (kg N, P/ha/yr)]])</f>
        <v>465.33333333333331</v>
      </c>
      <c r="G152" s="22">
        <f>IF(Table1[[#This Row],[Retention (kg N, P/ha/yr)]]="N/A","",Table1[[#This Row],[Retention (kg N, P/ha/yr)]])</f>
        <v>45.666666666666664</v>
      </c>
      <c r="H152" s="22">
        <f>IF(Table1[[#This Row],[Efficiency (%)]]="N/A","",Table1[[#This Row],[Efficiency (%)]])</f>
        <v>8.9367253750815383</v>
      </c>
      <c r="I152" s="22" t="str">
        <f>IF(Table1[[#This Row],[Organic/Mineral Soil]]="N/A","",Table1[[#This Row],[Organic/Mineral Soil]])</f>
        <v>Organic</v>
      </c>
      <c r="J152" s="22" t="str">
        <f>IF(Table1[[#This Row],[Vegetation type]]="N/A","",Table1[[#This Row],[Vegetation type]])</f>
        <v>Herbaceous</v>
      </c>
      <c r="K152" s="22" t="str">
        <f>IF(Table1[[#This Row],[Reference]]="N/A","",Table1[[#This Row],[Reference]])</f>
        <v>Kieckbusch und Schrautzer, 2007</v>
      </c>
      <c r="L152" s="22" t="str">
        <f>IF(Table1[[#This Row],[Main source/flow path in]]="N/A","",Table1[[#This Row],[Main source/flow path in]])</f>
        <v>River inundation and precipitation</v>
      </c>
      <c r="M152" s="22" t="str">
        <f>IF(Table1[[#This Row],[Main source/flow path in (simple)]]="N/A","",Table1[[#This Row],[Main source/flow path in (simple)]])</f>
        <v>SWR</v>
      </c>
      <c r="N152" s="22" t="str">
        <f>IF(Table1[[#This Row],[Main flow paths in buffer]]="N/A","",Table1[[#This Row],[Main flow paths in buffer]])</f>
        <v>Direct surface runoff</v>
      </c>
      <c r="O152" s="22" t="str">
        <f>IF(Table1[[#This Row],[Inflow=&gt;Outflow]]="N/A","",Table1[[#This Row],[Inflow=&gt;Outflow]])</f>
        <v>SWR=&gt;SR</v>
      </c>
      <c r="P152" s="22" t="str">
        <f>IF(Table1[[#This Row],[Width '[m']]]="N/A","",Table1[[#This Row],[Width '[m']]])</f>
        <v/>
      </c>
      <c r="Q152" s="22">
        <f>IF(Table1[[#This Row],[Area '[m²']]]="N/A","",Table1[[#This Row],[Area '[m²']]])</f>
        <v>400000</v>
      </c>
      <c r="R152" s="22" t="str">
        <f>IF(Table1[[#This Row],[Qin '[m³/yr']]]="N/A","",Table1[[#This Row],[Qin '[m³/yr']]])</f>
        <v/>
      </c>
      <c r="S152" s="22">
        <f>IF(Table1[[#This Row],[Catchment area '[ha']]]="N/A","",Table1[[#This Row],[Catchment area '[ha']]])</f>
        <v>3800</v>
      </c>
      <c r="T152" s="22" t="str">
        <f>IF(Table1[[#This Row],[HLR '[mm']]]="N/A","",Table1[[#This Row],[HLR '[mm']]])</f>
        <v/>
      </c>
    </row>
    <row r="153" spans="1:20" hidden="1" x14ac:dyDescent="0.3">
      <c r="A153" s="22" t="str">
        <f>IF(Table1[[#This Row],[Country]]="N/A","",Table1[[#This Row],[Country]])</f>
        <v>Germany</v>
      </c>
      <c r="B153" s="22" t="str">
        <f>IF(Table1[[#This Row],[Study site]]="N/A","",Table1[[#This Row],[Study site]])</f>
        <v>Pohnsdorfer Stauung Eastpolder, DE</v>
      </c>
      <c r="C153" s="22" t="str">
        <f>IF(Table1[[#This Row],[WBZ-type]]="N/A","",Table1[[#This Row],[WBZ-type]])</f>
        <v>Rewetted Fen</v>
      </c>
      <c r="D153" s="22" t="str">
        <f>IF(Table1[[#This Row],[Nutrient]]="N/A","",Table1[[#This Row],[Nutrient]])</f>
        <v>SRP</v>
      </c>
      <c r="E153" s="22">
        <f>IF(Table1[[#This Row],[Load (kg N, P/ha/yr)]]="N/A","",Table1[[#This Row],[Load (kg N, P/ha/yr)]])</f>
        <v>7</v>
      </c>
      <c r="F153" s="22">
        <f>IF(Table1[[#This Row],[Loss (kg N, P/ha/yr)]]="N/A","",Table1[[#This Row],[Loss (kg N, P/ha/yr)]])</f>
        <v>15.333333333333334</v>
      </c>
      <c r="G153" s="22">
        <f>IF(Table1[[#This Row],[Retention (kg N, P/ha/yr)]]="N/A","",Table1[[#This Row],[Retention (kg N, P/ha/yr)]])</f>
        <v>-8.3333333333333339</v>
      </c>
      <c r="H153" s="22">
        <f>IF(Table1[[#This Row],[Efficiency (%)]]="N/A","",Table1[[#This Row],[Efficiency (%)]])</f>
        <v>-119.04761904761905</v>
      </c>
      <c r="I153" s="22" t="str">
        <f>IF(Table1[[#This Row],[Organic/Mineral Soil]]="N/A","",Table1[[#This Row],[Organic/Mineral Soil]])</f>
        <v>Organic</v>
      </c>
      <c r="J153" s="22" t="str">
        <f>IF(Table1[[#This Row],[Vegetation type]]="N/A","",Table1[[#This Row],[Vegetation type]])</f>
        <v>Herbaceous</v>
      </c>
      <c r="K153" s="22" t="str">
        <f>IF(Table1[[#This Row],[Reference]]="N/A","",Table1[[#This Row],[Reference]])</f>
        <v>Kieckbusch und Schrautzer, 2007</v>
      </c>
      <c r="L153" s="22" t="str">
        <f>IF(Table1[[#This Row],[Main source/flow path in]]="N/A","",Table1[[#This Row],[Main source/flow path in]])</f>
        <v>River inundation and precipitation</v>
      </c>
      <c r="M153" s="22" t="str">
        <f>IF(Table1[[#This Row],[Main source/flow path in (simple)]]="N/A","",Table1[[#This Row],[Main source/flow path in (simple)]])</f>
        <v>SWR</v>
      </c>
      <c r="N153" s="22" t="str">
        <f>IF(Table1[[#This Row],[Main flow paths in buffer]]="N/A","",Table1[[#This Row],[Main flow paths in buffer]])</f>
        <v>Direct surface runoff</v>
      </c>
      <c r="O153" s="22" t="str">
        <f>IF(Table1[[#This Row],[Inflow=&gt;Outflow]]="N/A","",Table1[[#This Row],[Inflow=&gt;Outflow]])</f>
        <v>SWR=&gt;SR</v>
      </c>
      <c r="P153" s="22" t="str">
        <f>IF(Table1[[#This Row],[Width '[m']]]="N/A","",Table1[[#This Row],[Width '[m']]])</f>
        <v/>
      </c>
      <c r="Q153" s="22">
        <f>IF(Table1[[#This Row],[Area '[m²']]]="N/A","",Table1[[#This Row],[Area '[m²']]])</f>
        <v>400000</v>
      </c>
      <c r="R153" s="22" t="str">
        <f>IF(Table1[[#This Row],[Qin '[m³/yr']]]="N/A","",Table1[[#This Row],[Qin '[m³/yr']]])</f>
        <v/>
      </c>
      <c r="S153" s="22">
        <f>IF(Table1[[#This Row],[Catchment area '[ha']]]="N/A","",Table1[[#This Row],[Catchment area '[ha']]])</f>
        <v>3800</v>
      </c>
      <c r="T153" s="22" t="str">
        <f>IF(Table1[[#This Row],[HLR '[mm']]]="N/A","",Table1[[#This Row],[HLR '[mm']]])</f>
        <v/>
      </c>
    </row>
    <row r="154" spans="1:20" hidden="1" x14ac:dyDescent="0.3">
      <c r="A154" s="22" t="str">
        <f>IF(Table1[[#This Row],[Country]]="N/A","",Table1[[#This Row],[Country]])</f>
        <v>Germany</v>
      </c>
      <c r="B154" s="22" t="str">
        <f>IF(Table1[[#This Row],[Study site]]="N/A","",Table1[[#This Row],[Study site]])</f>
        <v>Pohnsdorfer Stauung Eastpolder, DE</v>
      </c>
      <c r="C154" s="22" t="str">
        <f>IF(Table1[[#This Row],[WBZ-type]]="N/A","",Table1[[#This Row],[WBZ-type]])</f>
        <v>Rewetted Fen</v>
      </c>
      <c r="D154" s="22" t="str">
        <f>IF(Table1[[#This Row],[Nutrient]]="N/A","",Table1[[#This Row],[Nutrient]])</f>
        <v>total phosphorus</v>
      </c>
      <c r="E154" s="22">
        <f>IF(Table1[[#This Row],[Load (kg N, P/ha/yr)]]="N/A","",Table1[[#This Row],[Load (kg N, P/ha/yr)]])</f>
        <v>24.666666666666668</v>
      </c>
      <c r="F154" s="22">
        <f>IF(Table1[[#This Row],[Loss (kg N, P/ha/yr)]]="N/A","",Table1[[#This Row],[Loss (kg N, P/ha/yr)]])</f>
        <v>36.666666666666664</v>
      </c>
      <c r="G154" s="22">
        <f>IF(Table1[[#This Row],[Retention (kg N, P/ha/yr)]]="N/A","",Table1[[#This Row],[Retention (kg N, P/ha/yr)]])</f>
        <v>-12</v>
      </c>
      <c r="H154" s="22">
        <f>IF(Table1[[#This Row],[Efficiency (%)]]="N/A","",Table1[[#This Row],[Efficiency (%)]])</f>
        <v>-48.648648648648646</v>
      </c>
      <c r="I154" s="22" t="str">
        <f>IF(Table1[[#This Row],[Organic/Mineral Soil]]="N/A","",Table1[[#This Row],[Organic/Mineral Soil]])</f>
        <v>Organic</v>
      </c>
      <c r="J154" s="22" t="str">
        <f>IF(Table1[[#This Row],[Vegetation type]]="N/A","",Table1[[#This Row],[Vegetation type]])</f>
        <v>Herbaceous</v>
      </c>
      <c r="K154" s="22" t="str">
        <f>IF(Table1[[#This Row],[Reference]]="N/A","",Table1[[#This Row],[Reference]])</f>
        <v>Kieckbusch und Schrautzer, 2007</v>
      </c>
      <c r="L154" s="22" t="str">
        <f>IF(Table1[[#This Row],[Main source/flow path in]]="N/A","",Table1[[#This Row],[Main source/flow path in]])</f>
        <v>River inundation and precipitation</v>
      </c>
      <c r="M154" s="22" t="str">
        <f>IF(Table1[[#This Row],[Main source/flow path in (simple)]]="N/A","",Table1[[#This Row],[Main source/flow path in (simple)]])</f>
        <v>SWR</v>
      </c>
      <c r="N154" s="22" t="str">
        <f>IF(Table1[[#This Row],[Main flow paths in buffer]]="N/A","",Table1[[#This Row],[Main flow paths in buffer]])</f>
        <v>Direct surface runoff</v>
      </c>
      <c r="O154" s="22" t="str">
        <f>IF(Table1[[#This Row],[Inflow=&gt;Outflow]]="N/A","",Table1[[#This Row],[Inflow=&gt;Outflow]])</f>
        <v>SWR=&gt;SR</v>
      </c>
      <c r="P154" s="22" t="str">
        <f>IF(Table1[[#This Row],[Width '[m']]]="N/A","",Table1[[#This Row],[Width '[m']]])</f>
        <v/>
      </c>
      <c r="Q154" s="22">
        <f>IF(Table1[[#This Row],[Area '[m²']]]="N/A","",Table1[[#This Row],[Area '[m²']]])</f>
        <v>400000</v>
      </c>
      <c r="R154" s="22" t="str">
        <f>IF(Table1[[#This Row],[Qin '[m³/yr']]]="N/A","",Table1[[#This Row],[Qin '[m³/yr']]])</f>
        <v/>
      </c>
      <c r="S154" s="22">
        <f>IF(Table1[[#This Row],[Catchment area '[ha']]]="N/A","",Table1[[#This Row],[Catchment area '[ha']]])</f>
        <v>3800</v>
      </c>
      <c r="T154" s="22" t="str">
        <f>IF(Table1[[#This Row],[HLR '[mm']]]="N/A","",Table1[[#This Row],[HLR '[mm']]])</f>
        <v/>
      </c>
    </row>
    <row r="155" spans="1:20" hidden="1" x14ac:dyDescent="0.3">
      <c r="A155" s="22" t="str">
        <f>IF(Table1[[#This Row],[Country]]="N/A","",Table1[[#This Row],[Country]])</f>
        <v>Germany</v>
      </c>
      <c r="B155" s="22" t="str">
        <f>IF(Table1[[#This Row],[Study site]]="N/A","",Table1[[#This Row],[Study site]])</f>
        <v>Pohnsdorfer Stauung Westpolder, DE</v>
      </c>
      <c r="C155" s="22" t="str">
        <f>IF(Table1[[#This Row],[WBZ-type]]="N/A","",Table1[[#This Row],[WBZ-type]])</f>
        <v>Rewetted Fen</v>
      </c>
      <c r="D155" s="22" t="str">
        <f>IF(Table1[[#This Row],[Nutrient]]="N/A","",Table1[[#This Row],[Nutrient]])</f>
        <v>nitrate</v>
      </c>
      <c r="E155" s="22">
        <f>IF(Table1[[#This Row],[Load (kg N, P/ha/yr)]]="N/A","",Table1[[#This Row],[Load (kg N, P/ha/yr)]])</f>
        <v>9.8000000000000007</v>
      </c>
      <c r="F155" s="22">
        <f>IF(Table1[[#This Row],[Loss (kg N, P/ha/yr)]]="N/A","",Table1[[#This Row],[Loss (kg N, P/ha/yr)]])</f>
        <v>3.8</v>
      </c>
      <c r="G155" s="22">
        <f>IF(Table1[[#This Row],[Retention (kg N, P/ha/yr)]]="N/A","",Table1[[#This Row],[Retention (kg N, P/ha/yr)]])</f>
        <v>6</v>
      </c>
      <c r="H155" s="22">
        <f>IF(Table1[[#This Row],[Efficiency (%)]]="N/A","",Table1[[#This Row],[Efficiency (%)]])</f>
        <v>61.224489795918359</v>
      </c>
      <c r="I155" s="22" t="str">
        <f>IF(Table1[[#This Row],[Organic/Mineral Soil]]="N/A","",Table1[[#This Row],[Organic/Mineral Soil]])</f>
        <v>Organic</v>
      </c>
      <c r="J155" s="22" t="str">
        <f>IF(Table1[[#This Row],[Vegetation type]]="N/A","",Table1[[#This Row],[Vegetation type]])</f>
        <v>Herbaceouses</v>
      </c>
      <c r="K155" s="22" t="str">
        <f>IF(Table1[[#This Row],[Reference]]="N/A","",Table1[[#This Row],[Reference]])</f>
        <v>Kieckbusch und Schrautzer, 2007</v>
      </c>
      <c r="L155" s="22" t="str">
        <f>IF(Table1[[#This Row],[Main source/flow path in]]="N/A","",Table1[[#This Row],[Main source/flow path in]])</f>
        <v>Precipitation and river inundation</v>
      </c>
      <c r="M155" s="22" t="str">
        <f>IF(Table1[[#This Row],[Main source/flow path in (simple)]]="N/A","",Table1[[#This Row],[Main source/flow path in (simple)]])</f>
        <v>P</v>
      </c>
      <c r="N155" s="22" t="str">
        <f>IF(Table1[[#This Row],[Main flow paths in buffer]]="N/A","",Table1[[#This Row],[Main flow paths in buffer]])</f>
        <v>Direct surface runoff</v>
      </c>
      <c r="O155" s="22" t="str">
        <f>IF(Table1[[#This Row],[Inflow=&gt;Outflow]]="N/A","",Table1[[#This Row],[Inflow=&gt;Outflow]])</f>
        <v>SWU=&gt;SR</v>
      </c>
      <c r="P155" s="22" t="str">
        <f>IF(Table1[[#This Row],[Width '[m']]]="N/A","",Table1[[#This Row],[Width '[m']]])</f>
        <v/>
      </c>
      <c r="Q155" s="22">
        <f>IF(Table1[[#This Row],[Area '[m²']]]="N/A","",Table1[[#This Row],[Area '[m²']]])</f>
        <v>600000</v>
      </c>
      <c r="R155" s="22" t="str">
        <f>IF(Table1[[#This Row],[Qin '[m³/yr']]]="N/A","",Table1[[#This Row],[Qin '[m³/yr']]])</f>
        <v/>
      </c>
      <c r="S155" s="22">
        <f>IF(Table1[[#This Row],[Catchment area '[ha']]]="N/A","",Table1[[#This Row],[Catchment area '[ha']]])</f>
        <v>150</v>
      </c>
      <c r="T155" s="22" t="str">
        <f>IF(Table1[[#This Row],[HLR '[mm']]]="N/A","",Table1[[#This Row],[HLR '[mm']]])</f>
        <v/>
      </c>
    </row>
    <row r="156" spans="1:20" hidden="1" x14ac:dyDescent="0.3">
      <c r="A156" s="22" t="str">
        <f>IF(Table1[[#This Row],[Country]]="N/A","",Table1[[#This Row],[Country]])</f>
        <v>Germany</v>
      </c>
      <c r="B156" s="22" t="str">
        <f>IF(Table1[[#This Row],[Study site]]="N/A","",Table1[[#This Row],[Study site]])</f>
        <v>Pohnsdorfer Stauung Westpolder, DE</v>
      </c>
      <c r="C156" s="22" t="str">
        <f>IF(Table1[[#This Row],[WBZ-type]]="N/A","",Table1[[#This Row],[WBZ-type]])</f>
        <v>Rewetted Fen</v>
      </c>
      <c r="D156" s="22" t="str">
        <f>IF(Table1[[#This Row],[Nutrient]]="N/A","",Table1[[#This Row],[Nutrient]])</f>
        <v>ammonium</v>
      </c>
      <c r="E156" s="22">
        <f>IF(Table1[[#This Row],[Load (kg N, P/ha/yr)]]="N/A","",Table1[[#This Row],[Load (kg N, P/ha/yr)]])</f>
        <v>10</v>
      </c>
      <c r="F156" s="22">
        <f>IF(Table1[[#This Row],[Loss (kg N, P/ha/yr)]]="N/A","",Table1[[#This Row],[Loss (kg N, P/ha/yr)]])</f>
        <v>5</v>
      </c>
      <c r="G156" s="22">
        <f>IF(Table1[[#This Row],[Retention (kg N, P/ha/yr)]]="N/A","",Table1[[#This Row],[Retention (kg N, P/ha/yr)]])</f>
        <v>5</v>
      </c>
      <c r="H156" s="22">
        <f>IF(Table1[[#This Row],[Efficiency (%)]]="N/A","",Table1[[#This Row],[Efficiency (%)]])</f>
        <v>50</v>
      </c>
      <c r="I156" s="22" t="str">
        <f>IF(Table1[[#This Row],[Organic/Mineral Soil]]="N/A","",Table1[[#This Row],[Organic/Mineral Soil]])</f>
        <v>Organic</v>
      </c>
      <c r="J156" s="22" t="str">
        <f>IF(Table1[[#This Row],[Vegetation type]]="N/A","",Table1[[#This Row],[Vegetation type]])</f>
        <v>Herbaceouses</v>
      </c>
      <c r="K156" s="22" t="str">
        <f>IF(Table1[[#This Row],[Reference]]="N/A","",Table1[[#This Row],[Reference]])</f>
        <v>Kieckbusch und Schrautzer, 2007</v>
      </c>
      <c r="L156" s="22" t="str">
        <f>IF(Table1[[#This Row],[Main source/flow path in]]="N/A","",Table1[[#This Row],[Main source/flow path in]])</f>
        <v>Precipitation and river inundation</v>
      </c>
      <c r="M156" s="22" t="str">
        <f>IF(Table1[[#This Row],[Main source/flow path in (simple)]]="N/A","",Table1[[#This Row],[Main source/flow path in (simple)]])</f>
        <v>P</v>
      </c>
      <c r="N156" s="22" t="str">
        <f>IF(Table1[[#This Row],[Main flow paths in buffer]]="N/A","",Table1[[#This Row],[Main flow paths in buffer]])</f>
        <v>Direct surface runoff</v>
      </c>
      <c r="O156" s="22" t="str">
        <f>IF(Table1[[#This Row],[Inflow=&gt;Outflow]]="N/A","",Table1[[#This Row],[Inflow=&gt;Outflow]])</f>
        <v>SWU=&gt;SR</v>
      </c>
      <c r="P156" s="22" t="str">
        <f>IF(Table1[[#This Row],[Width '[m']]]="N/A","",Table1[[#This Row],[Width '[m']]])</f>
        <v/>
      </c>
      <c r="Q156" s="22">
        <f>IF(Table1[[#This Row],[Area '[m²']]]="N/A","",Table1[[#This Row],[Area '[m²']]])</f>
        <v>600000</v>
      </c>
      <c r="R156" s="22" t="str">
        <f>IF(Table1[[#This Row],[Qin '[m³/yr']]]="N/A","",Table1[[#This Row],[Qin '[m³/yr']]])</f>
        <v/>
      </c>
      <c r="S156" s="22">
        <f>IF(Table1[[#This Row],[Catchment area '[ha']]]="N/A","",Table1[[#This Row],[Catchment area '[ha']]])</f>
        <v>150</v>
      </c>
      <c r="T156" s="22" t="str">
        <f>IF(Table1[[#This Row],[HLR '[mm']]]="N/A","",Table1[[#This Row],[HLR '[mm']]])</f>
        <v/>
      </c>
    </row>
    <row r="157" spans="1:20" hidden="1" x14ac:dyDescent="0.3">
      <c r="A157" s="22" t="str">
        <f>IF(Table1[[#This Row],[Country]]="N/A","",Table1[[#This Row],[Country]])</f>
        <v>Germany</v>
      </c>
      <c r="B157" s="22" t="str">
        <f>IF(Table1[[#This Row],[Study site]]="N/A","",Table1[[#This Row],[Study site]])</f>
        <v>Pohnsdorfer Stauung Westpolder, DE</v>
      </c>
      <c r="C157" s="22" t="str">
        <f>IF(Table1[[#This Row],[WBZ-type]]="N/A","",Table1[[#This Row],[WBZ-type]])</f>
        <v>Rewetted Fen</v>
      </c>
      <c r="D157" s="22" t="str">
        <f>IF(Table1[[#This Row],[Nutrient]]="N/A","",Table1[[#This Row],[Nutrient]])</f>
        <v>dissolved organic nitrogen</v>
      </c>
      <c r="E157" s="22">
        <f>IF(Table1[[#This Row],[Load (kg N, P/ha/yr)]]="N/A","",Table1[[#This Row],[Load (kg N, P/ha/yr)]])</f>
        <v>1.3999999999999986</v>
      </c>
      <c r="F157" s="22">
        <f>IF(Table1[[#This Row],[Loss (kg N, P/ha/yr)]]="N/A","",Table1[[#This Row],[Loss (kg N, P/ha/yr)]])</f>
        <v>16</v>
      </c>
      <c r="G157" s="22">
        <f>IF(Table1[[#This Row],[Retention (kg N, P/ha/yr)]]="N/A","",Table1[[#This Row],[Retention (kg N, P/ha/yr)]])</f>
        <v>-14.600000000000001</v>
      </c>
      <c r="H157" s="22">
        <f>IF(Table1[[#This Row],[Efficiency (%)]]="N/A","",Table1[[#This Row],[Efficiency (%)]])</f>
        <v>-1042.857142857144</v>
      </c>
      <c r="I157" s="22" t="str">
        <f>IF(Table1[[#This Row],[Organic/Mineral Soil]]="N/A","",Table1[[#This Row],[Organic/Mineral Soil]])</f>
        <v>Organic</v>
      </c>
      <c r="J157" s="22" t="str">
        <f>IF(Table1[[#This Row],[Vegetation type]]="N/A","",Table1[[#This Row],[Vegetation type]])</f>
        <v>Herbaceous</v>
      </c>
      <c r="K157" s="22" t="str">
        <f>IF(Table1[[#This Row],[Reference]]="N/A","",Table1[[#This Row],[Reference]])</f>
        <v>Kieckbusch und Schrautzer, 2007</v>
      </c>
      <c r="L157" s="22" t="str">
        <f>IF(Table1[[#This Row],[Main source/flow path in]]="N/A","",Table1[[#This Row],[Main source/flow path in]])</f>
        <v>Precipitation and river inundation</v>
      </c>
      <c r="M157" s="22" t="str">
        <f>IF(Table1[[#This Row],[Main source/flow path in (simple)]]="N/A","",Table1[[#This Row],[Main source/flow path in (simple)]])</f>
        <v>P</v>
      </c>
      <c r="N157" s="22" t="str">
        <f>IF(Table1[[#This Row],[Main flow paths in buffer]]="N/A","",Table1[[#This Row],[Main flow paths in buffer]])</f>
        <v>Direct surface runoff</v>
      </c>
      <c r="O157" s="22" t="str">
        <f>IF(Table1[[#This Row],[Inflow=&gt;Outflow]]="N/A","",Table1[[#This Row],[Inflow=&gt;Outflow]])</f>
        <v>SWU=&gt;SR</v>
      </c>
      <c r="P157" s="22" t="str">
        <f>IF(Table1[[#This Row],[Width '[m']]]="N/A","",Table1[[#This Row],[Width '[m']]])</f>
        <v/>
      </c>
      <c r="Q157" s="22">
        <f>IF(Table1[[#This Row],[Area '[m²']]]="N/A","",Table1[[#This Row],[Area '[m²']]])</f>
        <v>600000</v>
      </c>
      <c r="R157" s="22" t="str">
        <f>IF(Table1[[#This Row],[Qin '[m³/yr']]]="N/A","",Table1[[#This Row],[Qin '[m³/yr']]])</f>
        <v/>
      </c>
      <c r="S157" s="22">
        <f>IF(Table1[[#This Row],[Catchment area '[ha']]]="N/A","",Table1[[#This Row],[Catchment area '[ha']]])</f>
        <v>150</v>
      </c>
      <c r="T157" s="22" t="str">
        <f>IF(Table1[[#This Row],[HLR '[mm']]]="N/A","",Table1[[#This Row],[HLR '[mm']]])</f>
        <v/>
      </c>
    </row>
    <row r="158" spans="1:20" x14ac:dyDescent="0.3">
      <c r="A158" s="22" t="str">
        <f>IF(Table1[[#This Row],[Country]]="N/A","",Table1[[#This Row],[Country]])</f>
        <v>Germany</v>
      </c>
      <c r="B158" s="22" t="str">
        <f>IF(Table1[[#This Row],[Study site]]="N/A","",Table1[[#This Row],[Study site]])</f>
        <v>Pohnsdorfer Stauung Westpolder, DE</v>
      </c>
      <c r="C158" s="22" t="str">
        <f>IF(Table1[[#This Row],[WBZ-type]]="N/A","",Table1[[#This Row],[WBZ-type]])</f>
        <v>Rewetted Fen</v>
      </c>
      <c r="D158" s="22" t="str">
        <f>IF(Table1[[#This Row],[Nutrient]]="N/A","",Table1[[#This Row],[Nutrient]])</f>
        <v>total nitrogen</v>
      </c>
      <c r="E158" s="22">
        <f>IF(Table1[[#This Row],[Load (kg N, P/ha/yr)]]="N/A","",Table1[[#This Row],[Load (kg N, P/ha/yr)]])</f>
        <v>21.2</v>
      </c>
      <c r="F158" s="22">
        <f>IF(Table1[[#This Row],[Loss (kg N, P/ha/yr)]]="N/A","",Table1[[#This Row],[Loss (kg N, P/ha/yr)]])</f>
        <v>24.8</v>
      </c>
      <c r="G158" s="22">
        <f>IF(Table1[[#This Row],[Retention (kg N, P/ha/yr)]]="N/A","",Table1[[#This Row],[Retention (kg N, P/ha/yr)]])</f>
        <v>-3.6</v>
      </c>
      <c r="H158" s="22">
        <f>IF(Table1[[#This Row],[Efficiency (%)]]="N/A","",Table1[[#This Row],[Efficiency (%)]])</f>
        <v>-16.981132075471699</v>
      </c>
      <c r="I158" s="22" t="str">
        <f>IF(Table1[[#This Row],[Organic/Mineral Soil]]="N/A","",Table1[[#This Row],[Organic/Mineral Soil]])</f>
        <v>Organic</v>
      </c>
      <c r="J158" s="22" t="str">
        <f>IF(Table1[[#This Row],[Vegetation type]]="N/A","",Table1[[#This Row],[Vegetation type]])</f>
        <v>Herbaceouses</v>
      </c>
      <c r="K158" s="22" t="str">
        <f>IF(Table1[[#This Row],[Reference]]="N/A","",Table1[[#This Row],[Reference]])</f>
        <v>Kieckbusch und Schrautzer, 2007</v>
      </c>
      <c r="L158" s="22" t="str">
        <f>IF(Table1[[#This Row],[Main source/flow path in]]="N/A","",Table1[[#This Row],[Main source/flow path in]])</f>
        <v>Precipitation and river inundation</v>
      </c>
      <c r="M158" s="22" t="str">
        <f>IF(Table1[[#This Row],[Main source/flow path in (simple)]]="N/A","",Table1[[#This Row],[Main source/flow path in (simple)]])</f>
        <v>P</v>
      </c>
      <c r="N158" s="22" t="str">
        <f>IF(Table1[[#This Row],[Main flow paths in buffer]]="N/A","",Table1[[#This Row],[Main flow paths in buffer]])</f>
        <v>Direct surface runoff</v>
      </c>
      <c r="O158" s="22" t="str">
        <f>IF(Table1[[#This Row],[Inflow=&gt;Outflow]]="N/A","",Table1[[#This Row],[Inflow=&gt;Outflow]])</f>
        <v>SWU=&gt;SR</v>
      </c>
      <c r="P158" s="22" t="str">
        <f>IF(Table1[[#This Row],[Width '[m']]]="N/A","",Table1[[#This Row],[Width '[m']]])</f>
        <v/>
      </c>
      <c r="Q158" s="22">
        <f>IF(Table1[[#This Row],[Area '[m²']]]="N/A","",Table1[[#This Row],[Area '[m²']]])</f>
        <v>600000</v>
      </c>
      <c r="R158" s="22" t="str">
        <f>IF(Table1[[#This Row],[Qin '[m³/yr']]]="N/A","",Table1[[#This Row],[Qin '[m³/yr']]])</f>
        <v/>
      </c>
      <c r="S158" s="22">
        <f>IF(Table1[[#This Row],[Catchment area '[ha']]]="N/A","",Table1[[#This Row],[Catchment area '[ha']]])</f>
        <v>150</v>
      </c>
      <c r="T158" s="22" t="str">
        <f>IF(Table1[[#This Row],[HLR '[mm']]]="N/A","",Table1[[#This Row],[HLR '[mm']]])</f>
        <v/>
      </c>
    </row>
    <row r="159" spans="1:20" hidden="1" x14ac:dyDescent="0.3">
      <c r="A159" s="22" t="str">
        <f>IF(Table1[[#This Row],[Country]]="N/A","",Table1[[#This Row],[Country]])</f>
        <v>Germany</v>
      </c>
      <c r="B159" s="22" t="str">
        <f>IF(Table1[[#This Row],[Study site]]="N/A","",Table1[[#This Row],[Study site]])</f>
        <v>Pohnsdorfer Stauung Westpolder, DE</v>
      </c>
      <c r="C159" s="22" t="str">
        <f>IF(Table1[[#This Row],[WBZ-type]]="N/A","",Table1[[#This Row],[WBZ-type]])</f>
        <v>Rewetted Fen</v>
      </c>
      <c r="D159" s="22" t="str">
        <f>IF(Table1[[#This Row],[Nutrient]]="N/A","",Table1[[#This Row],[Nutrient]])</f>
        <v>SRP</v>
      </c>
      <c r="E159" s="22">
        <f>IF(Table1[[#This Row],[Load (kg N, P/ha/yr)]]="N/A","",Table1[[#This Row],[Load (kg N, P/ha/yr)]])</f>
        <v>0.6399999999999999</v>
      </c>
      <c r="F159" s="22">
        <f>IF(Table1[[#This Row],[Loss (kg N, P/ha/yr)]]="N/A","",Table1[[#This Row],[Loss (kg N, P/ha/yr)]])</f>
        <v>1.54</v>
      </c>
      <c r="G159" s="22">
        <f>IF(Table1[[#This Row],[Retention (kg N, P/ha/yr)]]="N/A","",Table1[[#This Row],[Retention (kg N, P/ha/yr)]])</f>
        <v>-0.9</v>
      </c>
      <c r="H159" s="22">
        <f>IF(Table1[[#This Row],[Efficiency (%)]]="N/A","",Table1[[#This Row],[Efficiency (%)]])</f>
        <v>-140.62500000000003</v>
      </c>
      <c r="I159" s="22" t="str">
        <f>IF(Table1[[#This Row],[Organic/Mineral Soil]]="N/A","",Table1[[#This Row],[Organic/Mineral Soil]])</f>
        <v>Organic</v>
      </c>
      <c r="J159" s="22" t="str">
        <f>IF(Table1[[#This Row],[Vegetation type]]="N/A","",Table1[[#This Row],[Vegetation type]])</f>
        <v>Herbaceouses</v>
      </c>
      <c r="K159" s="22" t="str">
        <f>IF(Table1[[#This Row],[Reference]]="N/A","",Table1[[#This Row],[Reference]])</f>
        <v>Kieckbusch und Schrautzer, 2007</v>
      </c>
      <c r="L159" s="22" t="str">
        <f>IF(Table1[[#This Row],[Main source/flow path in]]="N/A","",Table1[[#This Row],[Main source/flow path in]])</f>
        <v>Precipitation and river inundation</v>
      </c>
      <c r="M159" s="22" t="str">
        <f>IF(Table1[[#This Row],[Main source/flow path in (simple)]]="N/A","",Table1[[#This Row],[Main source/flow path in (simple)]])</f>
        <v>P</v>
      </c>
      <c r="N159" s="22" t="str">
        <f>IF(Table1[[#This Row],[Main flow paths in buffer]]="N/A","",Table1[[#This Row],[Main flow paths in buffer]])</f>
        <v>Direct surface runoff</v>
      </c>
      <c r="O159" s="22" t="str">
        <f>IF(Table1[[#This Row],[Inflow=&gt;Outflow]]="N/A","",Table1[[#This Row],[Inflow=&gt;Outflow]])</f>
        <v>SWU=&gt;SR</v>
      </c>
      <c r="P159" s="22" t="str">
        <f>IF(Table1[[#This Row],[Width '[m']]]="N/A","",Table1[[#This Row],[Width '[m']]])</f>
        <v/>
      </c>
      <c r="Q159" s="22">
        <f>IF(Table1[[#This Row],[Area '[m²']]]="N/A","",Table1[[#This Row],[Area '[m²']]])</f>
        <v>600000</v>
      </c>
      <c r="R159" s="22" t="str">
        <f>IF(Table1[[#This Row],[Qin '[m³/yr']]]="N/A","",Table1[[#This Row],[Qin '[m³/yr']]])</f>
        <v/>
      </c>
      <c r="S159" s="22">
        <f>IF(Table1[[#This Row],[Catchment area '[ha']]]="N/A","",Table1[[#This Row],[Catchment area '[ha']]])</f>
        <v>150</v>
      </c>
      <c r="T159" s="22" t="str">
        <f>IF(Table1[[#This Row],[HLR '[mm']]]="N/A","",Table1[[#This Row],[HLR '[mm']]])</f>
        <v/>
      </c>
    </row>
    <row r="160" spans="1:20" hidden="1" x14ac:dyDescent="0.3">
      <c r="A160" s="22" t="str">
        <f>IF(Table1[[#This Row],[Country]]="N/A","",Table1[[#This Row],[Country]])</f>
        <v>Germany</v>
      </c>
      <c r="B160" s="22" t="str">
        <f>IF(Table1[[#This Row],[Study site]]="N/A","",Table1[[#This Row],[Study site]])</f>
        <v>Pohnsdorfer Stauung Westpolder, DE</v>
      </c>
      <c r="C160" s="22" t="str">
        <f>IF(Table1[[#This Row],[WBZ-type]]="N/A","",Table1[[#This Row],[WBZ-type]])</f>
        <v>Rewetted Fen</v>
      </c>
      <c r="D160" s="22" t="str">
        <f>IF(Table1[[#This Row],[Nutrient]]="N/A","",Table1[[#This Row],[Nutrient]])</f>
        <v>total phosphorus</v>
      </c>
      <c r="E160" s="22">
        <f>IF(Table1[[#This Row],[Load (kg N, P/ha/yr)]]="N/A","",Table1[[#This Row],[Load (kg N, P/ha/yr)]])</f>
        <v>0.76</v>
      </c>
      <c r="F160" s="22">
        <f>IF(Table1[[#This Row],[Loss (kg N, P/ha/yr)]]="N/A","",Table1[[#This Row],[Loss (kg N, P/ha/yr)]])</f>
        <v>4.0200000000000005</v>
      </c>
      <c r="G160" s="22">
        <f>IF(Table1[[#This Row],[Retention (kg N, P/ha/yr)]]="N/A","",Table1[[#This Row],[Retention (kg N, P/ha/yr)]])</f>
        <v>-3.2600000000000002</v>
      </c>
      <c r="H160" s="22">
        <f>IF(Table1[[#This Row],[Efficiency (%)]]="N/A","",Table1[[#This Row],[Efficiency (%)]])</f>
        <v>-428.94736842105266</v>
      </c>
      <c r="I160" s="22" t="str">
        <f>IF(Table1[[#This Row],[Organic/Mineral Soil]]="N/A","",Table1[[#This Row],[Organic/Mineral Soil]])</f>
        <v>Organic</v>
      </c>
      <c r="J160" s="22" t="str">
        <f>IF(Table1[[#This Row],[Vegetation type]]="N/A","",Table1[[#This Row],[Vegetation type]])</f>
        <v>Herbaceouses</v>
      </c>
      <c r="K160" s="22" t="str">
        <f>IF(Table1[[#This Row],[Reference]]="N/A","",Table1[[#This Row],[Reference]])</f>
        <v>Kieckbusch und Schrautzer, 2007</v>
      </c>
      <c r="L160" s="22" t="str">
        <f>IF(Table1[[#This Row],[Main source/flow path in]]="N/A","",Table1[[#This Row],[Main source/flow path in]])</f>
        <v>Precipitation and river inundation</v>
      </c>
      <c r="M160" s="22" t="str">
        <f>IF(Table1[[#This Row],[Main source/flow path in (simple)]]="N/A","",Table1[[#This Row],[Main source/flow path in (simple)]])</f>
        <v>P</v>
      </c>
      <c r="N160" s="22" t="str">
        <f>IF(Table1[[#This Row],[Main flow paths in buffer]]="N/A","",Table1[[#This Row],[Main flow paths in buffer]])</f>
        <v>Direct surface runoff</v>
      </c>
      <c r="O160" s="22" t="str">
        <f>IF(Table1[[#This Row],[Inflow=&gt;Outflow]]="N/A","",Table1[[#This Row],[Inflow=&gt;Outflow]])</f>
        <v>SWU=&gt;SR</v>
      </c>
      <c r="P160" s="22" t="str">
        <f>IF(Table1[[#This Row],[Width '[m']]]="N/A","",Table1[[#This Row],[Width '[m']]])</f>
        <v/>
      </c>
      <c r="Q160" s="22">
        <f>IF(Table1[[#This Row],[Area '[m²']]]="N/A","",Table1[[#This Row],[Area '[m²']]])</f>
        <v>600000</v>
      </c>
      <c r="R160" s="22" t="str">
        <f>IF(Table1[[#This Row],[Qin '[m³/yr']]]="N/A","",Table1[[#This Row],[Qin '[m³/yr']]])</f>
        <v/>
      </c>
      <c r="S160" s="22">
        <f>IF(Table1[[#This Row],[Catchment area '[ha']]]="N/A","",Table1[[#This Row],[Catchment area '[ha']]])</f>
        <v>150</v>
      </c>
      <c r="T160" s="22" t="str">
        <f>IF(Table1[[#This Row],[HLR '[mm']]]="N/A","",Table1[[#This Row],[HLR '[mm']]])</f>
        <v/>
      </c>
    </row>
    <row r="161" spans="1:20" x14ac:dyDescent="0.3">
      <c r="A161" s="22" t="str">
        <f>IF(Table1[[#This Row],[Country]]="N/A","",Table1[[#This Row],[Country]])</f>
        <v>Netherlands</v>
      </c>
      <c r="B161" s="22" t="str">
        <f>IF(Table1[[#This Row],[Study site]]="N/A","",Table1[[#This Row],[Study site]])</f>
        <v>Dommel R nat reserve, NL</v>
      </c>
      <c r="C161" s="22" t="str">
        <f>IF(Table1[[#This Row],[WBZ-type]]="N/A","",Table1[[#This Row],[WBZ-type]])</f>
        <v>Natural Fen</v>
      </c>
      <c r="D161" s="22" t="str">
        <f>IF(Table1[[#This Row],[Nutrient]]="N/A","",Table1[[#This Row],[Nutrient]])</f>
        <v>total nitrogen</v>
      </c>
      <c r="E161" s="22">
        <f>IF(Table1[[#This Row],[Load (kg N, P/ha/yr)]]="N/A","",Table1[[#This Row],[Load (kg N, P/ha/yr)]])</f>
        <v>46.9</v>
      </c>
      <c r="F161" s="22">
        <f>IF(Table1[[#This Row],[Loss (kg N, P/ha/yr)]]="N/A","",Table1[[#This Row],[Loss (kg N, P/ha/yr)]])</f>
        <v>1.6</v>
      </c>
      <c r="G161" s="22">
        <f>IF(Table1[[#This Row],[Retention (kg N, P/ha/yr)]]="N/A","",Table1[[#This Row],[Retention (kg N, P/ha/yr)]])</f>
        <v>45.3</v>
      </c>
      <c r="H161" s="22">
        <f>IF(Table1[[#This Row],[Efficiency (%)]]="N/A","",Table1[[#This Row],[Efficiency (%)]])</f>
        <v>96.588486140724939</v>
      </c>
      <c r="I161" s="22" t="str">
        <f>IF(Table1[[#This Row],[Organic/Mineral Soil]]="N/A","",Table1[[#This Row],[Organic/Mineral Soil]])</f>
        <v>Organic</v>
      </c>
      <c r="J161" s="22" t="str">
        <f>IF(Table1[[#This Row],[Vegetation type]]="N/A","",Table1[[#This Row],[Vegetation type]])</f>
        <v>Aerenchymous</v>
      </c>
      <c r="K161" s="22" t="str">
        <f>IF(Table1[[#This Row],[Reference]]="N/A","",Table1[[#This Row],[Reference]])</f>
        <v>Wassen et al., 2006</v>
      </c>
      <c r="L161" s="22" t="str">
        <f>IF(Table1[[#This Row],[Main source/flow path in]]="N/A","",Table1[[#This Row],[Main source/flow path in]])</f>
        <v>Precipitation and groundwater</v>
      </c>
      <c r="M161" s="22" t="str">
        <f>IF(Table1[[#This Row],[Main source/flow path in (simple)]]="N/A","",Table1[[#This Row],[Main source/flow path in (simple)]])</f>
        <v>P</v>
      </c>
      <c r="N161" s="22" t="str">
        <f>IF(Table1[[#This Row],[Main flow paths in buffer]]="N/A","",Table1[[#This Row],[Main flow paths in buffer]])</f>
        <v>Shallow lateral GW</v>
      </c>
      <c r="O161" s="22" t="str">
        <f>IF(Table1[[#This Row],[Inflow=&gt;Outflow]]="N/A","",Table1[[#This Row],[Inflow=&gt;Outflow]])</f>
        <v>SWU=&gt;GW</v>
      </c>
      <c r="P161" s="22" t="str">
        <f>IF(Table1[[#This Row],[Width '[m']]]="N/A","",Table1[[#This Row],[Width '[m']]])</f>
        <v/>
      </c>
      <c r="Q161" s="22" t="str">
        <f>IF(Table1[[#This Row],[Area '[m²']]]="N/A","",Table1[[#This Row],[Area '[m²']]])</f>
        <v/>
      </c>
      <c r="R161" s="22" t="str">
        <f>IF(Table1[[#This Row],[Qin '[m³/yr']]]="N/A","",Table1[[#This Row],[Qin '[m³/yr']]])</f>
        <v/>
      </c>
      <c r="S161" s="22" t="str">
        <f>IF(Table1[[#This Row],[Catchment area '[ha']]]="N/A","",Table1[[#This Row],[Catchment area '[ha']]])</f>
        <v/>
      </c>
      <c r="T161" s="22" t="str">
        <f>IF(Table1[[#This Row],[HLR '[mm']]]="N/A","",Table1[[#This Row],[HLR '[mm']]])</f>
        <v/>
      </c>
    </row>
    <row r="162" spans="1:20" hidden="1" x14ac:dyDescent="0.3">
      <c r="A162" s="22" t="str">
        <f>IF(Table1[[#This Row],[Country]]="N/A","",Table1[[#This Row],[Country]])</f>
        <v>Netherlands</v>
      </c>
      <c r="B162" s="22" t="str">
        <f>IF(Table1[[#This Row],[Study site]]="N/A","",Table1[[#This Row],[Study site]])</f>
        <v>Dommel R nat reserve, NL</v>
      </c>
      <c r="C162" s="22" t="str">
        <f>IF(Table1[[#This Row],[WBZ-type]]="N/A","",Table1[[#This Row],[WBZ-type]])</f>
        <v>Natural Fen</v>
      </c>
      <c r="D162" s="22" t="str">
        <f>IF(Table1[[#This Row],[Nutrient]]="N/A","",Table1[[#This Row],[Nutrient]])</f>
        <v>total phosphorus</v>
      </c>
      <c r="E162" s="22">
        <f>IF(Table1[[#This Row],[Load (kg N, P/ha/yr)]]="N/A","",Table1[[#This Row],[Load (kg N, P/ha/yr)]])</f>
        <v>0.27</v>
      </c>
      <c r="F162" s="22">
        <f>IF(Table1[[#This Row],[Loss (kg N, P/ha/yr)]]="N/A","",Table1[[#This Row],[Loss (kg N, P/ha/yr)]])</f>
        <v>0.08</v>
      </c>
      <c r="G162" s="22">
        <f>IF(Table1[[#This Row],[Retention (kg N, P/ha/yr)]]="N/A","",Table1[[#This Row],[Retention (kg N, P/ha/yr)]])</f>
        <v>0.19</v>
      </c>
      <c r="H162" s="22">
        <f>IF(Table1[[#This Row],[Efficiency (%)]]="N/A","",Table1[[#This Row],[Efficiency (%)]])</f>
        <v>70.370370370370367</v>
      </c>
      <c r="I162" s="22" t="str">
        <f>IF(Table1[[#This Row],[Organic/Mineral Soil]]="N/A","",Table1[[#This Row],[Organic/Mineral Soil]])</f>
        <v>Organic</v>
      </c>
      <c r="J162" s="22" t="str">
        <f>IF(Table1[[#This Row],[Vegetation type]]="N/A","",Table1[[#This Row],[Vegetation type]])</f>
        <v>Aerenchymous</v>
      </c>
      <c r="K162" s="22" t="str">
        <f>IF(Table1[[#This Row],[Reference]]="N/A","",Table1[[#This Row],[Reference]])</f>
        <v>Wassen et al., 2006</v>
      </c>
      <c r="L162" s="22" t="str">
        <f>IF(Table1[[#This Row],[Main source/flow path in]]="N/A","",Table1[[#This Row],[Main source/flow path in]])</f>
        <v>Precipitation and groundwater</v>
      </c>
      <c r="M162" s="22" t="str">
        <f>IF(Table1[[#This Row],[Main source/flow path in (simple)]]="N/A","",Table1[[#This Row],[Main source/flow path in (simple)]])</f>
        <v>P</v>
      </c>
      <c r="N162" s="22" t="str">
        <f>IF(Table1[[#This Row],[Main flow paths in buffer]]="N/A","",Table1[[#This Row],[Main flow paths in buffer]])</f>
        <v>Shallow lateral GW</v>
      </c>
      <c r="O162" s="22" t="str">
        <f>IF(Table1[[#This Row],[Inflow=&gt;Outflow]]="N/A","",Table1[[#This Row],[Inflow=&gt;Outflow]])</f>
        <v>SWU=&gt;GW</v>
      </c>
      <c r="P162" s="22" t="str">
        <f>IF(Table1[[#This Row],[Width '[m']]]="N/A","",Table1[[#This Row],[Width '[m']]])</f>
        <v/>
      </c>
      <c r="Q162" s="22" t="str">
        <f>IF(Table1[[#This Row],[Area '[m²']]]="N/A","",Table1[[#This Row],[Area '[m²']]])</f>
        <v/>
      </c>
      <c r="R162" s="22" t="str">
        <f>IF(Table1[[#This Row],[Qin '[m³/yr']]]="N/A","",Table1[[#This Row],[Qin '[m³/yr']]])</f>
        <v/>
      </c>
      <c r="S162" s="22" t="str">
        <f>IF(Table1[[#This Row],[Catchment area '[ha']]]="N/A","",Table1[[#This Row],[Catchment area '[ha']]])</f>
        <v/>
      </c>
      <c r="T162" s="22" t="str">
        <f>IF(Table1[[#This Row],[HLR '[mm']]]="N/A","",Table1[[#This Row],[HLR '[mm']]])</f>
        <v/>
      </c>
    </row>
    <row r="163" spans="1:20" x14ac:dyDescent="0.3">
      <c r="A163" s="22" t="str">
        <f>IF(Table1[[#This Row],[Country]]="N/A","",Table1[[#This Row],[Country]])</f>
        <v>Netherlands</v>
      </c>
      <c r="B163" s="22" t="str">
        <f>IF(Table1[[#This Row],[Study site]]="N/A","",Table1[[#This Row],[Study site]])</f>
        <v>Fens, NL</v>
      </c>
      <c r="C163" s="22" t="str">
        <f>IF(Table1[[#This Row],[WBZ-type]]="N/A","",Table1[[#This Row],[WBZ-type]])</f>
        <v>Rewetted Fens</v>
      </c>
      <c r="D163" s="22" t="str">
        <f>IF(Table1[[#This Row],[Nutrient]]="N/A","",Table1[[#This Row],[Nutrient]])</f>
        <v>total nitrogen</v>
      </c>
      <c r="E163" s="22">
        <f>IF(Table1[[#This Row],[Load (kg N, P/ha/yr)]]="N/A","",Table1[[#This Row],[Load (kg N, P/ha/yr)]])</f>
        <v>65</v>
      </c>
      <c r="F163" s="22">
        <f>IF(Table1[[#This Row],[Loss (kg N, P/ha/yr)]]="N/A","",Table1[[#This Row],[Loss (kg N, P/ha/yr)]])</f>
        <v>16.3</v>
      </c>
      <c r="G163" s="22">
        <f>IF(Table1[[#This Row],[Retention (kg N, P/ha/yr)]]="N/A","",Table1[[#This Row],[Retention (kg N, P/ha/yr)]])</f>
        <v>48.7</v>
      </c>
      <c r="H163" s="22">
        <f>IF(Table1[[#This Row],[Efficiency (%)]]="N/A","",Table1[[#This Row],[Efficiency (%)]])</f>
        <v>74.92307692307692</v>
      </c>
      <c r="I163" s="22" t="str">
        <f>IF(Table1[[#This Row],[Organic/Mineral Soil]]="N/A","",Table1[[#This Row],[Organic/Mineral Soil]])</f>
        <v>Organic</v>
      </c>
      <c r="J163" s="22" t="str">
        <f>IF(Table1[[#This Row],[Vegetation type]]="N/A","",Table1[[#This Row],[Vegetation type]])</f>
        <v>Aerenchymous</v>
      </c>
      <c r="K163" s="22" t="str">
        <f>IF(Table1[[#This Row],[Reference]]="N/A","",Table1[[#This Row],[Reference]])</f>
        <v>Olde Venterink et al., 2002; Koerselman und Verhoeven, 1992</v>
      </c>
      <c r="L163" s="22" t="str">
        <f>IF(Table1[[#This Row],[Main source/flow path in]]="N/A","",Table1[[#This Row],[Main source/flow path in]])</f>
        <v>Precipitation, surface water, and groundwater</v>
      </c>
      <c r="M163" s="22" t="str">
        <f>IF(Table1[[#This Row],[Main source/flow path in (simple)]]="N/A","",Table1[[#This Row],[Main source/flow path in (simple)]])</f>
        <v>P</v>
      </c>
      <c r="N163" s="22" t="str">
        <f>IF(Table1[[#This Row],[Main flow paths in buffer]]="N/A","",Table1[[#This Row],[Main flow paths in buffer]])</f>
        <v>Shallow lateral GW</v>
      </c>
      <c r="O163" s="22" t="str">
        <f>IF(Table1[[#This Row],[Inflow=&gt;Outflow]]="N/A","",Table1[[#This Row],[Inflow=&gt;Outflow]])</f>
        <v>SWU=&gt;GW</v>
      </c>
      <c r="P163" s="22" t="str">
        <f>IF(Table1[[#This Row],[Width '[m']]]="N/A","",Table1[[#This Row],[Width '[m']]])</f>
        <v/>
      </c>
      <c r="Q163" s="22" t="str">
        <f>IF(Table1[[#This Row],[Area '[m²']]]="N/A","",Table1[[#This Row],[Area '[m²']]])</f>
        <v/>
      </c>
      <c r="R163" s="22" t="str">
        <f>IF(Table1[[#This Row],[Qin '[m³/yr']]]="N/A","",Table1[[#This Row],[Qin '[m³/yr']]])</f>
        <v/>
      </c>
      <c r="S163" s="22" t="str">
        <f>IF(Table1[[#This Row],[Catchment area '[ha']]]="N/A","",Table1[[#This Row],[Catchment area '[ha']]])</f>
        <v/>
      </c>
      <c r="T163" s="22" t="str">
        <f>IF(Table1[[#This Row],[HLR '[mm']]]="N/A","",Table1[[#This Row],[HLR '[mm']]])</f>
        <v/>
      </c>
    </row>
    <row r="164" spans="1:20" hidden="1" x14ac:dyDescent="0.3">
      <c r="A164" s="22" t="str">
        <f>IF(Table1[[#This Row],[Country]]="N/A","",Table1[[#This Row],[Country]])</f>
        <v>Netherlands</v>
      </c>
      <c r="B164" s="22" t="str">
        <f>IF(Table1[[#This Row],[Study site]]="N/A","",Table1[[#This Row],[Study site]])</f>
        <v>Fens, NL</v>
      </c>
      <c r="C164" s="22" t="str">
        <f>IF(Table1[[#This Row],[WBZ-type]]="N/A","",Table1[[#This Row],[WBZ-type]])</f>
        <v>Rewetted Fens</v>
      </c>
      <c r="D164" s="22" t="str">
        <f>IF(Table1[[#This Row],[Nutrient]]="N/A","",Table1[[#This Row],[Nutrient]])</f>
        <v>total phosphorus</v>
      </c>
      <c r="E164" s="22">
        <f>IF(Table1[[#This Row],[Load (kg N, P/ha/yr)]]="N/A","",Table1[[#This Row],[Load (kg N, P/ha/yr)]])</f>
        <v>1.2</v>
      </c>
      <c r="F164" s="22">
        <f>IF(Table1[[#This Row],[Loss (kg N, P/ha/yr)]]="N/A","",Table1[[#This Row],[Loss (kg N, P/ha/yr)]])</f>
        <v>0.85</v>
      </c>
      <c r="G164" s="22">
        <f>IF(Table1[[#This Row],[Retention (kg N, P/ha/yr)]]="N/A","",Table1[[#This Row],[Retention (kg N, P/ha/yr)]])</f>
        <v>0.35</v>
      </c>
      <c r="H164" s="22">
        <f>IF(Table1[[#This Row],[Efficiency (%)]]="N/A","",Table1[[#This Row],[Efficiency (%)]])</f>
        <v>29.166666666666668</v>
      </c>
      <c r="I164" s="22" t="str">
        <f>IF(Table1[[#This Row],[Organic/Mineral Soil]]="N/A","",Table1[[#This Row],[Organic/Mineral Soil]])</f>
        <v>Organic</v>
      </c>
      <c r="J164" s="22" t="str">
        <f>IF(Table1[[#This Row],[Vegetation type]]="N/A","",Table1[[#This Row],[Vegetation type]])</f>
        <v>Aerenchymous</v>
      </c>
      <c r="K164" s="22" t="str">
        <f>IF(Table1[[#This Row],[Reference]]="N/A","",Table1[[#This Row],[Reference]])</f>
        <v>Olde Venterink et al., 2002; Koerselman und Verhoeven, 1992</v>
      </c>
      <c r="L164" s="22" t="str">
        <f>IF(Table1[[#This Row],[Main source/flow path in]]="N/A","",Table1[[#This Row],[Main source/flow path in]])</f>
        <v>Precipitation, surface water, and groundwater</v>
      </c>
      <c r="M164" s="22" t="str">
        <f>IF(Table1[[#This Row],[Main source/flow path in (simple)]]="N/A","",Table1[[#This Row],[Main source/flow path in (simple)]])</f>
        <v>P</v>
      </c>
      <c r="N164" s="22" t="str">
        <f>IF(Table1[[#This Row],[Main flow paths in buffer]]="N/A","",Table1[[#This Row],[Main flow paths in buffer]])</f>
        <v>Shallow lateral GW</v>
      </c>
      <c r="O164" s="22" t="str">
        <f>IF(Table1[[#This Row],[Inflow=&gt;Outflow]]="N/A","",Table1[[#This Row],[Inflow=&gt;Outflow]])</f>
        <v>SWU=&gt;GW</v>
      </c>
      <c r="P164" s="22" t="str">
        <f>IF(Table1[[#This Row],[Width '[m']]]="N/A","",Table1[[#This Row],[Width '[m']]])</f>
        <v/>
      </c>
      <c r="Q164" s="22" t="str">
        <f>IF(Table1[[#This Row],[Area '[m²']]]="N/A","",Table1[[#This Row],[Area '[m²']]])</f>
        <v/>
      </c>
      <c r="R164" s="22" t="str">
        <f>IF(Table1[[#This Row],[Qin '[m³/yr']]]="N/A","",Table1[[#This Row],[Qin '[m³/yr']]])</f>
        <v/>
      </c>
      <c r="S164" s="22" t="str">
        <f>IF(Table1[[#This Row],[Catchment area '[ha']]]="N/A","",Table1[[#This Row],[Catchment area '[ha']]])</f>
        <v/>
      </c>
      <c r="T164" s="22" t="str">
        <f>IF(Table1[[#This Row],[HLR '[mm']]]="N/A","",Table1[[#This Row],[HLR '[mm']]])</f>
        <v/>
      </c>
    </row>
    <row r="165" spans="1:20" hidden="1" x14ac:dyDescent="0.3">
      <c r="A165" s="22" t="str">
        <f>IF(Table1[[#This Row],[Country]]="N/A","",Table1[[#This Row],[Country]])</f>
        <v>Netherlands</v>
      </c>
      <c r="B165" s="22" t="str">
        <f>IF(Table1[[#This Row],[Study site]]="N/A","",Table1[[#This Row],[Study site]])</f>
        <v>Hazelbeek, NL</v>
      </c>
      <c r="C165" s="22" t="str">
        <f>IF(Table1[[#This Row],[WBZ-type]]="N/A","",Table1[[#This Row],[WBZ-type]])</f>
        <v>Rewetted Fen</v>
      </c>
      <c r="D165" s="22" t="str">
        <f>IF(Table1[[#This Row],[Nutrient]]="N/A","",Table1[[#This Row],[Nutrient]])</f>
        <v>nitrate</v>
      </c>
      <c r="E165" s="22">
        <f>IF(Table1[[#This Row],[Load (kg N, P/ha/yr)]]="N/A","",Table1[[#This Row],[Load (kg N, P/ha/yr)]])</f>
        <v>0</v>
      </c>
      <c r="F165" s="22">
        <f>IF(Table1[[#This Row],[Loss (kg N, P/ha/yr)]]="N/A","",Table1[[#This Row],[Loss (kg N, P/ha/yr)]])</f>
        <v>0</v>
      </c>
      <c r="G165" s="22">
        <f>IF(Table1[[#This Row],[Retention (kg N, P/ha/yr)]]="N/A","",Table1[[#This Row],[Retention (kg N, P/ha/yr)]])</f>
        <v>0</v>
      </c>
      <c r="H165" s="22">
        <f>IF(Table1[[#This Row],[Efficiency (%)]]="N/A","",Table1[[#This Row],[Efficiency (%)]])</f>
        <v>95</v>
      </c>
      <c r="I165" s="22" t="str">
        <f>IF(Table1[[#This Row],[Organic/Mineral Soil]]="N/A","",Table1[[#This Row],[Organic/Mineral Soil]])</f>
        <v>Organic</v>
      </c>
      <c r="J165" s="22" t="str">
        <f>IF(Table1[[#This Row],[Vegetation type]]="N/A","",Table1[[#This Row],[Vegetation type]])</f>
        <v>Arboraceous, mixed</v>
      </c>
      <c r="K165" s="22" t="str">
        <f>IF(Table1[[#This Row],[Reference]]="N/A","",Table1[[#This Row],[Reference]])</f>
        <v>Hefting &amp; de Klein, 1998</v>
      </c>
      <c r="L165" s="22" t="str">
        <f>IF(Table1[[#This Row],[Main source/flow path in]]="N/A","",Table1[[#This Row],[Main source/flow path in]])</f>
        <v>Groundwater</v>
      </c>
      <c r="M165" s="22" t="str">
        <f>IF(Table1[[#This Row],[Main source/flow path in (simple)]]="N/A","",Table1[[#This Row],[Main source/flow path in (simple)]])</f>
        <v>GW</v>
      </c>
      <c r="N165" s="22" t="str">
        <f>IF(Table1[[#This Row],[Main flow paths in buffer]]="N/A","",Table1[[#This Row],[Main flow paths in buffer]])</f>
        <v>Shallow lateral GW</v>
      </c>
      <c r="O165" s="22" t="str">
        <f>IF(Table1[[#This Row],[Inflow=&gt;Outflow]]="N/A","",Table1[[#This Row],[Inflow=&gt;Outflow]])</f>
        <v>GW=&gt;GW</v>
      </c>
      <c r="P165" s="22">
        <f>IF(Table1[[#This Row],[Width '[m']]]="N/A","",Table1[[#This Row],[Width '[m']]])</f>
        <v>25</v>
      </c>
      <c r="Q165" s="22" t="str">
        <f>IF(Table1[[#This Row],[Area '[m²']]]="N/A","",Table1[[#This Row],[Area '[m²']]])</f>
        <v/>
      </c>
      <c r="R165" s="22" t="str">
        <f>IF(Table1[[#This Row],[Qin '[m³/yr']]]="N/A","",Table1[[#This Row],[Qin '[m³/yr']]])</f>
        <v/>
      </c>
      <c r="S165" s="22" t="str">
        <f>IF(Table1[[#This Row],[Catchment area '[ha']]]="N/A","",Table1[[#This Row],[Catchment area '[ha']]])</f>
        <v/>
      </c>
      <c r="T165" s="22" t="str">
        <f>IF(Table1[[#This Row],[HLR '[mm']]]="N/A","",Table1[[#This Row],[HLR '[mm']]])</f>
        <v/>
      </c>
    </row>
    <row r="166" spans="1:20" hidden="1" x14ac:dyDescent="0.3">
      <c r="A166" s="22" t="str">
        <f>IF(Table1[[#This Row],[Country]]="N/A","",Table1[[#This Row],[Country]])</f>
        <v>Netherlands</v>
      </c>
      <c r="B166" s="22" t="str">
        <f>IF(Table1[[#This Row],[Study site]]="N/A","",Table1[[#This Row],[Study site]])</f>
        <v>Hazelbekke, NL</v>
      </c>
      <c r="C166" s="22" t="str">
        <f>IF(Table1[[#This Row],[WBZ-type]]="N/A","",Table1[[#This Row],[WBZ-type]])</f>
        <v>Rewetted Fen</v>
      </c>
      <c r="D166" s="22" t="str">
        <f>IF(Table1[[#This Row],[Nutrient]]="N/A","",Table1[[#This Row],[Nutrient]])</f>
        <v>nitrate</v>
      </c>
      <c r="E166" s="22">
        <f>IF(Table1[[#This Row],[Load (kg N, P/ha/yr)]]="N/A","",Table1[[#This Row],[Load (kg N, P/ha/yr)]])</f>
        <v>870</v>
      </c>
      <c r="F166" s="22">
        <f>IF(Table1[[#This Row],[Loss (kg N, P/ha/yr)]]="N/A","",Table1[[#This Row],[Loss (kg N, P/ha/yr)]])</f>
        <v>539.4</v>
      </c>
      <c r="G166" s="22">
        <f>IF(Table1[[#This Row],[Retention (kg N, P/ha/yr)]]="N/A","",Table1[[#This Row],[Retention (kg N, P/ha/yr)]])</f>
        <v>330.6</v>
      </c>
      <c r="H166" s="22">
        <f>IF(Table1[[#This Row],[Efficiency (%)]]="N/A","",Table1[[#This Row],[Efficiency (%)]])</f>
        <v>38</v>
      </c>
      <c r="I166" s="22" t="str">
        <f>IF(Table1[[#This Row],[Organic/Mineral Soil]]="N/A","",Table1[[#This Row],[Organic/Mineral Soil]])</f>
        <v>Organic</v>
      </c>
      <c r="J166" s="22" t="str">
        <f>IF(Table1[[#This Row],[Vegetation type]]="N/A","",Table1[[#This Row],[Vegetation type]])</f>
        <v>Arboraceous, mixed</v>
      </c>
      <c r="K166" s="22" t="str">
        <f>IF(Table1[[#This Row],[Reference]]="N/A","",Table1[[#This Row],[Reference]])</f>
        <v>Hefting et al, 2006</v>
      </c>
      <c r="L166" s="22" t="str">
        <f>IF(Table1[[#This Row],[Main source/flow path in]]="N/A","",Table1[[#This Row],[Main source/flow path in]])</f>
        <v>Groundwater</v>
      </c>
      <c r="M166" s="22" t="str">
        <f>IF(Table1[[#This Row],[Main source/flow path in (simple)]]="N/A","",Table1[[#This Row],[Main source/flow path in (simple)]])</f>
        <v>GW</v>
      </c>
      <c r="N166" s="22" t="str">
        <f>IF(Table1[[#This Row],[Main flow paths in buffer]]="N/A","",Table1[[#This Row],[Main flow paths in buffer]])</f>
        <v>Shallow lateral GW</v>
      </c>
      <c r="O166" s="22" t="str">
        <f>IF(Table1[[#This Row],[Inflow=&gt;Outflow]]="N/A","",Table1[[#This Row],[Inflow=&gt;Outflow]])</f>
        <v>GW=&gt;GW</v>
      </c>
      <c r="P166" s="22">
        <f>IF(Table1[[#This Row],[Width '[m']]]="N/A","",Table1[[#This Row],[Width '[m']]])</f>
        <v>25</v>
      </c>
      <c r="Q166" s="22" t="str">
        <f>IF(Table1[[#This Row],[Area '[m²']]]="N/A","",Table1[[#This Row],[Area '[m²']]])</f>
        <v/>
      </c>
      <c r="R166" s="22" t="str">
        <f>IF(Table1[[#This Row],[Qin '[m³/yr']]]="N/A","",Table1[[#This Row],[Qin '[m³/yr']]])</f>
        <v/>
      </c>
      <c r="S166" s="22" t="str">
        <f>IF(Table1[[#This Row],[Catchment area '[ha']]]="N/A","",Table1[[#This Row],[Catchment area '[ha']]])</f>
        <v/>
      </c>
      <c r="T166" s="22" t="str">
        <f>IF(Table1[[#This Row],[HLR '[mm']]]="N/A","",Table1[[#This Row],[HLR '[mm']]])</f>
        <v/>
      </c>
    </row>
    <row r="167" spans="1:20" x14ac:dyDescent="0.3">
      <c r="A167" s="22" t="str">
        <f>IF(Table1[[#This Row],[Country]]="N/A","",Table1[[#This Row],[Country]])</f>
        <v>Netherlands</v>
      </c>
      <c r="B167" s="22" t="str">
        <f>IF(Table1[[#This Row],[Study site]]="N/A","",Table1[[#This Row],[Study site]])</f>
        <v>Molenpolder, NL</v>
      </c>
      <c r="C167" s="22" t="str">
        <f>IF(Table1[[#This Row],[WBZ-type]]="N/A","",Table1[[#This Row],[WBZ-type]])</f>
        <v>Rewetted Fen</v>
      </c>
      <c r="D167" s="22" t="str">
        <f>IF(Table1[[#This Row],[Nutrient]]="N/A","",Table1[[#This Row],[Nutrient]])</f>
        <v>total nitrogen</v>
      </c>
      <c r="E167" s="22">
        <f>IF(Table1[[#This Row],[Load (kg N, P/ha/yr)]]="N/A","",Table1[[#This Row],[Load (kg N, P/ha/yr)]])</f>
        <v>53.1</v>
      </c>
      <c r="F167" s="22">
        <f>IF(Table1[[#This Row],[Loss (kg N, P/ha/yr)]]="N/A","",Table1[[#This Row],[Loss (kg N, P/ha/yr)]])</f>
        <v>10.3</v>
      </c>
      <c r="G167" s="22">
        <f>IF(Table1[[#This Row],[Retention (kg N, P/ha/yr)]]="N/A","",Table1[[#This Row],[Retention (kg N, P/ha/yr)]])</f>
        <v>42.8</v>
      </c>
      <c r="H167" s="22">
        <f>IF(Table1[[#This Row],[Efficiency (%)]]="N/A","",Table1[[#This Row],[Efficiency (%)]])</f>
        <v>80.602636534839917</v>
      </c>
      <c r="I167" s="22" t="str">
        <f>IF(Table1[[#This Row],[Organic/Mineral Soil]]="N/A","",Table1[[#This Row],[Organic/Mineral Soil]])</f>
        <v>Organic</v>
      </c>
      <c r="J167" s="22" t="str">
        <f>IF(Table1[[#This Row],[Vegetation type]]="N/A","",Table1[[#This Row],[Vegetation type]])</f>
        <v>Aerenchymous</v>
      </c>
      <c r="K167" s="22" t="str">
        <f>IF(Table1[[#This Row],[Reference]]="N/A","",Table1[[#This Row],[Reference]])</f>
        <v>Koerselman et al., 1990</v>
      </c>
      <c r="L167" s="22" t="str">
        <f>IF(Table1[[#This Row],[Main source/flow path in]]="N/A","",Table1[[#This Row],[Main source/flow path in]])</f>
        <v>River inundation and precipitation</v>
      </c>
      <c r="M167" s="22" t="str">
        <f>IF(Table1[[#This Row],[Main source/flow path in (simple)]]="N/A","",Table1[[#This Row],[Main source/flow path in (simple)]])</f>
        <v>SWR</v>
      </c>
      <c r="N167" s="22" t="str">
        <f>IF(Table1[[#This Row],[Main flow paths in buffer]]="N/A","",Table1[[#This Row],[Main flow paths in buffer]])</f>
        <v>Direct surface runoff</v>
      </c>
      <c r="O167" s="22" t="str">
        <f>IF(Table1[[#This Row],[Inflow=&gt;Outflow]]="N/A","",Table1[[#This Row],[Inflow=&gt;Outflow]])</f>
        <v>SWR=&gt;SR</v>
      </c>
      <c r="P167" s="22" t="str">
        <f>IF(Table1[[#This Row],[Width '[m']]]="N/A","",Table1[[#This Row],[Width '[m']]])</f>
        <v/>
      </c>
      <c r="Q167" s="22">
        <f>IF(Table1[[#This Row],[Area '[m²']]]="N/A","",Table1[[#This Row],[Area '[m²']]])</f>
        <v>1500</v>
      </c>
      <c r="R167" s="22">
        <f>IF(Table1[[#This Row],[Qin '[m³/yr']]]="N/A","",Table1[[#This Row],[Qin '[m³/yr']]])</f>
        <v>993</v>
      </c>
      <c r="S167" s="22" t="str">
        <f>IF(Table1[[#This Row],[Catchment area '[ha']]]="N/A","",Table1[[#This Row],[Catchment area '[ha']]])</f>
        <v/>
      </c>
      <c r="T167" s="22">
        <f>IF(Table1[[#This Row],[HLR '[mm']]]="N/A","",Table1[[#This Row],[HLR '[mm']]])</f>
        <v>662</v>
      </c>
    </row>
    <row r="168" spans="1:20" hidden="1" x14ac:dyDescent="0.3">
      <c r="A168" s="22" t="str">
        <f>IF(Table1[[#This Row],[Country]]="N/A","",Table1[[#This Row],[Country]])</f>
        <v>Netherlands</v>
      </c>
      <c r="B168" s="22" t="str">
        <f>IF(Table1[[#This Row],[Study site]]="N/A","",Table1[[#This Row],[Study site]])</f>
        <v>Molenpolder, NL</v>
      </c>
      <c r="C168" s="22" t="str">
        <f>IF(Table1[[#This Row],[WBZ-type]]="N/A","",Table1[[#This Row],[WBZ-type]])</f>
        <v>Rewetted Fen</v>
      </c>
      <c r="D168" s="22" t="str">
        <f>IF(Table1[[#This Row],[Nutrient]]="N/A","",Table1[[#This Row],[Nutrient]])</f>
        <v>SRP</v>
      </c>
      <c r="E168" s="22">
        <f>IF(Table1[[#This Row],[Load (kg N, P/ha/yr)]]="N/A","",Table1[[#This Row],[Load (kg N, P/ha/yr)]])</f>
        <v>0.17</v>
      </c>
      <c r="F168" s="22">
        <f>IF(Table1[[#This Row],[Loss (kg N, P/ha/yr)]]="N/A","",Table1[[#This Row],[Loss (kg N, P/ha/yr)]])</f>
        <v>0.65</v>
      </c>
      <c r="G168" s="22">
        <f>IF(Table1[[#This Row],[Retention (kg N, P/ha/yr)]]="N/A","",Table1[[#This Row],[Retention (kg N, P/ha/yr)]])</f>
        <v>-0.48</v>
      </c>
      <c r="H168" s="22">
        <f>IF(Table1[[#This Row],[Efficiency (%)]]="N/A","",Table1[[#This Row],[Efficiency (%)]])</f>
        <v>-282.35294117647055</v>
      </c>
      <c r="I168" s="22" t="str">
        <f>IF(Table1[[#This Row],[Organic/Mineral Soil]]="N/A","",Table1[[#This Row],[Organic/Mineral Soil]])</f>
        <v>Organic</v>
      </c>
      <c r="J168" s="22" t="str">
        <f>IF(Table1[[#This Row],[Vegetation type]]="N/A","",Table1[[#This Row],[Vegetation type]])</f>
        <v>Aerenchymous</v>
      </c>
      <c r="K168" s="22" t="str">
        <f>IF(Table1[[#This Row],[Reference]]="N/A","",Table1[[#This Row],[Reference]])</f>
        <v>Koerselman et al., 1990</v>
      </c>
      <c r="L168" s="22" t="str">
        <f>IF(Table1[[#This Row],[Main source/flow path in]]="N/A","",Table1[[#This Row],[Main source/flow path in]])</f>
        <v>River inundation and precipitation</v>
      </c>
      <c r="M168" s="22" t="str">
        <f>IF(Table1[[#This Row],[Main source/flow path in (simple)]]="N/A","",Table1[[#This Row],[Main source/flow path in (simple)]])</f>
        <v>SWR</v>
      </c>
      <c r="N168" s="22" t="str">
        <f>IF(Table1[[#This Row],[Main flow paths in buffer]]="N/A","",Table1[[#This Row],[Main flow paths in buffer]])</f>
        <v>Direct surface runoff</v>
      </c>
      <c r="O168" s="22" t="str">
        <f>IF(Table1[[#This Row],[Inflow=&gt;Outflow]]="N/A","",Table1[[#This Row],[Inflow=&gt;Outflow]])</f>
        <v>SWR=&gt;SR</v>
      </c>
      <c r="P168" s="22" t="str">
        <f>IF(Table1[[#This Row],[Width '[m']]]="N/A","",Table1[[#This Row],[Width '[m']]])</f>
        <v/>
      </c>
      <c r="Q168" s="22">
        <f>IF(Table1[[#This Row],[Area '[m²']]]="N/A","",Table1[[#This Row],[Area '[m²']]])</f>
        <v>1500</v>
      </c>
      <c r="R168" s="22">
        <f>IF(Table1[[#This Row],[Qin '[m³/yr']]]="N/A","",Table1[[#This Row],[Qin '[m³/yr']]])</f>
        <v>993</v>
      </c>
      <c r="S168" s="22" t="str">
        <f>IF(Table1[[#This Row],[Catchment area '[ha']]]="N/A","",Table1[[#This Row],[Catchment area '[ha']]])</f>
        <v/>
      </c>
      <c r="T168" s="22">
        <f>IF(Table1[[#This Row],[HLR '[mm']]]="N/A","",Table1[[#This Row],[HLR '[mm']]])</f>
        <v>662</v>
      </c>
    </row>
    <row r="169" spans="1:20" hidden="1" x14ac:dyDescent="0.3">
      <c r="A169" s="22" t="str">
        <f>IF(Table1[[#This Row],[Country]]="N/A","",Table1[[#This Row],[Country]])</f>
        <v>Netherlands</v>
      </c>
      <c r="B169" s="22" t="str">
        <f>IF(Table1[[#This Row],[Study site]]="N/A","",Table1[[#This Row],[Study site]])</f>
        <v>Molenpolder, NL</v>
      </c>
      <c r="C169" s="22" t="str">
        <f>IF(Table1[[#This Row],[WBZ-type]]="N/A","",Table1[[#This Row],[WBZ-type]])</f>
        <v>Rewetted Fen</v>
      </c>
      <c r="D169" s="22" t="str">
        <f>IF(Table1[[#This Row],[Nutrient]]="N/A","",Table1[[#This Row],[Nutrient]])</f>
        <v>total phosphorus</v>
      </c>
      <c r="E169" s="22">
        <f>IF(Table1[[#This Row],[Load (kg N, P/ha/yr)]]="N/A","",Table1[[#This Row],[Load (kg N, P/ha/yr)]])</f>
        <v>1.06</v>
      </c>
      <c r="F169" s="22">
        <f>IF(Table1[[#This Row],[Loss (kg N, P/ha/yr)]]="N/A","",Table1[[#This Row],[Loss (kg N, P/ha/yr)]])</f>
        <v>1.04</v>
      </c>
      <c r="G169" s="22">
        <f>IF(Table1[[#This Row],[Retention (kg N, P/ha/yr)]]="N/A","",Table1[[#This Row],[Retention (kg N, P/ha/yr)]])</f>
        <v>0.02</v>
      </c>
      <c r="H169" s="22">
        <f>IF(Table1[[#This Row],[Efficiency (%)]]="N/A","",Table1[[#This Row],[Efficiency (%)]])</f>
        <v>1.8867924528301887</v>
      </c>
      <c r="I169" s="22" t="str">
        <f>IF(Table1[[#This Row],[Organic/Mineral Soil]]="N/A","",Table1[[#This Row],[Organic/Mineral Soil]])</f>
        <v>Organic</v>
      </c>
      <c r="J169" s="22" t="str">
        <f>IF(Table1[[#This Row],[Vegetation type]]="N/A","",Table1[[#This Row],[Vegetation type]])</f>
        <v>Aerenchymous</v>
      </c>
      <c r="K169" s="22" t="str">
        <f>IF(Table1[[#This Row],[Reference]]="N/A","",Table1[[#This Row],[Reference]])</f>
        <v>Koerselman et al., 1990</v>
      </c>
      <c r="L169" s="22" t="str">
        <f>IF(Table1[[#This Row],[Main source/flow path in]]="N/A","",Table1[[#This Row],[Main source/flow path in]])</f>
        <v>River inundation and precipitation</v>
      </c>
      <c r="M169" s="22" t="str">
        <f>IF(Table1[[#This Row],[Main source/flow path in (simple)]]="N/A","",Table1[[#This Row],[Main source/flow path in (simple)]])</f>
        <v>SWR</v>
      </c>
      <c r="N169" s="22" t="str">
        <f>IF(Table1[[#This Row],[Main flow paths in buffer]]="N/A","",Table1[[#This Row],[Main flow paths in buffer]])</f>
        <v>Direct surface runoff</v>
      </c>
      <c r="O169" s="22" t="str">
        <f>IF(Table1[[#This Row],[Inflow=&gt;Outflow]]="N/A","",Table1[[#This Row],[Inflow=&gt;Outflow]])</f>
        <v>SWR=&gt;SR</v>
      </c>
      <c r="P169" s="22" t="str">
        <f>IF(Table1[[#This Row],[Width '[m']]]="N/A","",Table1[[#This Row],[Width '[m']]])</f>
        <v/>
      </c>
      <c r="Q169" s="22">
        <f>IF(Table1[[#This Row],[Area '[m²']]]="N/A","",Table1[[#This Row],[Area '[m²']]])</f>
        <v>1500</v>
      </c>
      <c r="R169" s="22">
        <f>IF(Table1[[#This Row],[Qin '[m³/yr']]]="N/A","",Table1[[#This Row],[Qin '[m³/yr']]])</f>
        <v>993</v>
      </c>
      <c r="S169" s="22" t="str">
        <f>IF(Table1[[#This Row],[Catchment area '[ha']]]="N/A","",Table1[[#This Row],[Catchment area '[ha']]])</f>
        <v/>
      </c>
      <c r="T169" s="22">
        <f>IF(Table1[[#This Row],[HLR '[mm']]]="N/A","",Table1[[#This Row],[HLR '[mm']]])</f>
        <v>662</v>
      </c>
    </row>
    <row r="170" spans="1:20" hidden="1" x14ac:dyDescent="0.3">
      <c r="A170" s="22" t="str">
        <f>IF(Table1[[#This Row],[Country]]="N/A","",Table1[[#This Row],[Country]])</f>
        <v>Netherlands</v>
      </c>
      <c r="B170" s="22" t="str">
        <f>IF(Table1[[#This Row],[Study site]]="N/A","",Table1[[#This Row],[Study site]])</f>
        <v>Ribbert, NL</v>
      </c>
      <c r="C170" s="22" t="str">
        <f>IF(Table1[[#This Row],[WBZ-type]]="N/A","",Table1[[#This Row],[WBZ-type]])</f>
        <v>Rewetted Fen</v>
      </c>
      <c r="D170" s="22" t="str">
        <f>IF(Table1[[#This Row],[Nutrient]]="N/A","",Table1[[#This Row],[Nutrient]])</f>
        <v>nitrate</v>
      </c>
      <c r="E170" s="22">
        <f>IF(Table1[[#This Row],[Load (kg N, P/ha/yr)]]="N/A","",Table1[[#This Row],[Load (kg N, P/ha/yr)]])</f>
        <v>150</v>
      </c>
      <c r="F170" s="22">
        <f>IF(Table1[[#This Row],[Loss (kg N, P/ha/yr)]]="N/A","",Table1[[#This Row],[Loss (kg N, P/ha/yr)]])</f>
        <v>55.5</v>
      </c>
      <c r="G170" s="22">
        <f>IF(Table1[[#This Row],[Retention (kg N, P/ha/yr)]]="N/A","",Table1[[#This Row],[Retention (kg N, P/ha/yr)]])</f>
        <v>94.5</v>
      </c>
      <c r="H170" s="22">
        <f>IF(Table1[[#This Row],[Efficiency (%)]]="N/A","",Table1[[#This Row],[Efficiency (%)]])</f>
        <v>63</v>
      </c>
      <c r="I170" s="22" t="str">
        <f>IF(Table1[[#This Row],[Organic/Mineral Soil]]="N/A","",Table1[[#This Row],[Organic/Mineral Soil]])</f>
        <v>Organic</v>
      </c>
      <c r="J170" s="22" t="str">
        <f>IF(Table1[[#This Row],[Vegetation type]]="N/A","",Table1[[#This Row],[Vegetation type]])</f>
        <v>Aerenchymous</v>
      </c>
      <c r="K170" s="22" t="str">
        <f>IF(Table1[[#This Row],[Reference]]="N/A","",Table1[[#This Row],[Reference]])</f>
        <v>Hefting et al, 2006</v>
      </c>
      <c r="L170" s="22" t="str">
        <f>IF(Table1[[#This Row],[Main source/flow path in]]="N/A","",Table1[[#This Row],[Main source/flow path in]])</f>
        <v>Groundwater</v>
      </c>
      <c r="M170" s="22" t="str">
        <f>IF(Table1[[#This Row],[Main source/flow path in (simple)]]="N/A","",Table1[[#This Row],[Main source/flow path in (simple)]])</f>
        <v>GW</v>
      </c>
      <c r="N170" s="22" t="str">
        <f>IF(Table1[[#This Row],[Main flow paths in buffer]]="N/A","",Table1[[#This Row],[Main flow paths in buffer]])</f>
        <v>Shallow lateral GW</v>
      </c>
      <c r="O170" s="22" t="str">
        <f>IF(Table1[[#This Row],[Inflow=&gt;Outflow]]="N/A","",Table1[[#This Row],[Inflow=&gt;Outflow]])</f>
        <v>GW=&gt;GW</v>
      </c>
      <c r="P170" s="22">
        <f>IF(Table1[[#This Row],[Width '[m']]]="N/A","",Table1[[#This Row],[Width '[m']]])</f>
        <v>25</v>
      </c>
      <c r="Q170" s="22" t="str">
        <f>IF(Table1[[#This Row],[Area '[m²']]]="N/A","",Table1[[#This Row],[Area '[m²']]])</f>
        <v/>
      </c>
      <c r="R170" s="22" t="str">
        <f>IF(Table1[[#This Row],[Qin '[m³/yr']]]="N/A","",Table1[[#This Row],[Qin '[m³/yr']]])</f>
        <v/>
      </c>
      <c r="S170" s="22" t="str">
        <f>IF(Table1[[#This Row],[Catchment area '[ha']]]="N/A","",Table1[[#This Row],[Catchment area '[ha']]])</f>
        <v/>
      </c>
      <c r="T170" s="22" t="str">
        <f>IF(Table1[[#This Row],[HLR '[mm']]]="N/A","",Table1[[#This Row],[HLR '[mm']]])</f>
        <v/>
      </c>
    </row>
    <row r="171" spans="1:20" x14ac:dyDescent="0.3">
      <c r="A171" s="22" t="str">
        <f>IF(Table1[[#This Row],[Country]]="N/A","",Table1[[#This Row],[Country]])</f>
        <v>Netherlands</v>
      </c>
      <c r="B171" s="22" t="str">
        <f>IF(Table1[[#This Row],[Study site]]="N/A","",Table1[[#This Row],[Study site]])</f>
        <v>Vechtplassen site 1, NL</v>
      </c>
      <c r="C171" s="22" t="str">
        <f>IF(Table1[[#This Row],[WBZ-type]]="N/A","",Table1[[#This Row],[WBZ-type]])</f>
        <v>Rewetted Fen</v>
      </c>
      <c r="D171" s="22" t="str">
        <f>IF(Table1[[#This Row],[Nutrient]]="N/A","",Table1[[#This Row],[Nutrient]])</f>
        <v>total nitrogen</v>
      </c>
      <c r="E171" s="22">
        <f>IF(Table1[[#This Row],[Load (kg N, P/ha/yr)]]="N/A","",Table1[[#This Row],[Load (kg N, P/ha/yr)]])</f>
        <v>41.18</v>
      </c>
      <c r="F171" s="22">
        <f>IF(Table1[[#This Row],[Loss (kg N, P/ha/yr)]]="N/A","",Table1[[#This Row],[Loss (kg N, P/ha/yr)]])</f>
        <v>3.04</v>
      </c>
      <c r="G171" s="22">
        <f>IF(Table1[[#This Row],[Retention (kg N, P/ha/yr)]]="N/A","",Table1[[#This Row],[Retention (kg N, P/ha/yr)]])</f>
        <v>38.14</v>
      </c>
      <c r="H171" s="22">
        <f>IF(Table1[[#This Row],[Efficiency (%)]]="N/A","",Table1[[#This Row],[Efficiency (%)]])</f>
        <v>92.617775619232631</v>
      </c>
      <c r="I171" s="22" t="str">
        <f>IF(Table1[[#This Row],[Organic/Mineral Soil]]="N/A","",Table1[[#This Row],[Organic/Mineral Soil]])</f>
        <v>Organic</v>
      </c>
      <c r="J171" s="22" t="str">
        <f>IF(Table1[[#This Row],[Vegetation type]]="N/A","",Table1[[#This Row],[Vegetation type]])</f>
        <v>Aerenchymous</v>
      </c>
      <c r="K171" s="22" t="str">
        <f>IF(Table1[[#This Row],[Reference]]="N/A","",Table1[[#This Row],[Reference]])</f>
        <v>Koerselman et al., 1988</v>
      </c>
      <c r="L171" s="22" t="str">
        <f>IF(Table1[[#This Row],[Main source/flow path in]]="N/A","",Table1[[#This Row],[Main source/flow path in]])</f>
        <v>Precipitation</v>
      </c>
      <c r="M171" s="22" t="str">
        <f>IF(Table1[[#This Row],[Main source/flow path in (simple)]]="N/A","",Table1[[#This Row],[Main source/flow path in (simple)]])</f>
        <v>P</v>
      </c>
      <c r="N171" s="22" t="str">
        <f>IF(Table1[[#This Row],[Main flow paths in buffer]]="N/A","",Table1[[#This Row],[Main flow paths in buffer]])</f>
        <v>Direct surface runoff</v>
      </c>
      <c r="O171" s="22" t="str">
        <f>IF(Table1[[#This Row],[Inflow=&gt;Outflow]]="N/A","",Table1[[#This Row],[Inflow=&gt;Outflow]])</f>
        <v>SWU=&gt;SR</v>
      </c>
      <c r="P171" s="22" t="str">
        <f>IF(Table1[[#This Row],[Width '[m']]]="N/A","",Table1[[#This Row],[Width '[m']]])</f>
        <v/>
      </c>
      <c r="Q171" s="22" t="str">
        <f>IF(Table1[[#This Row],[Area '[m²']]]="N/A","",Table1[[#This Row],[Area '[m²']]])</f>
        <v/>
      </c>
      <c r="R171" s="22" t="str">
        <f>IF(Table1[[#This Row],[Qin '[m³/yr']]]="N/A","",Table1[[#This Row],[Qin '[m³/yr']]])</f>
        <v/>
      </c>
      <c r="S171" s="22" t="str">
        <f>IF(Table1[[#This Row],[Catchment area '[ha']]]="N/A","",Table1[[#This Row],[Catchment area '[ha']]])</f>
        <v/>
      </c>
      <c r="T171" s="22">
        <f>IF(Table1[[#This Row],[HLR '[mm']]]="N/A","",Table1[[#This Row],[HLR '[mm']]])</f>
        <v>970</v>
      </c>
    </row>
    <row r="172" spans="1:20" hidden="1" x14ac:dyDescent="0.3">
      <c r="A172" s="22" t="str">
        <f>IF(Table1[[#This Row],[Country]]="N/A","",Table1[[#This Row],[Country]])</f>
        <v>Netherlands</v>
      </c>
      <c r="B172" s="22" t="str">
        <f>IF(Table1[[#This Row],[Study site]]="N/A","",Table1[[#This Row],[Study site]])</f>
        <v>Vechtplassen site 1, NL</v>
      </c>
      <c r="C172" s="22" t="str">
        <f>IF(Table1[[#This Row],[WBZ-type]]="N/A","",Table1[[#This Row],[WBZ-type]])</f>
        <v>Rewetted Fen</v>
      </c>
      <c r="D172" s="22" t="str">
        <f>IF(Table1[[#This Row],[Nutrient]]="N/A","",Table1[[#This Row],[Nutrient]])</f>
        <v>total phosphorus</v>
      </c>
      <c r="E172" s="22">
        <f>IF(Table1[[#This Row],[Load (kg N, P/ha/yr)]]="N/A","",Table1[[#This Row],[Load (kg N, P/ha/yr)]])</f>
        <v>2.2799999999999998</v>
      </c>
      <c r="F172" s="22">
        <f>IF(Table1[[#This Row],[Loss (kg N, P/ha/yr)]]="N/A","",Table1[[#This Row],[Loss (kg N, P/ha/yr)]])</f>
        <v>0.7</v>
      </c>
      <c r="G172" s="22">
        <f>IF(Table1[[#This Row],[Retention (kg N, P/ha/yr)]]="N/A","",Table1[[#This Row],[Retention (kg N, P/ha/yr)]])</f>
        <v>1.5799999999999998</v>
      </c>
      <c r="H172" s="22">
        <f>IF(Table1[[#This Row],[Efficiency (%)]]="N/A","",Table1[[#This Row],[Efficiency (%)]])</f>
        <v>69.298245614035096</v>
      </c>
      <c r="I172" s="22" t="str">
        <f>IF(Table1[[#This Row],[Organic/Mineral Soil]]="N/A","",Table1[[#This Row],[Organic/Mineral Soil]])</f>
        <v>Organic</v>
      </c>
      <c r="J172" s="22" t="str">
        <f>IF(Table1[[#This Row],[Vegetation type]]="N/A","",Table1[[#This Row],[Vegetation type]])</f>
        <v>Aerenchymous</v>
      </c>
      <c r="K172" s="22" t="str">
        <f>IF(Table1[[#This Row],[Reference]]="N/A","",Table1[[#This Row],[Reference]])</f>
        <v>Koerselman et al., 1988</v>
      </c>
      <c r="L172" s="22" t="str">
        <f>IF(Table1[[#This Row],[Main source/flow path in]]="N/A","",Table1[[#This Row],[Main source/flow path in]])</f>
        <v>Precipitation</v>
      </c>
      <c r="M172" s="22" t="str">
        <f>IF(Table1[[#This Row],[Main source/flow path in (simple)]]="N/A","",Table1[[#This Row],[Main source/flow path in (simple)]])</f>
        <v>P</v>
      </c>
      <c r="N172" s="22" t="str">
        <f>IF(Table1[[#This Row],[Main flow paths in buffer]]="N/A","",Table1[[#This Row],[Main flow paths in buffer]])</f>
        <v>Direct surface runoff</v>
      </c>
      <c r="O172" s="22" t="str">
        <f>IF(Table1[[#This Row],[Inflow=&gt;Outflow]]="N/A","",Table1[[#This Row],[Inflow=&gt;Outflow]])</f>
        <v>SWU=&gt;SR</v>
      </c>
      <c r="P172" s="22" t="str">
        <f>IF(Table1[[#This Row],[Width '[m']]]="N/A","",Table1[[#This Row],[Width '[m']]])</f>
        <v/>
      </c>
      <c r="Q172" s="22" t="str">
        <f>IF(Table1[[#This Row],[Area '[m²']]]="N/A","",Table1[[#This Row],[Area '[m²']]])</f>
        <v/>
      </c>
      <c r="R172" s="22" t="str">
        <f>IF(Table1[[#This Row],[Qin '[m³/yr']]]="N/A","",Table1[[#This Row],[Qin '[m³/yr']]])</f>
        <v/>
      </c>
      <c r="S172" s="22" t="str">
        <f>IF(Table1[[#This Row],[Catchment area '[ha']]]="N/A","",Table1[[#This Row],[Catchment area '[ha']]])</f>
        <v/>
      </c>
      <c r="T172" s="22">
        <f>IF(Table1[[#This Row],[HLR '[mm']]]="N/A","",Table1[[#This Row],[HLR '[mm']]])</f>
        <v>970</v>
      </c>
    </row>
    <row r="173" spans="1:20" x14ac:dyDescent="0.3">
      <c r="A173" s="22" t="str">
        <f>IF(Table1[[#This Row],[Country]]="N/A","",Table1[[#This Row],[Country]])</f>
        <v>Netherlands</v>
      </c>
      <c r="B173" s="22" t="str">
        <f>IF(Table1[[#This Row],[Study site]]="N/A","",Table1[[#This Row],[Study site]])</f>
        <v>Vechtplassen site 2, NL</v>
      </c>
      <c r="C173" s="22" t="str">
        <f>IF(Table1[[#This Row],[WBZ-type]]="N/A","",Table1[[#This Row],[WBZ-type]])</f>
        <v>Rewetted Fen</v>
      </c>
      <c r="D173" s="22" t="str">
        <f>IF(Table1[[#This Row],[Nutrient]]="N/A","",Table1[[#This Row],[Nutrient]])</f>
        <v>total nitrogen</v>
      </c>
      <c r="E173" s="22">
        <f>IF(Table1[[#This Row],[Load (kg N, P/ha/yr)]]="N/A","",Table1[[#This Row],[Load (kg N, P/ha/yr)]])</f>
        <v>42.59</v>
      </c>
      <c r="F173" s="22">
        <f>IF(Table1[[#This Row],[Loss (kg N, P/ha/yr)]]="N/A","",Table1[[#This Row],[Loss (kg N, P/ha/yr)]])</f>
        <v>0.63</v>
      </c>
      <c r="G173" s="22">
        <f>IF(Table1[[#This Row],[Retention (kg N, P/ha/yr)]]="N/A","",Table1[[#This Row],[Retention (kg N, P/ha/yr)]])</f>
        <v>41.96</v>
      </c>
      <c r="H173" s="22">
        <f>IF(Table1[[#This Row],[Efficiency (%)]]="N/A","",Table1[[#This Row],[Efficiency (%)]])</f>
        <v>98.520779525710253</v>
      </c>
      <c r="I173" s="22" t="str">
        <f>IF(Table1[[#This Row],[Organic/Mineral Soil]]="N/A","",Table1[[#This Row],[Organic/Mineral Soil]])</f>
        <v>Organic</v>
      </c>
      <c r="J173" s="22" t="str">
        <f>IF(Table1[[#This Row],[Vegetation type]]="N/A","",Table1[[#This Row],[Vegetation type]])</f>
        <v>Aerenchymous</v>
      </c>
      <c r="K173" s="22" t="str">
        <f>IF(Table1[[#This Row],[Reference]]="N/A","",Table1[[#This Row],[Reference]])</f>
        <v>Koerselman et al., 1988</v>
      </c>
      <c r="L173" s="22" t="str">
        <f>IF(Table1[[#This Row],[Main source/flow path in]]="N/A","",Table1[[#This Row],[Main source/flow path in]])</f>
        <v>Precipitation and groundwater</v>
      </c>
      <c r="M173" s="22" t="str">
        <f>IF(Table1[[#This Row],[Main source/flow path in (simple)]]="N/A","",Table1[[#This Row],[Main source/flow path in (simple)]])</f>
        <v>P</v>
      </c>
      <c r="N173" s="22" t="str">
        <f>IF(Table1[[#This Row],[Main flow paths in buffer]]="N/A","",Table1[[#This Row],[Main flow paths in buffer]])</f>
        <v>Direct surface runoff and groundwater</v>
      </c>
      <c r="O173" s="22" t="str">
        <f>IF(Table1[[#This Row],[Inflow=&gt;Outflow]]="N/A","",Table1[[#This Row],[Inflow=&gt;Outflow]])</f>
        <v>SWU=&gt;SR</v>
      </c>
      <c r="P173" s="22" t="str">
        <f>IF(Table1[[#This Row],[Width '[m']]]="N/A","",Table1[[#This Row],[Width '[m']]])</f>
        <v/>
      </c>
      <c r="Q173" s="22" t="str">
        <f>IF(Table1[[#This Row],[Area '[m²']]]="N/A","",Table1[[#This Row],[Area '[m²']]])</f>
        <v/>
      </c>
      <c r="R173" s="22" t="str">
        <f>IF(Table1[[#This Row],[Qin '[m³/yr']]]="N/A","",Table1[[#This Row],[Qin '[m³/yr']]])</f>
        <v/>
      </c>
      <c r="S173" s="22" t="str">
        <f>IF(Table1[[#This Row],[Catchment area '[ha']]]="N/A","",Table1[[#This Row],[Catchment area '[ha']]])</f>
        <v/>
      </c>
      <c r="T173" s="22">
        <f>IF(Table1[[#This Row],[HLR '[mm']]]="N/A","",Table1[[#This Row],[HLR '[mm']]])</f>
        <v>970</v>
      </c>
    </row>
    <row r="174" spans="1:20" hidden="1" x14ac:dyDescent="0.3">
      <c r="A174" s="22" t="str">
        <f>IF(Table1[[#This Row],[Country]]="N/A","",Table1[[#This Row],[Country]])</f>
        <v>Netherlands</v>
      </c>
      <c r="B174" s="22" t="str">
        <f>IF(Table1[[#This Row],[Study site]]="N/A","",Table1[[#This Row],[Study site]])</f>
        <v>Vechtplassen site 2, NL</v>
      </c>
      <c r="C174" s="22" t="str">
        <f>IF(Table1[[#This Row],[WBZ-type]]="N/A","",Table1[[#This Row],[WBZ-type]])</f>
        <v>Rewetted Fen</v>
      </c>
      <c r="D174" s="22" t="str">
        <f>IF(Table1[[#This Row],[Nutrient]]="N/A","",Table1[[#This Row],[Nutrient]])</f>
        <v>total phosphorus</v>
      </c>
      <c r="E174" s="22">
        <f>IF(Table1[[#This Row],[Load (kg N, P/ha/yr)]]="N/A","",Table1[[#This Row],[Load (kg N, P/ha/yr)]])</f>
        <v>1.61</v>
      </c>
      <c r="F174" s="22">
        <f>IF(Table1[[#This Row],[Loss (kg N, P/ha/yr)]]="N/A","",Table1[[#This Row],[Loss (kg N, P/ha/yr)]])</f>
        <v>0.12</v>
      </c>
      <c r="G174" s="22">
        <f>IF(Table1[[#This Row],[Retention (kg N, P/ha/yr)]]="N/A","",Table1[[#This Row],[Retention (kg N, P/ha/yr)]])</f>
        <v>1.4900000000000002</v>
      </c>
      <c r="H174" s="22">
        <f>IF(Table1[[#This Row],[Efficiency (%)]]="N/A","",Table1[[#This Row],[Efficiency (%)]])</f>
        <v>92.546583850931682</v>
      </c>
      <c r="I174" s="22" t="str">
        <f>IF(Table1[[#This Row],[Organic/Mineral Soil]]="N/A","",Table1[[#This Row],[Organic/Mineral Soil]])</f>
        <v>Organic</v>
      </c>
      <c r="J174" s="22" t="str">
        <f>IF(Table1[[#This Row],[Vegetation type]]="N/A","",Table1[[#This Row],[Vegetation type]])</f>
        <v>Aerenchymous</v>
      </c>
      <c r="K174" s="22" t="str">
        <f>IF(Table1[[#This Row],[Reference]]="N/A","",Table1[[#This Row],[Reference]])</f>
        <v>Koerselman et al., 1988</v>
      </c>
      <c r="L174" s="22" t="str">
        <f>IF(Table1[[#This Row],[Main source/flow path in]]="N/A","",Table1[[#This Row],[Main source/flow path in]])</f>
        <v>Precipitation and groundwater</v>
      </c>
      <c r="M174" s="22" t="str">
        <f>IF(Table1[[#This Row],[Main source/flow path in (simple)]]="N/A","",Table1[[#This Row],[Main source/flow path in (simple)]])</f>
        <v>P</v>
      </c>
      <c r="N174" s="22" t="str">
        <f>IF(Table1[[#This Row],[Main flow paths in buffer]]="N/A","",Table1[[#This Row],[Main flow paths in buffer]])</f>
        <v>Direct surface runoff and groundwater</v>
      </c>
      <c r="O174" s="22" t="str">
        <f>IF(Table1[[#This Row],[Inflow=&gt;Outflow]]="N/A","",Table1[[#This Row],[Inflow=&gt;Outflow]])</f>
        <v>SWU=&gt;SR</v>
      </c>
      <c r="P174" s="22" t="str">
        <f>IF(Table1[[#This Row],[Width '[m']]]="N/A","",Table1[[#This Row],[Width '[m']]])</f>
        <v/>
      </c>
      <c r="Q174" s="22" t="str">
        <f>IF(Table1[[#This Row],[Area '[m²']]]="N/A","",Table1[[#This Row],[Area '[m²']]])</f>
        <v/>
      </c>
      <c r="R174" s="22" t="str">
        <f>IF(Table1[[#This Row],[Qin '[m³/yr']]]="N/A","",Table1[[#This Row],[Qin '[m³/yr']]])</f>
        <v/>
      </c>
      <c r="S174" s="22" t="str">
        <f>IF(Table1[[#This Row],[Catchment area '[ha']]]="N/A","",Table1[[#This Row],[Catchment area '[ha']]])</f>
        <v/>
      </c>
      <c r="T174" s="22">
        <f>IF(Table1[[#This Row],[HLR '[mm']]]="N/A","",Table1[[#This Row],[HLR '[mm']]])</f>
        <v>970</v>
      </c>
    </row>
    <row r="175" spans="1:20" x14ac:dyDescent="0.3">
      <c r="A175" s="22" t="str">
        <f>IF(Table1[[#This Row],[Country]]="N/A","",Table1[[#This Row],[Country]])</f>
        <v>Netherlands</v>
      </c>
      <c r="B175" s="22" t="str">
        <f>IF(Table1[[#This Row],[Study site]]="N/A","",Table1[[#This Row],[Study site]])</f>
        <v>Westbroek Polder, NL</v>
      </c>
      <c r="C175" s="22" t="str">
        <f>IF(Table1[[#This Row],[WBZ-type]]="N/A","",Table1[[#This Row],[WBZ-type]])</f>
        <v>Rewetted Fen</v>
      </c>
      <c r="D175" s="22" t="str">
        <f>IF(Table1[[#This Row],[Nutrient]]="N/A","",Table1[[#This Row],[Nutrient]])</f>
        <v>total nitrogen</v>
      </c>
      <c r="E175" s="22">
        <f>IF(Table1[[#This Row],[Load (kg N, P/ha/yr)]]="N/A","",Table1[[#This Row],[Load (kg N, P/ha/yr)]])</f>
        <v>75.599999999999994</v>
      </c>
      <c r="F175" s="22">
        <f>IF(Table1[[#This Row],[Loss (kg N, P/ha/yr)]]="N/A","",Table1[[#This Row],[Loss (kg N, P/ha/yr)]])</f>
        <v>21.2</v>
      </c>
      <c r="G175" s="22">
        <f>IF(Table1[[#This Row],[Retention (kg N, P/ha/yr)]]="N/A","",Table1[[#This Row],[Retention (kg N, P/ha/yr)]])</f>
        <v>54.399999999999991</v>
      </c>
      <c r="H175" s="22">
        <f>IF(Table1[[#This Row],[Efficiency (%)]]="N/A","",Table1[[#This Row],[Efficiency (%)]])</f>
        <v>71.957671957671948</v>
      </c>
      <c r="I175" s="22" t="str">
        <f>IF(Table1[[#This Row],[Organic/Mineral Soil]]="N/A","",Table1[[#This Row],[Organic/Mineral Soil]])</f>
        <v>Organic</v>
      </c>
      <c r="J175" s="22" t="str">
        <f>IF(Table1[[#This Row],[Vegetation type]]="N/A","",Table1[[#This Row],[Vegetation type]])</f>
        <v>Aerenchymous</v>
      </c>
      <c r="K175" s="22" t="str">
        <f>IF(Table1[[#This Row],[Reference]]="N/A","",Table1[[#This Row],[Reference]])</f>
        <v>Koerselman et al., 1990</v>
      </c>
      <c r="L175" s="22" t="str">
        <f>IF(Table1[[#This Row],[Main source/flow path in]]="N/A","",Table1[[#This Row],[Main source/flow path in]])</f>
        <v>Groundwater</v>
      </c>
      <c r="M175" s="22" t="str">
        <f>IF(Table1[[#This Row],[Main source/flow path in (simple)]]="N/A","",Table1[[#This Row],[Main source/flow path in (simple)]])</f>
        <v>GW</v>
      </c>
      <c r="N175" s="22" t="str">
        <f>IF(Table1[[#This Row],[Main flow paths in buffer]]="N/A","",Table1[[#This Row],[Main flow paths in buffer]])</f>
        <v>GW exfiltration =&gt; surface flow (return flow)</v>
      </c>
      <c r="O175" s="22" t="str">
        <f>IF(Table1[[#This Row],[Inflow=&gt;Outflow]]="N/A","",Table1[[#This Row],[Inflow=&gt;Outflow]])</f>
        <v>GW=&gt;SR</v>
      </c>
      <c r="P175" s="22" t="str">
        <f>IF(Table1[[#This Row],[Width '[m']]]="N/A","",Table1[[#This Row],[Width '[m']]])</f>
        <v/>
      </c>
      <c r="Q175" s="22">
        <f>IF(Table1[[#This Row],[Area '[m²']]]="N/A","",Table1[[#This Row],[Area '[m²']]])</f>
        <v>3200</v>
      </c>
      <c r="R175" s="22">
        <f>IF(Table1[[#This Row],[Qin '[m³/yr']]]="N/A","",Table1[[#This Row],[Qin '[m³/yr']]])</f>
        <v>4537.5999999999995</v>
      </c>
      <c r="S175" s="22" t="str">
        <f>IF(Table1[[#This Row],[Catchment area '[ha']]]="N/A","",Table1[[#This Row],[Catchment area '[ha']]])</f>
        <v/>
      </c>
      <c r="T175" s="22">
        <f>IF(Table1[[#This Row],[HLR '[mm']]]="N/A","",Table1[[#This Row],[HLR '[mm']]])</f>
        <v>1418</v>
      </c>
    </row>
    <row r="176" spans="1:20" hidden="1" x14ac:dyDescent="0.3">
      <c r="A176" s="22" t="str">
        <f>IF(Table1[[#This Row],[Country]]="N/A","",Table1[[#This Row],[Country]])</f>
        <v>Netherlands</v>
      </c>
      <c r="B176" s="22" t="str">
        <f>IF(Table1[[#This Row],[Study site]]="N/A","",Table1[[#This Row],[Study site]])</f>
        <v>Westbroek Polder, NL</v>
      </c>
      <c r="C176" s="22" t="str">
        <f>IF(Table1[[#This Row],[WBZ-type]]="N/A","",Table1[[#This Row],[WBZ-type]])</f>
        <v>Rewetted Fen</v>
      </c>
      <c r="D176" s="22" t="str">
        <f>IF(Table1[[#This Row],[Nutrient]]="N/A","",Table1[[#This Row],[Nutrient]])</f>
        <v>SRP</v>
      </c>
      <c r="E176" s="22">
        <f>IF(Table1[[#This Row],[Load (kg N, P/ha/yr)]]="N/A","",Table1[[#This Row],[Load (kg N, P/ha/yr)]])</f>
        <v>0.55000000000000004</v>
      </c>
      <c r="F176" s="22">
        <f>IF(Table1[[#This Row],[Loss (kg N, P/ha/yr)]]="N/A","",Table1[[#This Row],[Loss (kg N, P/ha/yr)]])</f>
        <v>0.39</v>
      </c>
      <c r="G176" s="22">
        <f>IF(Table1[[#This Row],[Retention (kg N, P/ha/yr)]]="N/A","",Table1[[#This Row],[Retention (kg N, P/ha/yr)]])</f>
        <v>0.16</v>
      </c>
      <c r="H176" s="22">
        <f>IF(Table1[[#This Row],[Efficiency (%)]]="N/A","",Table1[[#This Row],[Efficiency (%)]])</f>
        <v>29.09090909090909</v>
      </c>
      <c r="I176" s="22" t="str">
        <f>IF(Table1[[#This Row],[Organic/Mineral Soil]]="N/A","",Table1[[#This Row],[Organic/Mineral Soil]])</f>
        <v>Organic</v>
      </c>
      <c r="J176" s="22" t="str">
        <f>IF(Table1[[#This Row],[Vegetation type]]="N/A","",Table1[[#This Row],[Vegetation type]])</f>
        <v>Aerenchymous</v>
      </c>
      <c r="K176" s="22" t="str">
        <f>IF(Table1[[#This Row],[Reference]]="N/A","",Table1[[#This Row],[Reference]])</f>
        <v>Koerselman et al., 1990</v>
      </c>
      <c r="L176" s="22" t="str">
        <f>IF(Table1[[#This Row],[Main source/flow path in]]="N/A","",Table1[[#This Row],[Main source/flow path in]])</f>
        <v>Groundwater</v>
      </c>
      <c r="M176" s="22" t="str">
        <f>IF(Table1[[#This Row],[Main source/flow path in (simple)]]="N/A","",Table1[[#This Row],[Main source/flow path in (simple)]])</f>
        <v>GW</v>
      </c>
      <c r="N176" s="22" t="str">
        <f>IF(Table1[[#This Row],[Main flow paths in buffer]]="N/A","",Table1[[#This Row],[Main flow paths in buffer]])</f>
        <v>GW exfiltration =&gt; surface flow (return flow)</v>
      </c>
      <c r="O176" s="22" t="str">
        <f>IF(Table1[[#This Row],[Inflow=&gt;Outflow]]="N/A","",Table1[[#This Row],[Inflow=&gt;Outflow]])</f>
        <v>GW=&gt;SR</v>
      </c>
      <c r="P176" s="22" t="str">
        <f>IF(Table1[[#This Row],[Width '[m']]]="N/A","",Table1[[#This Row],[Width '[m']]])</f>
        <v/>
      </c>
      <c r="Q176" s="22">
        <f>IF(Table1[[#This Row],[Area '[m²']]]="N/A","",Table1[[#This Row],[Area '[m²']]])</f>
        <v>3200</v>
      </c>
      <c r="R176" s="22">
        <f>IF(Table1[[#This Row],[Qin '[m³/yr']]]="N/A","",Table1[[#This Row],[Qin '[m³/yr']]])</f>
        <v>4537.5999999999995</v>
      </c>
      <c r="S176" s="22" t="str">
        <f>IF(Table1[[#This Row],[Catchment area '[ha']]]="N/A","",Table1[[#This Row],[Catchment area '[ha']]])</f>
        <v/>
      </c>
      <c r="T176" s="22">
        <f>IF(Table1[[#This Row],[HLR '[mm']]]="N/A","",Table1[[#This Row],[HLR '[mm']]])</f>
        <v>1418</v>
      </c>
    </row>
    <row r="177" spans="1:20" hidden="1" x14ac:dyDescent="0.3">
      <c r="A177" s="22" t="str">
        <f>IF(Table1[[#This Row],[Country]]="N/A","",Table1[[#This Row],[Country]])</f>
        <v>Netherlands</v>
      </c>
      <c r="B177" s="22" t="str">
        <f>IF(Table1[[#This Row],[Study site]]="N/A","",Table1[[#This Row],[Study site]])</f>
        <v>Westbroek Polder, NL</v>
      </c>
      <c r="C177" s="22" t="str">
        <f>IF(Table1[[#This Row],[WBZ-type]]="N/A","",Table1[[#This Row],[WBZ-type]])</f>
        <v>Rewetted Fen</v>
      </c>
      <c r="D177" s="22" t="str">
        <f>IF(Table1[[#This Row],[Nutrient]]="N/A","",Table1[[#This Row],[Nutrient]])</f>
        <v>total phosphorus</v>
      </c>
      <c r="E177" s="22">
        <f>IF(Table1[[#This Row],[Load (kg N, P/ha/yr)]]="N/A","",Table1[[#This Row],[Load (kg N, P/ha/yr)]])</f>
        <v>1.27</v>
      </c>
      <c r="F177" s="22">
        <f>IF(Table1[[#This Row],[Loss (kg N, P/ha/yr)]]="N/A","",Table1[[#This Row],[Loss (kg N, P/ha/yr)]])</f>
        <v>0.68</v>
      </c>
      <c r="G177" s="22">
        <f>IF(Table1[[#This Row],[Retention (kg N, P/ha/yr)]]="N/A","",Table1[[#This Row],[Retention (kg N, P/ha/yr)]])</f>
        <v>0.59</v>
      </c>
      <c r="H177" s="22">
        <f>IF(Table1[[#This Row],[Efficiency (%)]]="N/A","",Table1[[#This Row],[Efficiency (%)]])</f>
        <v>46.456692913385822</v>
      </c>
      <c r="I177" s="22" t="str">
        <f>IF(Table1[[#This Row],[Organic/Mineral Soil]]="N/A","",Table1[[#This Row],[Organic/Mineral Soil]])</f>
        <v>Organic</v>
      </c>
      <c r="J177" s="22" t="str">
        <f>IF(Table1[[#This Row],[Vegetation type]]="N/A","",Table1[[#This Row],[Vegetation type]])</f>
        <v>Aerenchymous</v>
      </c>
      <c r="K177" s="22" t="str">
        <f>IF(Table1[[#This Row],[Reference]]="N/A","",Table1[[#This Row],[Reference]])</f>
        <v>Koerselman et al., 1990</v>
      </c>
      <c r="L177" s="22" t="str">
        <f>IF(Table1[[#This Row],[Main source/flow path in]]="N/A","",Table1[[#This Row],[Main source/flow path in]])</f>
        <v>Groundwater</v>
      </c>
      <c r="M177" s="22" t="str">
        <f>IF(Table1[[#This Row],[Main source/flow path in (simple)]]="N/A","",Table1[[#This Row],[Main source/flow path in (simple)]])</f>
        <v>GW</v>
      </c>
      <c r="N177" s="22" t="str">
        <f>IF(Table1[[#This Row],[Main flow paths in buffer]]="N/A","",Table1[[#This Row],[Main flow paths in buffer]])</f>
        <v>GW exfiltration =&gt; surface flow (return flow)</v>
      </c>
      <c r="O177" s="22" t="str">
        <f>IF(Table1[[#This Row],[Inflow=&gt;Outflow]]="N/A","",Table1[[#This Row],[Inflow=&gt;Outflow]])</f>
        <v>GW=&gt;SR</v>
      </c>
      <c r="P177" s="22" t="str">
        <f>IF(Table1[[#This Row],[Width '[m']]]="N/A","",Table1[[#This Row],[Width '[m']]])</f>
        <v/>
      </c>
      <c r="Q177" s="22">
        <f>IF(Table1[[#This Row],[Area '[m²']]]="N/A","",Table1[[#This Row],[Area '[m²']]])</f>
        <v>3200</v>
      </c>
      <c r="R177" s="22">
        <f>IF(Table1[[#This Row],[Qin '[m³/yr']]]="N/A","",Table1[[#This Row],[Qin '[m³/yr']]])</f>
        <v>4537.5999999999995</v>
      </c>
      <c r="S177" s="22" t="str">
        <f>IF(Table1[[#This Row],[Catchment area '[ha']]]="N/A","",Table1[[#This Row],[Catchment area '[ha']]])</f>
        <v/>
      </c>
      <c r="T177" s="22">
        <f>IF(Table1[[#This Row],[HLR '[mm']]]="N/A","",Table1[[#This Row],[HLR '[mm']]])</f>
        <v>1418</v>
      </c>
    </row>
    <row r="178" spans="1:20" hidden="1" x14ac:dyDescent="0.3">
      <c r="A178" s="22" t="str">
        <f>IF(Table1[[#This Row],[Country]]="N/A","",Table1[[#This Row],[Country]])</f>
        <v>New Zealand</v>
      </c>
      <c r="B178" s="22" t="str">
        <f>IF(Table1[[#This Row],[Study site]]="N/A","",Table1[[#This Row],[Study site]])</f>
        <v>Scotsman Valley, NZ</v>
      </c>
      <c r="C178" s="22" t="str">
        <f>IF(Table1[[#This Row],[WBZ-type]]="N/A","",Table1[[#This Row],[WBZ-type]])</f>
        <v>Riparian Wetland/Bank</v>
      </c>
      <c r="D178" s="22" t="str">
        <f>IF(Table1[[#This Row],[Nutrient]]="N/A","",Table1[[#This Row],[Nutrient]])</f>
        <v>nitrate</v>
      </c>
      <c r="E178" s="22">
        <f>IF(Table1[[#This Row],[Load (kg N, P/ha/yr)]]="N/A","",Table1[[#This Row],[Load (kg N, P/ha/yr)]])</f>
        <v>0</v>
      </c>
      <c r="F178" s="22">
        <f>IF(Table1[[#This Row],[Loss (kg N, P/ha/yr)]]="N/A","",Table1[[#This Row],[Loss (kg N, P/ha/yr)]])</f>
        <v>0</v>
      </c>
      <c r="G178" s="22">
        <f>IF(Table1[[#This Row],[Retention (kg N, P/ha/yr)]]="N/A","",Table1[[#This Row],[Retention (kg N, P/ha/yr)]])</f>
        <v>0</v>
      </c>
      <c r="H178" s="22">
        <f>IF(Table1[[#This Row],[Efficiency (%)]]="N/A","",Table1[[#This Row],[Efficiency (%)]])</f>
        <v>91</v>
      </c>
      <c r="I178" s="22" t="str">
        <f>IF(Table1[[#This Row],[Organic/Mineral Soil]]="N/A","",Table1[[#This Row],[Organic/Mineral Soil]])</f>
        <v>Organic</v>
      </c>
      <c r="J178" s="22" t="str">
        <f>IF(Table1[[#This Row],[Vegetation type]]="N/A","",Table1[[#This Row],[Vegetation type]])</f>
        <v>Herbaceous</v>
      </c>
      <c r="K178" s="22" t="str">
        <f>IF(Table1[[#This Row],[Reference]]="N/A","",Table1[[#This Row],[Reference]])</f>
        <v>Hill A., 1996; Cooper 1990</v>
      </c>
      <c r="L178" s="22" t="str">
        <f>IF(Table1[[#This Row],[Main source/flow path in]]="N/A","",Table1[[#This Row],[Main source/flow path in]])</f>
        <v>Groundwater</v>
      </c>
      <c r="M178" s="22" t="str">
        <f>IF(Table1[[#This Row],[Main source/flow path in (simple)]]="N/A","",Table1[[#This Row],[Main source/flow path in (simple)]])</f>
        <v>GW</v>
      </c>
      <c r="N178" s="22" t="str">
        <f>IF(Table1[[#This Row],[Main flow paths in buffer]]="N/A","",Table1[[#This Row],[Main flow paths in buffer]])</f>
        <v>Shallow lateral GW</v>
      </c>
      <c r="O178" s="22" t="str">
        <f>IF(Table1[[#This Row],[Inflow=&gt;Outflow]]="N/A","",Table1[[#This Row],[Inflow=&gt;Outflow]])</f>
        <v>GW=&gt;GW</v>
      </c>
      <c r="P178" s="22">
        <f>IF(Table1[[#This Row],[Width '[m']]]="N/A","",Table1[[#This Row],[Width '[m']]])</f>
        <v>9</v>
      </c>
      <c r="Q178" s="22" t="str">
        <f>IF(Table1[[#This Row],[Area '[m²']]]="N/A","",Table1[[#This Row],[Area '[m²']]])</f>
        <v/>
      </c>
      <c r="R178" s="22" t="str">
        <f>IF(Table1[[#This Row],[Qin '[m³/yr']]]="N/A","",Table1[[#This Row],[Qin '[m³/yr']]])</f>
        <v/>
      </c>
      <c r="S178" s="22" t="str">
        <f>IF(Table1[[#This Row],[Catchment area '[ha']]]="N/A","",Table1[[#This Row],[Catchment area '[ha']]])</f>
        <v/>
      </c>
      <c r="T178" s="22" t="str">
        <f>IF(Table1[[#This Row],[HLR '[mm']]]="N/A","",Table1[[#This Row],[HLR '[mm']]])</f>
        <v/>
      </c>
    </row>
    <row r="179" spans="1:20" hidden="1" x14ac:dyDescent="0.3">
      <c r="A179" s="22" t="str">
        <f>IF(Table1[[#This Row],[Country]]="N/A","",Table1[[#This Row],[Country]])</f>
        <v>New Zealand</v>
      </c>
      <c r="B179" s="22" t="str">
        <f>IF(Table1[[#This Row],[Study site]]="N/A","",Table1[[#This Row],[Study site]])</f>
        <v>Scotsman Valley, NZ</v>
      </c>
      <c r="C179" s="22" t="str">
        <f>IF(Table1[[#This Row],[WBZ-type]]="N/A","",Table1[[#This Row],[WBZ-type]])</f>
        <v>Riparian Wetland/Bank</v>
      </c>
      <c r="D179" s="22" t="str">
        <f>IF(Table1[[#This Row],[Nutrient]]="N/A","",Table1[[#This Row],[Nutrient]])</f>
        <v>nitrate</v>
      </c>
      <c r="E179" s="22">
        <f>IF(Table1[[#This Row],[Load (kg N, P/ha/yr)]]="N/A","",Table1[[#This Row],[Load (kg N, P/ha/yr)]])</f>
        <v>0</v>
      </c>
      <c r="F179" s="22">
        <f>IF(Table1[[#This Row],[Loss (kg N, P/ha/yr)]]="N/A","",Table1[[#This Row],[Loss (kg N, P/ha/yr)]])</f>
        <v>0</v>
      </c>
      <c r="G179" s="22">
        <f>IF(Table1[[#This Row],[Retention (kg N, P/ha/yr)]]="N/A","",Table1[[#This Row],[Retention (kg N, P/ha/yr)]])</f>
        <v>0</v>
      </c>
      <c r="H179" s="22">
        <f>IF(Table1[[#This Row],[Efficiency (%)]]="N/A","",Table1[[#This Row],[Efficiency (%)]])</f>
        <v>30</v>
      </c>
      <c r="I179" s="22" t="str">
        <f>IF(Table1[[#This Row],[Organic/Mineral Soil]]="N/A","",Table1[[#This Row],[Organic/Mineral Soil]])</f>
        <v>Mineral</v>
      </c>
      <c r="J179" s="22" t="str">
        <f>IF(Table1[[#This Row],[Vegetation type]]="N/A","",Table1[[#This Row],[Vegetation type]])</f>
        <v>Herbaceous</v>
      </c>
      <c r="K179" s="22" t="str">
        <f>IF(Table1[[#This Row],[Reference]]="N/A","",Table1[[#This Row],[Reference]])</f>
        <v>Hill A., 1996; Cooper 1990</v>
      </c>
      <c r="L179" s="22" t="str">
        <f>IF(Table1[[#This Row],[Main source/flow path in]]="N/A","",Table1[[#This Row],[Main source/flow path in]])</f>
        <v>Groundwater</v>
      </c>
      <c r="M179" s="22" t="str">
        <f>IF(Table1[[#This Row],[Main source/flow path in (simple)]]="N/A","",Table1[[#This Row],[Main source/flow path in (simple)]])</f>
        <v>GW</v>
      </c>
      <c r="N179" s="22" t="str">
        <f>IF(Table1[[#This Row],[Main flow paths in buffer]]="N/A","",Table1[[#This Row],[Main flow paths in buffer]])</f>
        <v>Shallow lateral GW</v>
      </c>
      <c r="O179" s="22" t="str">
        <f>IF(Table1[[#This Row],[Inflow=&gt;Outflow]]="N/A","",Table1[[#This Row],[Inflow=&gt;Outflow]])</f>
        <v>GW=&gt;GW</v>
      </c>
      <c r="P179" s="22">
        <f>IF(Table1[[#This Row],[Width '[m']]]="N/A","",Table1[[#This Row],[Width '[m']]])</f>
        <v>9</v>
      </c>
      <c r="Q179" s="22" t="str">
        <f>IF(Table1[[#This Row],[Area '[m²']]]="N/A","",Table1[[#This Row],[Area '[m²']]])</f>
        <v/>
      </c>
      <c r="R179" s="22" t="str">
        <f>IF(Table1[[#This Row],[Qin '[m³/yr']]]="N/A","",Table1[[#This Row],[Qin '[m³/yr']]])</f>
        <v/>
      </c>
      <c r="S179" s="22" t="str">
        <f>IF(Table1[[#This Row],[Catchment area '[ha']]]="N/A","",Table1[[#This Row],[Catchment area '[ha']]])</f>
        <v/>
      </c>
      <c r="T179" s="22" t="str">
        <f>IF(Table1[[#This Row],[HLR '[mm']]]="N/A","",Table1[[#This Row],[HLR '[mm']]])</f>
        <v/>
      </c>
    </row>
    <row r="180" spans="1:20" x14ac:dyDescent="0.3">
      <c r="A180" s="22" t="str">
        <f>IF(Table1[[#This Row],[Country]]="N/A","",Table1[[#This Row],[Country]])</f>
        <v>Poland</v>
      </c>
      <c r="B180" s="22" t="str">
        <f>IF(Table1[[#This Row],[Study site]]="N/A","",Table1[[#This Row],[Study site]])</f>
        <v>Biebrza Nat Park, PL</v>
      </c>
      <c r="C180" s="22" t="str">
        <f>IF(Table1[[#This Row],[WBZ-type]]="N/A","",Table1[[#This Row],[WBZ-type]])</f>
        <v>Natural Fen</v>
      </c>
      <c r="D180" s="22" t="str">
        <f>IF(Table1[[#This Row],[Nutrient]]="N/A","",Table1[[#This Row],[Nutrient]])</f>
        <v>total nitrogen</v>
      </c>
      <c r="E180" s="22">
        <f>IF(Table1[[#This Row],[Load (kg N, P/ha/yr)]]="N/A","",Table1[[#This Row],[Load (kg N, P/ha/yr)]])</f>
        <v>9.8000000000000007</v>
      </c>
      <c r="F180" s="22">
        <f>IF(Table1[[#This Row],[Loss (kg N, P/ha/yr)]]="N/A","",Table1[[#This Row],[Loss (kg N, P/ha/yr)]])</f>
        <v>0.4</v>
      </c>
      <c r="G180" s="22">
        <f>IF(Table1[[#This Row],[Retention (kg N, P/ha/yr)]]="N/A","",Table1[[#This Row],[Retention (kg N, P/ha/yr)]])</f>
        <v>9.4</v>
      </c>
      <c r="H180" s="22">
        <f>IF(Table1[[#This Row],[Efficiency (%)]]="N/A","",Table1[[#This Row],[Efficiency (%)]])</f>
        <v>95.918367346938766</v>
      </c>
      <c r="I180" s="22" t="str">
        <f>IF(Table1[[#This Row],[Organic/Mineral Soil]]="N/A","",Table1[[#This Row],[Organic/Mineral Soil]])</f>
        <v>Organic</v>
      </c>
      <c r="J180" s="22" t="str">
        <f>IF(Table1[[#This Row],[Vegetation type]]="N/A","",Table1[[#This Row],[Vegetation type]])</f>
        <v>Aerenchymous</v>
      </c>
      <c r="K180" s="22" t="str">
        <f>IF(Table1[[#This Row],[Reference]]="N/A","",Table1[[#This Row],[Reference]])</f>
        <v>Wassen et al., 2006</v>
      </c>
      <c r="L180" s="22" t="str">
        <f>IF(Table1[[#This Row],[Main source/flow path in]]="N/A","",Table1[[#This Row],[Main source/flow path in]])</f>
        <v>Groundwater and precipitation</v>
      </c>
      <c r="M180" s="22" t="str">
        <f>IF(Table1[[#This Row],[Main source/flow path in (simple)]]="N/A","",Table1[[#This Row],[Main source/flow path in (simple)]])</f>
        <v>GW</v>
      </c>
      <c r="N180" s="22" t="str">
        <f>IF(Table1[[#This Row],[Main flow paths in buffer]]="N/A","",Table1[[#This Row],[Main flow paths in buffer]])</f>
        <v>Shallow lateral GW</v>
      </c>
      <c r="O180" s="22" t="str">
        <f>IF(Table1[[#This Row],[Inflow=&gt;Outflow]]="N/A","",Table1[[#This Row],[Inflow=&gt;Outflow]])</f>
        <v>GW=&gt;GW</v>
      </c>
      <c r="P180" s="22" t="str">
        <f>IF(Table1[[#This Row],[Width '[m']]]="N/A","",Table1[[#This Row],[Width '[m']]])</f>
        <v/>
      </c>
      <c r="Q180" s="22" t="str">
        <f>IF(Table1[[#This Row],[Area '[m²']]]="N/A","",Table1[[#This Row],[Area '[m²']]])</f>
        <v/>
      </c>
      <c r="R180" s="22" t="str">
        <f>IF(Table1[[#This Row],[Qin '[m³/yr']]]="N/A","",Table1[[#This Row],[Qin '[m³/yr']]])</f>
        <v/>
      </c>
      <c r="S180" s="22" t="str">
        <f>IF(Table1[[#This Row],[Catchment area '[ha']]]="N/A","",Table1[[#This Row],[Catchment area '[ha']]])</f>
        <v/>
      </c>
      <c r="T180" s="22" t="str">
        <f>IF(Table1[[#This Row],[HLR '[mm']]]="N/A","",Table1[[#This Row],[HLR '[mm']]])</f>
        <v/>
      </c>
    </row>
    <row r="181" spans="1:20" hidden="1" x14ac:dyDescent="0.3">
      <c r="A181" s="22" t="str">
        <f>IF(Table1[[#This Row],[Country]]="N/A","",Table1[[#This Row],[Country]])</f>
        <v>Poland</v>
      </c>
      <c r="B181" s="22" t="str">
        <f>IF(Table1[[#This Row],[Study site]]="N/A","",Table1[[#This Row],[Study site]])</f>
        <v>Biebrza Nat Park, PL</v>
      </c>
      <c r="C181" s="22" t="str">
        <f>IF(Table1[[#This Row],[WBZ-type]]="N/A","",Table1[[#This Row],[WBZ-type]])</f>
        <v>Natural Fen</v>
      </c>
      <c r="D181" s="22" t="str">
        <f>IF(Table1[[#This Row],[Nutrient]]="N/A","",Table1[[#This Row],[Nutrient]])</f>
        <v>total phosphorus</v>
      </c>
      <c r="E181" s="22">
        <f>IF(Table1[[#This Row],[Load (kg N, P/ha/yr)]]="N/A","",Table1[[#This Row],[Load (kg N, P/ha/yr)]])</f>
        <v>0.22</v>
      </c>
      <c r="F181" s="22">
        <f>IF(Table1[[#This Row],[Loss (kg N, P/ha/yr)]]="N/A","",Table1[[#This Row],[Loss (kg N, P/ha/yr)]])</f>
        <v>0.02</v>
      </c>
      <c r="G181" s="22">
        <f>IF(Table1[[#This Row],[Retention (kg N, P/ha/yr)]]="N/A","",Table1[[#This Row],[Retention (kg N, P/ha/yr)]])</f>
        <v>0.2</v>
      </c>
      <c r="H181" s="22">
        <f>IF(Table1[[#This Row],[Efficiency (%)]]="N/A","",Table1[[#This Row],[Efficiency (%)]])</f>
        <v>90.909090909090921</v>
      </c>
      <c r="I181" s="22" t="str">
        <f>IF(Table1[[#This Row],[Organic/Mineral Soil]]="N/A","",Table1[[#This Row],[Organic/Mineral Soil]])</f>
        <v>Organic</v>
      </c>
      <c r="J181" s="22" t="str">
        <f>IF(Table1[[#This Row],[Vegetation type]]="N/A","",Table1[[#This Row],[Vegetation type]])</f>
        <v>Aerenchymous</v>
      </c>
      <c r="K181" s="22" t="str">
        <f>IF(Table1[[#This Row],[Reference]]="N/A","",Table1[[#This Row],[Reference]])</f>
        <v>Wassen et al., 2006</v>
      </c>
      <c r="L181" s="22" t="str">
        <f>IF(Table1[[#This Row],[Main source/flow path in]]="N/A","",Table1[[#This Row],[Main source/flow path in]])</f>
        <v>Groundwater and precipitation</v>
      </c>
      <c r="M181" s="22" t="str">
        <f>IF(Table1[[#This Row],[Main source/flow path in (simple)]]="N/A","",Table1[[#This Row],[Main source/flow path in (simple)]])</f>
        <v>GW</v>
      </c>
      <c r="N181" s="22" t="str">
        <f>IF(Table1[[#This Row],[Main flow paths in buffer]]="N/A","",Table1[[#This Row],[Main flow paths in buffer]])</f>
        <v>Shallow lateral GW</v>
      </c>
      <c r="O181" s="22" t="str">
        <f>IF(Table1[[#This Row],[Inflow=&gt;Outflow]]="N/A","",Table1[[#This Row],[Inflow=&gt;Outflow]])</f>
        <v>GW=&gt;GW</v>
      </c>
      <c r="P181" s="22" t="str">
        <f>IF(Table1[[#This Row],[Width '[m']]]="N/A","",Table1[[#This Row],[Width '[m']]])</f>
        <v/>
      </c>
      <c r="Q181" s="22" t="str">
        <f>IF(Table1[[#This Row],[Area '[m²']]]="N/A","",Table1[[#This Row],[Area '[m²']]])</f>
        <v/>
      </c>
      <c r="R181" s="22" t="str">
        <f>IF(Table1[[#This Row],[Qin '[m³/yr']]]="N/A","",Table1[[#This Row],[Qin '[m³/yr']]])</f>
        <v/>
      </c>
      <c r="S181" s="22" t="str">
        <f>IF(Table1[[#This Row],[Catchment area '[ha']]]="N/A","",Table1[[#This Row],[Catchment area '[ha']]])</f>
        <v/>
      </c>
      <c r="T181" s="22" t="str">
        <f>IF(Table1[[#This Row],[HLR '[mm']]]="N/A","",Table1[[#This Row],[HLR '[mm']]])</f>
        <v/>
      </c>
    </row>
    <row r="182" spans="1:20" hidden="1" x14ac:dyDescent="0.3">
      <c r="A182" s="22" t="str">
        <f>IF(Table1[[#This Row],[Country]]="N/A","",Table1[[#This Row],[Country]])</f>
        <v>Sweden</v>
      </c>
      <c r="B182" s="22" t="str">
        <f>IF(Table1[[#This Row],[Study site]]="N/A","",Table1[[#This Row],[Study site]])</f>
        <v>Constructed wet, SE</v>
      </c>
      <c r="C182" s="22" t="str">
        <f>IF(Table1[[#This Row],[WBZ-type]]="N/A","",Table1[[#This Row],[WBZ-type]])</f>
        <v>Riparian Wetland/Bank</v>
      </c>
      <c r="D182" s="22" t="str">
        <f>IF(Table1[[#This Row],[Nutrient]]="N/A","",Table1[[#This Row],[Nutrient]])</f>
        <v>total phosphorus</v>
      </c>
      <c r="E182" s="22">
        <f>IF(Table1[[#This Row],[Load (kg N, P/ha/yr)]]="N/A","",Table1[[#This Row],[Load (kg N, P/ha/yr)]])</f>
        <v>0.61111111111111116</v>
      </c>
      <c r="F182" s="22">
        <f>IF(Table1[[#This Row],[Loss (kg N, P/ha/yr)]]="N/A","",Table1[[#This Row],[Loss (kg N, P/ha/yr)]])</f>
        <v>0.39111111111111119</v>
      </c>
      <c r="G182" s="22">
        <f>IF(Table1[[#This Row],[Retention (kg N, P/ha/yr)]]="N/A","",Table1[[#This Row],[Retention (kg N, P/ha/yr)]])</f>
        <v>0.22</v>
      </c>
      <c r="H182" s="22">
        <f>IF(Table1[[#This Row],[Efficiency (%)]]="N/A","",Table1[[#This Row],[Efficiency (%)]])</f>
        <v>36</v>
      </c>
      <c r="I182" s="22" t="str">
        <f>IF(Table1[[#This Row],[Organic/Mineral Soil]]="N/A","",Table1[[#This Row],[Organic/Mineral Soil]])</f>
        <v>Mineral</v>
      </c>
      <c r="J182" s="22" t="str">
        <f>IF(Table1[[#This Row],[Vegetation type]]="N/A","",Table1[[#This Row],[Vegetation type]])</f>
        <v>Herbaceous</v>
      </c>
      <c r="K182" s="22" t="str">
        <f>IF(Table1[[#This Row],[Reference]]="N/A","",Table1[[#This Row],[Reference]])</f>
        <v>Kynkaanniemi et al., 2013</v>
      </c>
      <c r="L182" s="22" t="str">
        <f>IF(Table1[[#This Row],[Main source/flow path in]]="N/A","",Table1[[#This Row],[Main source/flow path in]])</f>
        <v>Drain discharge from upland</v>
      </c>
      <c r="M182" s="22" t="str">
        <f>IF(Table1[[#This Row],[Main source/flow path in (simple)]]="N/A","",Table1[[#This Row],[Main source/flow path in (simple)]])</f>
        <v>SWU</v>
      </c>
      <c r="N182" s="22" t="str">
        <f>IF(Table1[[#This Row],[Main flow paths in buffer]]="N/A","",Table1[[#This Row],[Main flow paths in buffer]])</f>
        <v>Direct surface runoff</v>
      </c>
      <c r="O182" s="22" t="str">
        <f>IF(Table1[[#This Row],[Inflow=&gt;Outflow]]="N/A","",Table1[[#This Row],[Inflow=&gt;Outflow]])</f>
        <v>SWU=&gt;SR</v>
      </c>
      <c r="P182" s="22">
        <f>IF(Table1[[#This Row],[Width '[m']]]="N/A","",Table1[[#This Row],[Width '[m']]])</f>
        <v>73</v>
      </c>
      <c r="Q182" s="22">
        <f>IF(Table1[[#This Row],[Area '[m²']]]="N/A","",Table1[[#This Row],[Area '[m²']]])</f>
        <v>800</v>
      </c>
      <c r="R182" s="22">
        <f>IF(Table1[[#This Row],[Qin '[m³/yr']]]="N/A","",Table1[[#This Row],[Qin '[m³/yr']]])</f>
        <v>48000</v>
      </c>
      <c r="S182" s="22">
        <f>IF(Table1[[#This Row],[Catchment area '[ha']]]="N/A","",Table1[[#This Row],[Catchment area '[ha']]])</f>
        <v>26</v>
      </c>
      <c r="T182" s="22">
        <f>IF(Table1[[#This Row],[HLR '[mm']]]="N/A","",Table1[[#This Row],[HLR '[mm']]])</f>
        <v>60000</v>
      </c>
    </row>
    <row r="183" spans="1:20" hidden="1" x14ac:dyDescent="0.3">
      <c r="A183" s="22" t="str">
        <f>IF(Table1[[#This Row],[Country]]="N/A","",Table1[[#This Row],[Country]])</f>
        <v>Sweden</v>
      </c>
      <c r="B183" s="22" t="str">
        <f>IF(Table1[[#This Row],[Study site]]="N/A","",Table1[[#This Row],[Study site]])</f>
        <v>Vomb East, SE</v>
      </c>
      <c r="C183" s="22" t="str">
        <f>IF(Table1[[#This Row],[WBZ-type]]="N/A","",Table1[[#This Row],[WBZ-type]])</f>
        <v>Floodplain</v>
      </c>
      <c r="D183" s="22" t="str">
        <f>IF(Table1[[#This Row],[Nutrient]]="N/A","",Table1[[#This Row],[Nutrient]])</f>
        <v>nitrate</v>
      </c>
      <c r="E183" s="22">
        <f>IF(Table1[[#This Row],[Load (kg N, P/ha/yr)]]="N/A","",Table1[[#This Row],[Load (kg N, P/ha/yr)]])</f>
        <v>324</v>
      </c>
      <c r="F183" s="22">
        <f>IF(Table1[[#This Row],[Loss (kg N, P/ha/yr)]]="N/A","",Table1[[#This Row],[Loss (kg N, P/ha/yr)]])</f>
        <v>234</v>
      </c>
      <c r="G183" s="22">
        <f>IF(Table1[[#This Row],[Retention (kg N, P/ha/yr)]]="N/A","",Table1[[#This Row],[Retention (kg N, P/ha/yr)]])</f>
        <v>90</v>
      </c>
      <c r="H183" s="22">
        <f>IF(Table1[[#This Row],[Efficiency (%)]]="N/A","",Table1[[#This Row],[Efficiency (%)]])</f>
        <v>27.777777777777779</v>
      </c>
      <c r="I183" s="22" t="str">
        <f>IF(Table1[[#This Row],[Organic/Mineral Soil]]="N/A","",Table1[[#This Row],[Organic/Mineral Soil]])</f>
        <v>Organic</v>
      </c>
      <c r="J183" s="22" t="str">
        <f>IF(Table1[[#This Row],[Vegetation type]]="N/A","",Table1[[#This Row],[Vegetation type]])</f>
        <v>Herbaceous</v>
      </c>
      <c r="K183" s="22" t="str">
        <f>IF(Table1[[#This Row],[Reference]]="N/A","",Table1[[#This Row],[Reference]])</f>
        <v>Leonardson et al, 1994</v>
      </c>
      <c r="L183" s="22" t="str">
        <f>IF(Table1[[#This Row],[Main source/flow path in]]="N/A","",Table1[[#This Row],[Main source/flow path in]])</f>
        <v>Surface runoff from upland</v>
      </c>
      <c r="M183" s="22" t="str">
        <f>IF(Table1[[#This Row],[Main source/flow path in (simple)]]="N/A","",Table1[[#This Row],[Main source/flow path in (simple)]])</f>
        <v>SWU</v>
      </c>
      <c r="N183" s="22" t="str">
        <f>IF(Table1[[#This Row],[Main flow paths in buffer]]="N/A","",Table1[[#This Row],[Main flow paths in buffer]])</f>
        <v>Infiltration =&gt; GW</v>
      </c>
      <c r="O183" s="22" t="str">
        <f>IF(Table1[[#This Row],[Inflow=&gt;Outflow]]="N/A","",Table1[[#This Row],[Inflow=&gt;Outflow]])</f>
        <v>SWU=&gt;GW</v>
      </c>
      <c r="P183" s="22" t="str">
        <f>IF(Table1[[#This Row],[Width '[m']]]="N/A","",Table1[[#This Row],[Width '[m']]])</f>
        <v/>
      </c>
      <c r="Q183" s="22">
        <f>IF(Table1[[#This Row],[Area '[m²']]]="N/A","",Table1[[#This Row],[Area '[m²']]])</f>
        <v>60000</v>
      </c>
      <c r="R183" s="22">
        <f>IF(Table1[[#This Row],[Qin '[m³/yr']]]="N/A","",Table1[[#This Row],[Qin '[m³/yr']]])</f>
        <v>1476000</v>
      </c>
      <c r="S183" s="22" t="str">
        <f>IF(Table1[[#This Row],[Catchment area '[ha']]]="N/A","",Table1[[#This Row],[Catchment area '[ha']]])</f>
        <v/>
      </c>
      <c r="T183" s="22">
        <f>IF(Table1[[#This Row],[HLR '[mm']]]="N/A","",Table1[[#This Row],[HLR '[mm']]])</f>
        <v>24600</v>
      </c>
    </row>
    <row r="184" spans="1:20" hidden="1" x14ac:dyDescent="0.3">
      <c r="A184" s="22" t="str">
        <f>IF(Table1[[#This Row],[Country]]="N/A","",Table1[[#This Row],[Country]])</f>
        <v>Sweden</v>
      </c>
      <c r="B184" s="22" t="str">
        <f>IF(Table1[[#This Row],[Study site]]="N/A","",Table1[[#This Row],[Study site]])</f>
        <v>Vomb East, SE</v>
      </c>
      <c r="C184" s="22" t="str">
        <f>IF(Table1[[#This Row],[WBZ-type]]="N/A","",Table1[[#This Row],[WBZ-type]])</f>
        <v>Floodplain</v>
      </c>
      <c r="D184" s="22" t="str">
        <f>IF(Table1[[#This Row],[Nutrient]]="N/A","",Table1[[#This Row],[Nutrient]])</f>
        <v>ammonium</v>
      </c>
      <c r="E184" s="22">
        <f>IF(Table1[[#This Row],[Load (kg N, P/ha/yr)]]="N/A","",Table1[[#This Row],[Load (kg N, P/ha/yr)]])</f>
        <v>12</v>
      </c>
      <c r="F184" s="22">
        <f>IF(Table1[[#This Row],[Loss (kg N, P/ha/yr)]]="N/A","",Table1[[#This Row],[Loss (kg N, P/ha/yr)]])</f>
        <v>81</v>
      </c>
      <c r="G184" s="22">
        <f>IF(Table1[[#This Row],[Retention (kg N, P/ha/yr)]]="N/A","",Table1[[#This Row],[Retention (kg N, P/ha/yr)]])</f>
        <v>-69</v>
      </c>
      <c r="H184" s="22">
        <f>IF(Table1[[#This Row],[Efficiency (%)]]="N/A","",Table1[[#This Row],[Efficiency (%)]])</f>
        <v>-575</v>
      </c>
      <c r="I184" s="22" t="str">
        <f>IF(Table1[[#This Row],[Organic/Mineral Soil]]="N/A","",Table1[[#This Row],[Organic/Mineral Soil]])</f>
        <v>Organic</v>
      </c>
      <c r="J184" s="22" t="str">
        <f>IF(Table1[[#This Row],[Vegetation type]]="N/A","",Table1[[#This Row],[Vegetation type]])</f>
        <v>Herbaceous</v>
      </c>
      <c r="K184" s="22" t="str">
        <f>IF(Table1[[#This Row],[Reference]]="N/A","",Table1[[#This Row],[Reference]])</f>
        <v>Leonardson et al, 1994</v>
      </c>
      <c r="L184" s="22" t="str">
        <f>IF(Table1[[#This Row],[Main source/flow path in]]="N/A","",Table1[[#This Row],[Main source/flow path in]])</f>
        <v>Surface runoff from upland</v>
      </c>
      <c r="M184" s="22" t="str">
        <f>IF(Table1[[#This Row],[Main source/flow path in (simple)]]="N/A","",Table1[[#This Row],[Main source/flow path in (simple)]])</f>
        <v>SWU</v>
      </c>
      <c r="N184" s="22" t="str">
        <f>IF(Table1[[#This Row],[Main flow paths in buffer]]="N/A","",Table1[[#This Row],[Main flow paths in buffer]])</f>
        <v>Infiltration =&gt; GW</v>
      </c>
      <c r="O184" s="22" t="str">
        <f>IF(Table1[[#This Row],[Inflow=&gt;Outflow]]="N/A","",Table1[[#This Row],[Inflow=&gt;Outflow]])</f>
        <v>SWU=&gt;GW</v>
      </c>
      <c r="P184" s="22" t="str">
        <f>IF(Table1[[#This Row],[Width '[m']]]="N/A","",Table1[[#This Row],[Width '[m']]])</f>
        <v/>
      </c>
      <c r="Q184" s="22">
        <f>IF(Table1[[#This Row],[Area '[m²']]]="N/A","",Table1[[#This Row],[Area '[m²']]])</f>
        <v>60000</v>
      </c>
      <c r="R184" s="22">
        <f>IF(Table1[[#This Row],[Qin '[m³/yr']]]="N/A","",Table1[[#This Row],[Qin '[m³/yr']]])</f>
        <v>1476000</v>
      </c>
      <c r="S184" s="22" t="str">
        <f>IF(Table1[[#This Row],[Catchment area '[ha']]]="N/A","",Table1[[#This Row],[Catchment area '[ha']]])</f>
        <v/>
      </c>
      <c r="T184" s="22">
        <f>IF(Table1[[#This Row],[HLR '[mm']]]="N/A","",Table1[[#This Row],[HLR '[mm']]])</f>
        <v>24600</v>
      </c>
    </row>
    <row r="185" spans="1:20" hidden="1" x14ac:dyDescent="0.3">
      <c r="A185" s="22" t="str">
        <f>IF(Table1[[#This Row],[Country]]="N/A","",Table1[[#This Row],[Country]])</f>
        <v>Sweden</v>
      </c>
      <c r="B185" s="22" t="str">
        <f>IF(Table1[[#This Row],[Study site]]="N/A","",Table1[[#This Row],[Study site]])</f>
        <v>Vomb East, SE</v>
      </c>
      <c r="C185" s="22" t="str">
        <f>IF(Table1[[#This Row],[WBZ-type]]="N/A","",Table1[[#This Row],[WBZ-type]])</f>
        <v>Floodplain</v>
      </c>
      <c r="D185" s="22" t="str">
        <f>IF(Table1[[#This Row],[Nutrient]]="N/A","",Table1[[#This Row],[Nutrient]])</f>
        <v>dissolved organic nitrogen</v>
      </c>
      <c r="E185" s="22">
        <f>IF(Table1[[#This Row],[Load (kg N, P/ha/yr)]]="N/A","",Table1[[#This Row],[Load (kg N, P/ha/yr)]])</f>
        <v>144</v>
      </c>
      <c r="F185" s="22">
        <f>IF(Table1[[#This Row],[Loss (kg N, P/ha/yr)]]="N/A","",Table1[[#This Row],[Loss (kg N, P/ha/yr)]])</f>
        <v>165</v>
      </c>
      <c r="G185" s="22">
        <f>IF(Table1[[#This Row],[Retention (kg N, P/ha/yr)]]="N/A","",Table1[[#This Row],[Retention (kg N, P/ha/yr)]])</f>
        <v>-21</v>
      </c>
      <c r="H185" s="22">
        <f>IF(Table1[[#This Row],[Efficiency (%)]]="N/A","",Table1[[#This Row],[Efficiency (%)]])</f>
        <v>-14.583333333333334</v>
      </c>
      <c r="I185" s="22" t="str">
        <f>IF(Table1[[#This Row],[Organic/Mineral Soil]]="N/A","",Table1[[#This Row],[Organic/Mineral Soil]])</f>
        <v>Organic</v>
      </c>
      <c r="J185" s="22" t="str">
        <f>IF(Table1[[#This Row],[Vegetation type]]="N/A","",Table1[[#This Row],[Vegetation type]])</f>
        <v>Herbaceous</v>
      </c>
      <c r="K185" s="22" t="str">
        <f>IF(Table1[[#This Row],[Reference]]="N/A","",Table1[[#This Row],[Reference]])</f>
        <v>Leonardson et al, 1994</v>
      </c>
      <c r="L185" s="22" t="str">
        <f>IF(Table1[[#This Row],[Main source/flow path in]]="N/A","",Table1[[#This Row],[Main source/flow path in]])</f>
        <v>Surface runoff from upland</v>
      </c>
      <c r="M185" s="22" t="str">
        <f>IF(Table1[[#This Row],[Main source/flow path in (simple)]]="N/A","",Table1[[#This Row],[Main source/flow path in (simple)]])</f>
        <v>SWU</v>
      </c>
      <c r="N185" s="22" t="str">
        <f>IF(Table1[[#This Row],[Main flow paths in buffer]]="N/A","",Table1[[#This Row],[Main flow paths in buffer]])</f>
        <v>Infiltration =&gt; GW</v>
      </c>
      <c r="O185" s="22" t="str">
        <f>IF(Table1[[#This Row],[Inflow=&gt;Outflow]]="N/A","",Table1[[#This Row],[Inflow=&gt;Outflow]])</f>
        <v>SWU=&gt;GW</v>
      </c>
      <c r="P185" s="22" t="str">
        <f>IF(Table1[[#This Row],[Width '[m']]]="N/A","",Table1[[#This Row],[Width '[m']]])</f>
        <v/>
      </c>
      <c r="Q185" s="22">
        <f>IF(Table1[[#This Row],[Area '[m²']]]="N/A","",Table1[[#This Row],[Area '[m²']]])</f>
        <v>60000</v>
      </c>
      <c r="R185" s="22">
        <f>IF(Table1[[#This Row],[Qin '[m³/yr']]]="N/A","",Table1[[#This Row],[Qin '[m³/yr']]])</f>
        <v>1476000</v>
      </c>
      <c r="S185" s="22" t="str">
        <f>IF(Table1[[#This Row],[Catchment area '[ha']]]="N/A","",Table1[[#This Row],[Catchment area '[ha']]])</f>
        <v/>
      </c>
      <c r="T185" s="22">
        <f>IF(Table1[[#This Row],[HLR '[mm']]]="N/A","",Table1[[#This Row],[HLR '[mm']]])</f>
        <v>24600</v>
      </c>
    </row>
    <row r="186" spans="1:20" x14ac:dyDescent="0.3">
      <c r="A186" s="22" t="str">
        <f>IF(Table1[[#This Row],[Country]]="N/A","",Table1[[#This Row],[Country]])</f>
        <v>Sweden</v>
      </c>
      <c r="B186" s="22" t="str">
        <f>IF(Table1[[#This Row],[Study site]]="N/A","",Table1[[#This Row],[Study site]])</f>
        <v>Vomb East, SE</v>
      </c>
      <c r="C186" s="22" t="str">
        <f>IF(Table1[[#This Row],[WBZ-type]]="N/A","",Table1[[#This Row],[WBZ-type]])</f>
        <v>Floodplain</v>
      </c>
      <c r="D186" s="22" t="str">
        <f>IF(Table1[[#This Row],[Nutrient]]="N/A","",Table1[[#This Row],[Nutrient]])</f>
        <v>total nitrogen</v>
      </c>
      <c r="E186" s="22">
        <f>IF(Table1[[#This Row],[Load (kg N, P/ha/yr)]]="N/A","",Table1[[#This Row],[Load (kg N, P/ha/yr)]])</f>
        <v>480</v>
      </c>
      <c r="F186" s="22">
        <f>IF(Table1[[#This Row],[Loss (kg N, P/ha/yr)]]="N/A","",Table1[[#This Row],[Loss (kg N, P/ha/yr)]])</f>
        <v>480</v>
      </c>
      <c r="G186" s="22">
        <f>IF(Table1[[#This Row],[Retention (kg N, P/ha/yr)]]="N/A","",Table1[[#This Row],[Retention (kg N, P/ha/yr)]])</f>
        <v>0</v>
      </c>
      <c r="H186" s="22">
        <f>IF(Table1[[#This Row],[Efficiency (%)]]="N/A","",Table1[[#This Row],[Efficiency (%)]])</f>
        <v>0</v>
      </c>
      <c r="I186" s="22" t="str">
        <f>IF(Table1[[#This Row],[Organic/Mineral Soil]]="N/A","",Table1[[#This Row],[Organic/Mineral Soil]])</f>
        <v>Organic</v>
      </c>
      <c r="J186" s="22" t="str">
        <f>IF(Table1[[#This Row],[Vegetation type]]="N/A","",Table1[[#This Row],[Vegetation type]])</f>
        <v>Herbaceous</v>
      </c>
      <c r="K186" s="22" t="str">
        <f>IF(Table1[[#This Row],[Reference]]="N/A","",Table1[[#This Row],[Reference]])</f>
        <v>Leonardson et al, 1994</v>
      </c>
      <c r="L186" s="22" t="str">
        <f>IF(Table1[[#This Row],[Main source/flow path in]]="N/A","",Table1[[#This Row],[Main source/flow path in]])</f>
        <v>Surface runoff from upland</v>
      </c>
      <c r="M186" s="22" t="str">
        <f>IF(Table1[[#This Row],[Main source/flow path in (simple)]]="N/A","",Table1[[#This Row],[Main source/flow path in (simple)]])</f>
        <v>SWU</v>
      </c>
      <c r="N186" s="22" t="str">
        <f>IF(Table1[[#This Row],[Main flow paths in buffer]]="N/A","",Table1[[#This Row],[Main flow paths in buffer]])</f>
        <v>Infiltration =&gt; GW</v>
      </c>
      <c r="O186" s="22" t="str">
        <f>IF(Table1[[#This Row],[Inflow=&gt;Outflow]]="N/A","",Table1[[#This Row],[Inflow=&gt;Outflow]])</f>
        <v>SWU=&gt;GW</v>
      </c>
      <c r="P186" s="22" t="str">
        <f>IF(Table1[[#This Row],[Width '[m']]]="N/A","",Table1[[#This Row],[Width '[m']]])</f>
        <v/>
      </c>
      <c r="Q186" s="22">
        <f>IF(Table1[[#This Row],[Area '[m²']]]="N/A","",Table1[[#This Row],[Area '[m²']]])</f>
        <v>60000</v>
      </c>
      <c r="R186" s="22">
        <f>IF(Table1[[#This Row],[Qin '[m³/yr']]]="N/A","",Table1[[#This Row],[Qin '[m³/yr']]])</f>
        <v>1476000</v>
      </c>
      <c r="S186" s="22" t="str">
        <f>IF(Table1[[#This Row],[Catchment area '[ha']]]="N/A","",Table1[[#This Row],[Catchment area '[ha']]])</f>
        <v/>
      </c>
      <c r="T186" s="22">
        <f>IF(Table1[[#This Row],[HLR '[mm']]]="N/A","",Table1[[#This Row],[HLR '[mm']]])</f>
        <v>24600</v>
      </c>
    </row>
    <row r="187" spans="1:20" hidden="1" x14ac:dyDescent="0.3">
      <c r="A187" s="22" t="str">
        <f>IF(Table1[[#This Row],[Country]]="N/A","",Table1[[#This Row],[Country]])</f>
        <v>Sweden</v>
      </c>
      <c r="B187" s="22" t="str">
        <f>IF(Table1[[#This Row],[Study site]]="N/A","",Table1[[#This Row],[Study site]])</f>
        <v>Vomb East, SE</v>
      </c>
      <c r="C187" s="22" t="str">
        <f>IF(Table1[[#This Row],[WBZ-type]]="N/A","",Table1[[#This Row],[WBZ-type]])</f>
        <v>Floodplain</v>
      </c>
      <c r="D187" s="22" t="str">
        <f>IF(Table1[[#This Row],[Nutrient]]="N/A","",Table1[[#This Row],[Nutrient]])</f>
        <v>dissolved organic nitrogen</v>
      </c>
      <c r="E187" s="22">
        <f>IF(Table1[[#This Row],[Load (kg N, P/ha/yr)]]="N/A","",Table1[[#This Row],[Load (kg N, P/ha/yr)]])</f>
        <v>180</v>
      </c>
      <c r="F187" s="22">
        <f>IF(Table1[[#This Row],[Loss (kg N, P/ha/yr)]]="N/A","",Table1[[#This Row],[Loss (kg N, P/ha/yr)]])</f>
        <v>180</v>
      </c>
      <c r="G187" s="22">
        <f>IF(Table1[[#This Row],[Retention (kg N, P/ha/yr)]]="N/A","",Table1[[#This Row],[Retention (kg N, P/ha/yr)]])</f>
        <v>0</v>
      </c>
      <c r="H187" s="22">
        <f>IF(Table1[[#This Row],[Efficiency (%)]]="N/A","",Table1[[#This Row],[Efficiency (%)]])</f>
        <v>0</v>
      </c>
      <c r="I187" s="22" t="str">
        <f>IF(Table1[[#This Row],[Organic/Mineral Soil]]="N/A","",Table1[[#This Row],[Organic/Mineral Soil]])</f>
        <v>Organic</v>
      </c>
      <c r="J187" s="22" t="str">
        <f>IF(Table1[[#This Row],[Vegetation type]]="N/A","",Table1[[#This Row],[Vegetation type]])</f>
        <v>Herbaceous</v>
      </c>
      <c r="K187" s="22" t="str">
        <f>IF(Table1[[#This Row],[Reference]]="N/A","",Table1[[#This Row],[Reference]])</f>
        <v>Leonardson et al, 1994</v>
      </c>
      <c r="L187" s="22" t="str">
        <f>IF(Table1[[#This Row],[Main source/flow path in]]="N/A","",Table1[[#This Row],[Main source/flow path in]])</f>
        <v>Surface runoff from upland</v>
      </c>
      <c r="M187" s="22" t="str">
        <f>IF(Table1[[#This Row],[Main source/flow path in (simple)]]="N/A","",Table1[[#This Row],[Main source/flow path in (simple)]])</f>
        <v>SWU</v>
      </c>
      <c r="N187" s="22" t="str">
        <f>IF(Table1[[#This Row],[Main flow paths in buffer]]="N/A","",Table1[[#This Row],[Main flow paths in buffer]])</f>
        <v>Infiltration =&gt; GW</v>
      </c>
      <c r="O187" s="22" t="str">
        <f>IF(Table1[[#This Row],[Inflow=&gt;Outflow]]="N/A","",Table1[[#This Row],[Inflow=&gt;Outflow]])</f>
        <v>SWU=&gt;GW</v>
      </c>
      <c r="P187" s="22" t="str">
        <f>IF(Table1[[#This Row],[Width '[m']]]="N/A","",Table1[[#This Row],[Width '[m']]])</f>
        <v/>
      </c>
      <c r="Q187" s="22">
        <f>IF(Table1[[#This Row],[Area '[m²']]]="N/A","",Table1[[#This Row],[Area '[m²']]])</f>
        <v>50000</v>
      </c>
      <c r="R187" s="22">
        <f>IF(Table1[[#This Row],[Qin '[m³/yr']]]="N/A","",Table1[[#This Row],[Qin '[m³/yr']]])</f>
        <v>1860000.0000000002</v>
      </c>
      <c r="S187" s="22" t="str">
        <f>IF(Table1[[#This Row],[Catchment area '[ha']]]="N/A","",Table1[[#This Row],[Catchment area '[ha']]])</f>
        <v/>
      </c>
      <c r="T187" s="22">
        <f>IF(Table1[[#This Row],[HLR '[mm']]]="N/A","",Table1[[#This Row],[HLR '[mm']]])</f>
        <v>37200</v>
      </c>
    </row>
    <row r="188" spans="1:20" hidden="1" x14ac:dyDescent="0.3">
      <c r="A188" s="22" t="str">
        <f>IF(Table1[[#This Row],[Country]]="N/A","",Table1[[#This Row],[Country]])</f>
        <v>Sweden</v>
      </c>
      <c r="B188" s="22" t="str">
        <f>IF(Table1[[#This Row],[Study site]]="N/A","",Table1[[#This Row],[Study site]])</f>
        <v>Vomb West, SE</v>
      </c>
      <c r="C188" s="22" t="str">
        <f>IF(Table1[[#This Row],[WBZ-type]]="N/A","",Table1[[#This Row],[WBZ-type]])</f>
        <v>Floodplain</v>
      </c>
      <c r="D188" s="22" t="str">
        <f>IF(Table1[[#This Row],[Nutrient]]="N/A","",Table1[[#This Row],[Nutrient]])</f>
        <v>nitrate</v>
      </c>
      <c r="E188" s="22">
        <f>IF(Table1[[#This Row],[Load (kg N, P/ha/yr)]]="N/A","",Table1[[#This Row],[Load (kg N, P/ha/yr)]])</f>
        <v>504</v>
      </c>
      <c r="F188" s="22">
        <f>IF(Table1[[#This Row],[Loss (kg N, P/ha/yr)]]="N/A","",Table1[[#This Row],[Loss (kg N, P/ha/yr)]])</f>
        <v>324</v>
      </c>
      <c r="G188" s="22">
        <f>IF(Table1[[#This Row],[Retention (kg N, P/ha/yr)]]="N/A","",Table1[[#This Row],[Retention (kg N, P/ha/yr)]])</f>
        <v>180</v>
      </c>
      <c r="H188" s="22">
        <f>IF(Table1[[#This Row],[Efficiency (%)]]="N/A","",Table1[[#This Row],[Efficiency (%)]])</f>
        <v>35.714285714285715</v>
      </c>
      <c r="I188" s="22" t="str">
        <f>IF(Table1[[#This Row],[Organic/Mineral Soil]]="N/A","",Table1[[#This Row],[Organic/Mineral Soil]])</f>
        <v>Organic</v>
      </c>
      <c r="J188" s="22" t="str">
        <f>IF(Table1[[#This Row],[Vegetation type]]="N/A","",Table1[[#This Row],[Vegetation type]])</f>
        <v>Herbaceous</v>
      </c>
      <c r="K188" s="22" t="str">
        <f>IF(Table1[[#This Row],[Reference]]="N/A","",Table1[[#This Row],[Reference]])</f>
        <v>Leonardson et al, 1994</v>
      </c>
      <c r="L188" s="22" t="str">
        <f>IF(Table1[[#This Row],[Main source/flow path in]]="N/A","",Table1[[#This Row],[Main source/flow path in]])</f>
        <v>Surface runoff from upland</v>
      </c>
      <c r="M188" s="22" t="str">
        <f>IF(Table1[[#This Row],[Main source/flow path in (simple)]]="N/A","",Table1[[#This Row],[Main source/flow path in (simple)]])</f>
        <v>SWU</v>
      </c>
      <c r="N188" s="22" t="str">
        <f>IF(Table1[[#This Row],[Main flow paths in buffer]]="N/A","",Table1[[#This Row],[Main flow paths in buffer]])</f>
        <v>Infiltration =&gt; GW</v>
      </c>
      <c r="O188" s="22" t="str">
        <f>IF(Table1[[#This Row],[Inflow=&gt;Outflow]]="N/A","",Table1[[#This Row],[Inflow=&gt;Outflow]])</f>
        <v>SWU=&gt;GW</v>
      </c>
      <c r="P188" s="22" t="str">
        <f>IF(Table1[[#This Row],[Width '[m']]]="N/A","",Table1[[#This Row],[Width '[m']]])</f>
        <v/>
      </c>
      <c r="Q188" s="22">
        <f>IF(Table1[[#This Row],[Area '[m²']]]="N/A","",Table1[[#This Row],[Area '[m²']]])</f>
        <v>50000</v>
      </c>
      <c r="R188" s="22">
        <f>IF(Table1[[#This Row],[Qin '[m³/yr']]]="N/A","",Table1[[#This Row],[Qin '[m³/yr']]])</f>
        <v>1860000.0000000002</v>
      </c>
      <c r="S188" s="22" t="str">
        <f>IF(Table1[[#This Row],[Catchment area '[ha']]]="N/A","",Table1[[#This Row],[Catchment area '[ha']]])</f>
        <v/>
      </c>
      <c r="T188" s="22">
        <f>IF(Table1[[#This Row],[HLR '[mm']]]="N/A","",Table1[[#This Row],[HLR '[mm']]])</f>
        <v>37200</v>
      </c>
    </row>
    <row r="189" spans="1:20" hidden="1" x14ac:dyDescent="0.3">
      <c r="A189" s="22" t="str">
        <f>IF(Table1[[#This Row],[Country]]="N/A","",Table1[[#This Row],[Country]])</f>
        <v>Sweden</v>
      </c>
      <c r="B189" s="22" t="str">
        <f>IF(Table1[[#This Row],[Study site]]="N/A","",Table1[[#This Row],[Study site]])</f>
        <v>Vomb West, SE</v>
      </c>
      <c r="C189" s="22" t="str">
        <f>IF(Table1[[#This Row],[WBZ-type]]="N/A","",Table1[[#This Row],[WBZ-type]])</f>
        <v>Floodplain</v>
      </c>
      <c r="D189" s="22" t="str">
        <f>IF(Table1[[#This Row],[Nutrient]]="N/A","",Table1[[#This Row],[Nutrient]])</f>
        <v>ammonium</v>
      </c>
      <c r="E189" s="22">
        <f>IF(Table1[[#This Row],[Load (kg N, P/ha/yr)]]="N/A","",Table1[[#This Row],[Load (kg N, P/ha/yr)]])</f>
        <v>18</v>
      </c>
      <c r="F189" s="22">
        <f>IF(Table1[[#This Row],[Loss (kg N, P/ha/yr)]]="N/A","",Table1[[#This Row],[Loss (kg N, P/ha/yr)]])</f>
        <v>108</v>
      </c>
      <c r="G189" s="22">
        <f>IF(Table1[[#This Row],[Retention (kg N, P/ha/yr)]]="N/A","",Table1[[#This Row],[Retention (kg N, P/ha/yr)]])</f>
        <v>-90</v>
      </c>
      <c r="H189" s="22">
        <f>IF(Table1[[#This Row],[Efficiency (%)]]="N/A","",Table1[[#This Row],[Efficiency (%)]])</f>
        <v>-500</v>
      </c>
      <c r="I189" s="22" t="str">
        <f>IF(Table1[[#This Row],[Organic/Mineral Soil]]="N/A","",Table1[[#This Row],[Organic/Mineral Soil]])</f>
        <v>Organic</v>
      </c>
      <c r="J189" s="22" t="str">
        <f>IF(Table1[[#This Row],[Vegetation type]]="N/A","",Table1[[#This Row],[Vegetation type]])</f>
        <v>Herbaceous</v>
      </c>
      <c r="K189" s="22" t="str">
        <f>IF(Table1[[#This Row],[Reference]]="N/A","",Table1[[#This Row],[Reference]])</f>
        <v>Leonardson et al, 1994</v>
      </c>
      <c r="L189" s="22" t="str">
        <f>IF(Table1[[#This Row],[Main source/flow path in]]="N/A","",Table1[[#This Row],[Main source/flow path in]])</f>
        <v>Surface runoff from upland</v>
      </c>
      <c r="M189" s="22" t="str">
        <f>IF(Table1[[#This Row],[Main source/flow path in (simple)]]="N/A","",Table1[[#This Row],[Main source/flow path in (simple)]])</f>
        <v>SWU</v>
      </c>
      <c r="N189" s="22" t="str">
        <f>IF(Table1[[#This Row],[Main flow paths in buffer]]="N/A","",Table1[[#This Row],[Main flow paths in buffer]])</f>
        <v>Infiltration =&gt; GW</v>
      </c>
      <c r="O189" s="22" t="str">
        <f>IF(Table1[[#This Row],[Inflow=&gt;Outflow]]="N/A","",Table1[[#This Row],[Inflow=&gt;Outflow]])</f>
        <v>SWU=&gt;GW</v>
      </c>
      <c r="P189" s="22" t="str">
        <f>IF(Table1[[#This Row],[Width '[m']]]="N/A","",Table1[[#This Row],[Width '[m']]])</f>
        <v/>
      </c>
      <c r="Q189" s="22">
        <f>IF(Table1[[#This Row],[Area '[m²']]]="N/A","",Table1[[#This Row],[Area '[m²']]])</f>
        <v>50000</v>
      </c>
      <c r="R189" s="22">
        <f>IF(Table1[[#This Row],[Qin '[m³/yr']]]="N/A","",Table1[[#This Row],[Qin '[m³/yr']]])</f>
        <v>1860000.0000000002</v>
      </c>
      <c r="S189" s="22" t="str">
        <f>IF(Table1[[#This Row],[Catchment area '[ha']]]="N/A","",Table1[[#This Row],[Catchment area '[ha']]])</f>
        <v/>
      </c>
      <c r="T189" s="22">
        <f>IF(Table1[[#This Row],[HLR '[mm']]]="N/A","",Table1[[#This Row],[HLR '[mm']]])</f>
        <v>37200</v>
      </c>
    </row>
    <row r="190" spans="1:20" x14ac:dyDescent="0.3">
      <c r="A190" s="22" t="str">
        <f>IF(Table1[[#This Row],[Country]]="N/A","",Table1[[#This Row],[Country]])</f>
        <v>Sweden</v>
      </c>
      <c r="B190" s="22" t="str">
        <f>IF(Table1[[#This Row],[Study site]]="N/A","",Table1[[#This Row],[Study site]])</f>
        <v>Vomb West, SE</v>
      </c>
      <c r="C190" s="22" t="str">
        <f>IF(Table1[[#This Row],[WBZ-type]]="N/A","",Table1[[#This Row],[WBZ-type]])</f>
        <v>Floodplain</v>
      </c>
      <c r="D190" s="22" t="str">
        <f>IF(Table1[[#This Row],[Nutrient]]="N/A","",Table1[[#This Row],[Nutrient]])</f>
        <v>total nitrogen</v>
      </c>
      <c r="E190" s="22">
        <f>IF(Table1[[#This Row],[Load (kg N, P/ha/yr)]]="N/A","",Table1[[#This Row],[Load (kg N, P/ha/yr)]])</f>
        <v>702</v>
      </c>
      <c r="F190" s="22">
        <f>IF(Table1[[#This Row],[Loss (kg N, P/ha/yr)]]="N/A","",Table1[[#This Row],[Loss (kg N, P/ha/yr)]])</f>
        <v>612</v>
      </c>
      <c r="G190" s="22">
        <f>IF(Table1[[#This Row],[Retention (kg N, P/ha/yr)]]="N/A","",Table1[[#This Row],[Retention (kg N, P/ha/yr)]])</f>
        <v>90</v>
      </c>
      <c r="H190" s="22">
        <f>IF(Table1[[#This Row],[Efficiency (%)]]="N/A","",Table1[[#This Row],[Efficiency (%)]])</f>
        <v>12.820512820512819</v>
      </c>
      <c r="I190" s="22" t="str">
        <f>IF(Table1[[#This Row],[Organic/Mineral Soil]]="N/A","",Table1[[#This Row],[Organic/Mineral Soil]])</f>
        <v>Organic</v>
      </c>
      <c r="J190" s="22" t="str">
        <f>IF(Table1[[#This Row],[Vegetation type]]="N/A","",Table1[[#This Row],[Vegetation type]])</f>
        <v>Herbaceous</v>
      </c>
      <c r="K190" s="22" t="str">
        <f>IF(Table1[[#This Row],[Reference]]="N/A","",Table1[[#This Row],[Reference]])</f>
        <v>Leonardson et al, 1994</v>
      </c>
      <c r="L190" s="22" t="str">
        <f>IF(Table1[[#This Row],[Main source/flow path in]]="N/A","",Table1[[#This Row],[Main source/flow path in]])</f>
        <v>Surface runoff from upland</v>
      </c>
      <c r="M190" s="22" t="str">
        <f>IF(Table1[[#This Row],[Main source/flow path in (simple)]]="N/A","",Table1[[#This Row],[Main source/flow path in (simple)]])</f>
        <v>SWU</v>
      </c>
      <c r="N190" s="22" t="str">
        <f>IF(Table1[[#This Row],[Main flow paths in buffer]]="N/A","",Table1[[#This Row],[Main flow paths in buffer]])</f>
        <v>Infiltration =&gt; GW</v>
      </c>
      <c r="O190" s="22" t="str">
        <f>IF(Table1[[#This Row],[Inflow=&gt;Outflow]]="N/A","",Table1[[#This Row],[Inflow=&gt;Outflow]])</f>
        <v>SWU=&gt;GW</v>
      </c>
      <c r="P190" s="22" t="str">
        <f>IF(Table1[[#This Row],[Width '[m']]]="N/A","",Table1[[#This Row],[Width '[m']]])</f>
        <v/>
      </c>
      <c r="Q190" s="22">
        <f>IF(Table1[[#This Row],[Area '[m²']]]="N/A","",Table1[[#This Row],[Area '[m²']]])</f>
        <v>50000</v>
      </c>
      <c r="R190" s="22">
        <f>IF(Table1[[#This Row],[Qin '[m³/yr']]]="N/A","",Table1[[#This Row],[Qin '[m³/yr']]])</f>
        <v>1860000.0000000002</v>
      </c>
      <c r="S190" s="22" t="str">
        <f>IF(Table1[[#This Row],[Catchment area '[ha']]]="N/A","",Table1[[#This Row],[Catchment area '[ha']]])</f>
        <v/>
      </c>
      <c r="T190" s="22">
        <f>IF(Table1[[#This Row],[HLR '[mm']]]="N/A","",Table1[[#This Row],[HLR '[mm']]])</f>
        <v>37200</v>
      </c>
    </row>
    <row r="191" spans="1:20" hidden="1" x14ac:dyDescent="0.3">
      <c r="A191" s="22" t="str">
        <f>IF(Table1[[#This Row],[Country]]="N/A","",Table1[[#This Row],[Country]])</f>
        <v>USA</v>
      </c>
      <c r="B191" s="22" t="str">
        <f>IF(Table1[[#This Row],[Study site]]="N/A","",Table1[[#This Row],[Study site]])</f>
        <v>Caernarvon, Louisiana, US</v>
      </c>
      <c r="C191" s="22" t="str">
        <f>IF(Table1[[#This Row],[WBZ-type]]="N/A","",Table1[[#This Row],[WBZ-type]])</f>
        <v>Floodplain</v>
      </c>
      <c r="D191" s="22" t="str">
        <f>IF(Table1[[#This Row],[Nutrient]]="N/A","",Table1[[#This Row],[Nutrient]])</f>
        <v>nitrate</v>
      </c>
      <c r="E191" s="22">
        <f>IF(Table1[[#This Row],[Load (kg N, P/ha/yr)]]="N/A","",Table1[[#This Row],[Load (kg N, P/ha/yr)]])</f>
        <v>85.3</v>
      </c>
      <c r="F191" s="22">
        <f>IF(Table1[[#This Row],[Loss (kg N, P/ha/yr)]]="N/A","",Table1[[#This Row],[Loss (kg N, P/ha/yr)]])</f>
        <v>19.7</v>
      </c>
      <c r="G191" s="22">
        <f>IF(Table1[[#This Row],[Retention (kg N, P/ha/yr)]]="N/A","",Table1[[#This Row],[Retention (kg N, P/ha/yr)]])</f>
        <v>65.599999999999994</v>
      </c>
      <c r="H191" s="22">
        <f>IF(Table1[[#This Row],[Efficiency (%)]]="N/A","",Table1[[#This Row],[Efficiency (%)]])</f>
        <v>76.905041031652985</v>
      </c>
      <c r="I191" s="22" t="str">
        <f>IF(Table1[[#This Row],[Organic/Mineral Soil]]="N/A","",Table1[[#This Row],[Organic/Mineral Soil]])</f>
        <v>Mineral</v>
      </c>
      <c r="J191" s="22" t="str">
        <f>IF(Table1[[#This Row],[Vegetation type]]="N/A","",Table1[[#This Row],[Vegetation type]])</f>
        <v>Aerenchymous</v>
      </c>
      <c r="K191" s="22" t="str">
        <f>IF(Table1[[#This Row],[Reference]]="N/A","",Table1[[#This Row],[Reference]])</f>
        <v>Mitsch et al., 2005</v>
      </c>
      <c r="L191" s="22" t="str">
        <f>IF(Table1[[#This Row],[Main source/flow path in]]="N/A","",Table1[[#This Row],[Main source/flow path in]])</f>
        <v>River inundation</v>
      </c>
      <c r="M191" s="22" t="str">
        <f>IF(Table1[[#This Row],[Main source/flow path in (simple)]]="N/A","",Table1[[#This Row],[Main source/flow path in (simple)]])</f>
        <v>SWR</v>
      </c>
      <c r="N191" s="22" t="str">
        <f>IF(Table1[[#This Row],[Main flow paths in buffer]]="N/A","",Table1[[#This Row],[Main flow paths in buffer]])</f>
        <v>Direct surface runof</v>
      </c>
      <c r="O191" s="22" t="str">
        <f>IF(Table1[[#This Row],[Inflow=&gt;Outflow]]="N/A","",Table1[[#This Row],[Inflow=&gt;Outflow]])</f>
        <v>SWR=&gt;SR</v>
      </c>
      <c r="P191" s="22" t="str">
        <f>IF(Table1[[#This Row],[Width '[m']]]="N/A","",Table1[[#This Row],[Width '[m']]])</f>
        <v/>
      </c>
      <c r="Q191" s="22">
        <f>IF(Table1[[#This Row],[Area '[m²']]]="N/A","",Table1[[#This Row],[Area '[m²']]])</f>
        <v>260000000</v>
      </c>
      <c r="R191" s="22" t="str">
        <f>IF(Table1[[#This Row],[Qin '[m³/yr']]]="N/A","",Table1[[#This Row],[Qin '[m³/yr']]])</f>
        <v/>
      </c>
      <c r="S191" s="22" t="str">
        <f>IF(Table1[[#This Row],[Catchment area '[ha']]]="N/A","",Table1[[#This Row],[Catchment area '[ha']]])</f>
        <v/>
      </c>
      <c r="T191" s="22" t="str">
        <f>IF(Table1[[#This Row],[HLR '[mm']]]="N/A","",Table1[[#This Row],[HLR '[mm']]])</f>
        <v/>
      </c>
    </row>
    <row r="192" spans="1:20" hidden="1" x14ac:dyDescent="0.3">
      <c r="A192" s="22" t="str">
        <f>IF(Table1[[#This Row],[Country]]="N/A","",Table1[[#This Row],[Country]])</f>
        <v>USA</v>
      </c>
      <c r="B192" s="22" t="str">
        <f>IF(Table1[[#This Row],[Study site]]="N/A","",Table1[[#This Row],[Study site]])</f>
        <v>Conneticut, US</v>
      </c>
      <c r="C192" s="22" t="str">
        <f>IF(Table1[[#This Row],[WBZ-type]]="N/A","",Table1[[#This Row],[WBZ-type]])</f>
        <v>Riparian Wetland/Bank</v>
      </c>
      <c r="D192" s="22" t="str">
        <f>IF(Table1[[#This Row],[Nutrient]]="N/A","",Table1[[#This Row],[Nutrient]])</f>
        <v>total phosphorus</v>
      </c>
      <c r="E192" s="22">
        <f>IF(Table1[[#This Row],[Load (kg N, P/ha/yr)]]="N/A","",Table1[[#This Row],[Load (kg N, P/ha/yr)]])</f>
        <v>0</v>
      </c>
      <c r="F192" s="22">
        <f>IF(Table1[[#This Row],[Loss (kg N, P/ha/yr)]]="N/A","",Table1[[#This Row],[Loss (kg N, P/ha/yr)]])</f>
        <v>0</v>
      </c>
      <c r="G192" s="22">
        <f>IF(Table1[[#This Row],[Retention (kg N, P/ha/yr)]]="N/A","",Table1[[#This Row],[Retention (kg N, P/ha/yr)]])</f>
        <v>0</v>
      </c>
      <c r="H192" s="22">
        <f>IF(Table1[[#This Row],[Efficiency (%)]]="N/A","",Table1[[#This Row],[Efficiency (%)]])</f>
        <v>-49</v>
      </c>
      <c r="I192" s="22" t="str">
        <f>IF(Table1[[#This Row],[Organic/Mineral Soil]]="N/A","",Table1[[#This Row],[Organic/Mineral Soil]])</f>
        <v>Mineral</v>
      </c>
      <c r="J192" s="22" t="str">
        <f>IF(Table1[[#This Row],[Vegetation type]]="N/A","",Table1[[#This Row],[Vegetation type]])</f>
        <v>Herbaceous</v>
      </c>
      <c r="K192" s="22" t="str">
        <f>IF(Table1[[#This Row],[Reference]]="N/A","",Table1[[#This Row],[Reference]])</f>
        <v>Hoffmann et al., 2009, Clausen, 2000</v>
      </c>
      <c r="L192" s="22" t="str">
        <f>IF(Table1[[#This Row],[Main source/flow path in]]="N/A","",Table1[[#This Row],[Main source/flow path in]])</f>
        <v>Groundwater</v>
      </c>
      <c r="M192" s="22" t="str">
        <f>IF(Table1[[#This Row],[Main source/flow path in (simple)]]="N/A","",Table1[[#This Row],[Main source/flow path in (simple)]])</f>
        <v>GW</v>
      </c>
      <c r="N192" s="22" t="str">
        <f>IF(Table1[[#This Row],[Main flow paths in buffer]]="N/A","",Table1[[#This Row],[Main flow paths in buffer]])</f>
        <v>Deep groundwater, shallow groundwater, overland flow</v>
      </c>
      <c r="O192" s="22" t="str">
        <f>IF(Table1[[#This Row],[Inflow=&gt;Outflow]]="N/A","",Table1[[#This Row],[Inflow=&gt;Outflow]])</f>
        <v>GW=&gt;GW</v>
      </c>
      <c r="P192" s="22">
        <f>IF(Table1[[#This Row],[Width '[m']]]="N/A","",Table1[[#This Row],[Width '[m']]])</f>
        <v>2.5</v>
      </c>
      <c r="Q192" s="22">
        <f>IF(Table1[[#This Row],[Area '[m²']]]="N/A","",Table1[[#This Row],[Area '[m²']]])</f>
        <v>312.5</v>
      </c>
      <c r="R192" s="22" t="str">
        <f>IF(Table1[[#This Row],[Qin '[m³/yr']]]="N/A","",Table1[[#This Row],[Qin '[m³/yr']]])</f>
        <v/>
      </c>
      <c r="S192" s="22">
        <f>IF(Table1[[#This Row],[Catchment area '[ha']]]="N/A","",Table1[[#This Row],[Catchment area '[ha']]])</f>
        <v>207.3</v>
      </c>
      <c r="T192" s="22" t="str">
        <f>IF(Table1[[#This Row],[HLR '[mm']]]="N/A","",Table1[[#This Row],[HLR '[mm']]])</f>
        <v/>
      </c>
    </row>
    <row r="193" spans="1:20" x14ac:dyDescent="0.3">
      <c r="A193" s="22" t="str">
        <f>IF(Table1[[#This Row],[Country]]="N/A","",Table1[[#This Row],[Country]])</f>
        <v>USA</v>
      </c>
      <c r="B193" s="22" t="str">
        <f>IF(Table1[[#This Row],[Study site]]="N/A","",Table1[[#This Row],[Study site]])</f>
        <v>Conneticut, US</v>
      </c>
      <c r="C193" s="22" t="str">
        <f>IF(Table1[[#This Row],[WBZ-type]]="N/A","",Table1[[#This Row],[WBZ-type]])</f>
        <v>Riparian Wetland/Bank</v>
      </c>
      <c r="D193" s="22" t="str">
        <f>IF(Table1[[#This Row],[Nutrient]]="N/A","",Table1[[#This Row],[Nutrient]])</f>
        <v>total nitrogen</v>
      </c>
      <c r="E193" s="22">
        <f>IF(Table1[[#This Row],[Load (kg N, P/ha/yr)]]="N/A","",Table1[[#This Row],[Load (kg N, P/ha/yr)]])</f>
        <v>1066.5</v>
      </c>
      <c r="F193" s="22">
        <f>IF(Table1[[#This Row],[Loss (kg N, P/ha/yr)]]="N/A","",Table1[[#This Row],[Loss (kg N, P/ha/yr)]])</f>
        <v>709.5</v>
      </c>
      <c r="G193" s="22">
        <f>IF(Table1[[#This Row],[Retention (kg N, P/ha/yr)]]="N/A","",Table1[[#This Row],[Retention (kg N, P/ha/yr)]])</f>
        <v>357</v>
      </c>
      <c r="H193" s="22">
        <f>IF(Table1[[#This Row],[Efficiency (%)]]="N/A","",Table1[[#This Row],[Efficiency (%)]])</f>
        <v>33.473980309423347</v>
      </c>
      <c r="I193" s="22" t="str">
        <f>IF(Table1[[#This Row],[Organic/Mineral Soil]]="N/A","",Table1[[#This Row],[Organic/Mineral Soil]])</f>
        <v>Mineral</v>
      </c>
      <c r="J193" s="22" t="str">
        <f>IF(Table1[[#This Row],[Vegetation type]]="N/A","",Table1[[#This Row],[Vegetation type]])</f>
        <v>Herbaceous</v>
      </c>
      <c r="K193" s="22" t="str">
        <f>IF(Table1[[#This Row],[Reference]]="N/A","",Table1[[#This Row],[Reference]])</f>
        <v>Hoffmann et al., 2009, Clausen, 2000</v>
      </c>
      <c r="L193" s="22" t="str">
        <f>IF(Table1[[#This Row],[Main source/flow path in]]="N/A","",Table1[[#This Row],[Main source/flow path in]])</f>
        <v>Groundwater</v>
      </c>
      <c r="M193" s="22" t="str">
        <f>IF(Table1[[#This Row],[Main source/flow path in (simple)]]="N/A","",Table1[[#This Row],[Main source/flow path in (simple)]])</f>
        <v>GW</v>
      </c>
      <c r="N193" s="22" t="str">
        <f>IF(Table1[[#This Row],[Main flow paths in buffer]]="N/A","",Table1[[#This Row],[Main flow paths in buffer]])</f>
        <v>Deep groundwater, shallow groundwater, overland flow</v>
      </c>
      <c r="O193" s="22" t="str">
        <f>IF(Table1[[#This Row],[Inflow=&gt;Outflow]]="N/A","",Table1[[#This Row],[Inflow=&gt;Outflow]])</f>
        <v>GW=&gt;GW</v>
      </c>
      <c r="P193" s="22">
        <f>IF(Table1[[#This Row],[Width '[m']]]="N/A","",Table1[[#This Row],[Width '[m']]])</f>
        <v>2.5</v>
      </c>
      <c r="Q193" s="22">
        <f>IF(Table1[[#This Row],[Area '[m²']]]="N/A","",Table1[[#This Row],[Area '[m²']]])</f>
        <v>312.5</v>
      </c>
      <c r="R193" s="22" t="str">
        <f>IF(Table1[[#This Row],[Qin '[m³/yr']]]="N/A","",Table1[[#This Row],[Qin '[m³/yr']]])</f>
        <v/>
      </c>
      <c r="S193" s="22">
        <f>IF(Table1[[#This Row],[Catchment area '[ha']]]="N/A","",Table1[[#This Row],[Catchment area '[ha']]])</f>
        <v>207.3</v>
      </c>
      <c r="T193" s="22" t="str">
        <f>IF(Table1[[#This Row],[HLR '[mm']]]="N/A","",Table1[[#This Row],[HLR '[mm']]])</f>
        <v/>
      </c>
    </row>
    <row r="194" spans="1:20" hidden="1" x14ac:dyDescent="0.3">
      <c r="A194" s="22" t="str">
        <f>IF(Table1[[#This Row],[Country]]="N/A","",Table1[[#This Row],[Country]])</f>
        <v>USA</v>
      </c>
      <c r="B194" s="22" t="str">
        <f>IF(Table1[[#This Row],[Study site]]="N/A","",Table1[[#This Row],[Study site]])</f>
        <v>Franklin County, Ohio, US</v>
      </c>
      <c r="C194" s="22" t="str">
        <f>IF(Table1[[#This Row],[WBZ-type]]="N/A","",Table1[[#This Row],[WBZ-type]])</f>
        <v>Floodplain</v>
      </c>
      <c r="D194" s="22" t="str">
        <f>IF(Table1[[#This Row],[Nutrient]]="N/A","",Table1[[#This Row],[Nutrient]])</f>
        <v>total phosphorus</v>
      </c>
      <c r="E194" s="22">
        <f>IF(Table1[[#This Row],[Load (kg N, P/ha/yr)]]="N/A","",Table1[[#This Row],[Load (kg N, P/ha/yr)]])</f>
        <v>178</v>
      </c>
      <c r="F194" s="22">
        <f>IF(Table1[[#This Row],[Loss (kg N, P/ha/yr)]]="N/A","",Table1[[#This Row],[Loss (kg N, P/ha/yr)]])</f>
        <v>149</v>
      </c>
      <c r="G194" s="22">
        <f>IF(Table1[[#This Row],[Retention (kg N, P/ha/yr)]]="N/A","",Table1[[#This Row],[Retention (kg N, P/ha/yr)]])</f>
        <v>29</v>
      </c>
      <c r="H194" s="22">
        <f>IF(Table1[[#This Row],[Efficiency (%)]]="N/A","",Table1[[#This Row],[Efficiency (%)]])</f>
        <v>16.292134831460675</v>
      </c>
      <c r="I194" s="22" t="str">
        <f>IF(Table1[[#This Row],[Organic/Mineral Soil]]="N/A","",Table1[[#This Row],[Organic/Mineral Soil]])</f>
        <v>Mineral</v>
      </c>
      <c r="J194" s="22" t="str">
        <f>IF(Table1[[#This Row],[Vegetation type]]="N/A","",Table1[[#This Row],[Vegetation type]])</f>
        <v>Aerenchymous</v>
      </c>
      <c r="K194" s="22" t="str">
        <f>IF(Table1[[#This Row],[Reference]]="N/A","",Table1[[#This Row],[Reference]])</f>
        <v>Mitsch et al., 2014; Niswander and Mitsch, 1995</v>
      </c>
      <c r="L194" s="22" t="str">
        <f>IF(Table1[[#This Row],[Main source/flow path in]]="N/A","",Table1[[#This Row],[Main source/flow path in]])</f>
        <v>River inundation</v>
      </c>
      <c r="M194" s="22" t="str">
        <f>IF(Table1[[#This Row],[Main source/flow path in (simple)]]="N/A","",Table1[[#This Row],[Main source/flow path in (simple)]])</f>
        <v>SWR</v>
      </c>
      <c r="N194" s="22" t="str">
        <f>IF(Table1[[#This Row],[Main flow paths in buffer]]="N/A","",Table1[[#This Row],[Main flow paths in buffer]])</f>
        <v>Direct surface runoff</v>
      </c>
      <c r="O194" s="22" t="str">
        <f>IF(Table1[[#This Row],[Inflow=&gt;Outflow]]="N/A","",Table1[[#This Row],[Inflow=&gt;Outflow]])</f>
        <v>SWR=&gt;SR</v>
      </c>
      <c r="P194" s="22" t="str">
        <f>IF(Table1[[#This Row],[Width '[m']]]="N/A","",Table1[[#This Row],[Width '[m']]])</f>
        <v/>
      </c>
      <c r="Q194" s="22">
        <f>IF(Table1[[#This Row],[Area '[m²']]]="N/A","",Table1[[#This Row],[Area '[m²']]])</f>
        <v>60599.999999999993</v>
      </c>
      <c r="R194" s="22">
        <f>IF(Table1[[#This Row],[Qin '[m³/yr']]]="N/A","",Table1[[#This Row],[Qin '[m³/yr']]])</f>
        <v>2366429.9999999995</v>
      </c>
      <c r="S194" s="22">
        <f>IF(Table1[[#This Row],[Catchment area '[ha']]]="N/A","",Table1[[#This Row],[Catchment area '[ha']]])</f>
        <v>260</v>
      </c>
      <c r="T194" s="22">
        <f>IF(Table1[[#This Row],[HLR '[mm']]]="N/A","",Table1[[#This Row],[HLR '[mm']]])</f>
        <v>39050</v>
      </c>
    </row>
    <row r="195" spans="1:20" hidden="1" x14ac:dyDescent="0.3">
      <c r="A195" s="22" t="str">
        <f>IF(Table1[[#This Row],[Country]]="N/A","",Table1[[#This Row],[Country]])</f>
        <v>USA</v>
      </c>
      <c r="B195" s="22" t="str">
        <f>IF(Table1[[#This Row],[Study site]]="N/A","",Table1[[#This Row],[Study site]])</f>
        <v>Georgia, USA</v>
      </c>
      <c r="C195" s="22" t="str">
        <f>IF(Table1[[#This Row],[WBZ-type]]="N/A","",Table1[[#This Row],[WBZ-type]])</f>
        <v>Floodplain</v>
      </c>
      <c r="D195" s="22" t="str">
        <f>IF(Table1[[#This Row],[Nutrient]]="N/A","",Table1[[#This Row],[Nutrient]])</f>
        <v>nitrate</v>
      </c>
      <c r="E195" s="22">
        <f>IF(Table1[[#This Row],[Load (kg N, P/ha/yr)]]="N/A","",Table1[[#This Row],[Load (kg N, P/ha/yr)]])</f>
        <v>0</v>
      </c>
      <c r="F195" s="22">
        <f>IF(Table1[[#This Row],[Loss (kg N, P/ha/yr)]]="N/A","",Table1[[#This Row],[Loss (kg N, P/ha/yr)]])</f>
        <v>0</v>
      </c>
      <c r="G195" s="22">
        <f>IF(Table1[[#This Row],[Retention (kg N, P/ha/yr)]]="N/A","",Table1[[#This Row],[Retention (kg N, P/ha/yr)]])</f>
        <v>0</v>
      </c>
      <c r="H195" s="22">
        <f>IF(Table1[[#This Row],[Efficiency (%)]]="N/A","",Table1[[#This Row],[Efficiency (%)]])</f>
        <v>94</v>
      </c>
      <c r="I195" s="22" t="str">
        <f>IF(Table1[[#This Row],[Organic/Mineral Soil]]="N/A","",Table1[[#This Row],[Organic/Mineral Soil]])</f>
        <v>Mineral</v>
      </c>
      <c r="J195" s="22" t="str">
        <f>IF(Table1[[#This Row],[Vegetation type]]="N/A","",Table1[[#This Row],[Vegetation type]])</f>
        <v>Arboraceous, mixed</v>
      </c>
      <c r="K195" s="22" t="str">
        <f>IF(Table1[[#This Row],[Reference]]="N/A","",Table1[[#This Row],[Reference]])</f>
        <v>Hill A., 1996; Lowrance 1992</v>
      </c>
      <c r="L195" s="22" t="str">
        <f>IF(Table1[[#This Row],[Main source/flow path in]]="N/A","",Table1[[#This Row],[Main source/flow path in]])</f>
        <v>Groundwater</v>
      </c>
      <c r="M195" s="22" t="str">
        <f>IF(Table1[[#This Row],[Main source/flow path in (simple)]]="N/A","",Table1[[#This Row],[Main source/flow path in (simple)]])</f>
        <v>GW</v>
      </c>
      <c r="N195" s="22" t="str">
        <f>IF(Table1[[#This Row],[Main flow paths in buffer]]="N/A","",Table1[[#This Row],[Main flow paths in buffer]])</f>
        <v>Shallow lateral GW</v>
      </c>
      <c r="O195" s="22" t="str">
        <f>IF(Table1[[#This Row],[Inflow=&gt;Outflow]]="N/A","",Table1[[#This Row],[Inflow=&gt;Outflow]])</f>
        <v>GW=&gt;GW</v>
      </c>
      <c r="P195" s="22">
        <f>IF(Table1[[#This Row],[Width '[m']]]="N/A","",Table1[[#This Row],[Width '[m']]])</f>
        <v>55</v>
      </c>
      <c r="Q195" s="22" t="str">
        <f>IF(Table1[[#This Row],[Area '[m²']]]="N/A","",Table1[[#This Row],[Area '[m²']]])</f>
        <v/>
      </c>
      <c r="R195" s="22" t="str">
        <f>IF(Table1[[#This Row],[Qin '[m³/yr']]]="N/A","",Table1[[#This Row],[Qin '[m³/yr']]])</f>
        <v/>
      </c>
      <c r="S195" s="22" t="str">
        <f>IF(Table1[[#This Row],[Catchment area '[ha']]]="N/A","",Table1[[#This Row],[Catchment area '[ha']]])</f>
        <v/>
      </c>
      <c r="T195" s="22" t="str">
        <f>IF(Table1[[#This Row],[HLR '[mm']]]="N/A","",Table1[[#This Row],[HLR '[mm']]])</f>
        <v/>
      </c>
    </row>
    <row r="196" spans="1:20" hidden="1" x14ac:dyDescent="0.3">
      <c r="A196" s="22" t="str">
        <f>IF(Table1[[#This Row],[Country]]="N/A","",Table1[[#This Row],[Country]])</f>
        <v>USA</v>
      </c>
      <c r="B196" s="22" t="str">
        <f>IF(Table1[[#This Row],[Study site]]="N/A","",Table1[[#This Row],[Study site]])</f>
        <v>Illinois, US</v>
      </c>
      <c r="C196" s="22" t="str">
        <f>IF(Table1[[#This Row],[WBZ-type]]="N/A","",Table1[[#This Row],[WBZ-type]])</f>
        <v>Floodplain</v>
      </c>
      <c r="D196" s="22" t="str">
        <f>IF(Table1[[#This Row],[Nutrient]]="N/A","",Table1[[#This Row],[Nutrient]])</f>
        <v>nitrate</v>
      </c>
      <c r="E196" s="22">
        <f>IF(Table1[[#This Row],[Load (kg N, P/ha/yr)]]="N/A","",Table1[[#This Row],[Load (kg N, P/ha/yr)]])</f>
        <v>0</v>
      </c>
      <c r="F196" s="22">
        <f>IF(Table1[[#This Row],[Loss (kg N, P/ha/yr)]]="N/A","",Table1[[#This Row],[Loss (kg N, P/ha/yr)]])</f>
        <v>0</v>
      </c>
      <c r="G196" s="22">
        <f>IF(Table1[[#This Row],[Retention (kg N, P/ha/yr)]]="N/A","",Table1[[#This Row],[Retention (kg N, P/ha/yr)]])</f>
        <v>390</v>
      </c>
      <c r="H196" s="22">
        <f>IF(Table1[[#This Row],[Efficiency (%)]]="N/A","",Table1[[#This Row],[Efficiency (%)]])</f>
        <v>0</v>
      </c>
      <c r="I196" s="22" t="str">
        <f>IF(Table1[[#This Row],[Organic/Mineral Soil]]="N/A","",Table1[[#This Row],[Organic/Mineral Soil]])</f>
        <v>Mineral</v>
      </c>
      <c r="J196" s="22" t="str">
        <f>IF(Table1[[#This Row],[Vegetation type]]="N/A","",Table1[[#This Row],[Vegetation type]])</f>
        <v>Herbaceous</v>
      </c>
      <c r="K196" s="22" t="str">
        <f>IF(Table1[[#This Row],[Reference]]="N/A","",Table1[[#This Row],[Reference]])</f>
        <v>Mitsch et al., 2014; Fink and Mitsch, 2004</v>
      </c>
      <c r="L196" s="22" t="str">
        <f>IF(Table1[[#This Row],[Main source/flow path in]]="N/A","",Table1[[#This Row],[Main source/flow path in]])</f>
        <v>Surface runoff from upland and groundwater</v>
      </c>
      <c r="M196" s="22" t="str">
        <f>IF(Table1[[#This Row],[Main source/flow path in (simple)]]="N/A","",Table1[[#This Row],[Main source/flow path in (simple)]])</f>
        <v>SWU</v>
      </c>
      <c r="N196" s="22" t="str">
        <f>IF(Table1[[#This Row],[Main flow paths in buffer]]="N/A","",Table1[[#This Row],[Main flow paths in buffer]])</f>
        <v>Direct surface runof</v>
      </c>
      <c r="O196" s="22" t="str">
        <f>IF(Table1[[#This Row],[Inflow=&gt;Outflow]]="N/A","",Table1[[#This Row],[Inflow=&gt;Outflow]])</f>
        <v>SWU=&gt;SR</v>
      </c>
      <c r="P196" s="22">
        <f>IF(Table1[[#This Row],[Width '[m']]]="N/A","",Table1[[#This Row],[Width '[m']]])</f>
        <v>30</v>
      </c>
      <c r="Q196" s="22">
        <f>IF(Table1[[#This Row],[Area '[m²']]]="N/A","",Table1[[#This Row],[Area '[m²']]])</f>
        <v>12000</v>
      </c>
      <c r="R196" s="22">
        <f>IF(Table1[[#This Row],[Qin '[m³/yr']]]="N/A","",Table1[[#This Row],[Qin '[m³/yr']]])</f>
        <v>77520</v>
      </c>
      <c r="S196" s="22">
        <f>IF(Table1[[#This Row],[Catchment area '[ha']]]="N/A","",Table1[[#This Row],[Catchment area '[ha']]])</f>
        <v>17</v>
      </c>
      <c r="T196" s="22">
        <f>IF(Table1[[#This Row],[HLR '[mm']]]="N/A","",Table1[[#This Row],[HLR '[mm']]])</f>
        <v>6460</v>
      </c>
    </row>
    <row r="197" spans="1:20" hidden="1" x14ac:dyDescent="0.3">
      <c r="A197" s="22" t="str">
        <f>IF(Table1[[#This Row],[Country]]="N/A","",Table1[[#This Row],[Country]])</f>
        <v>USA</v>
      </c>
      <c r="B197" s="22" t="str">
        <f>IF(Table1[[#This Row],[Study site]]="N/A","",Table1[[#This Row],[Study site]])</f>
        <v>Illinois, US</v>
      </c>
      <c r="C197" s="22" t="str">
        <f>IF(Table1[[#This Row],[WBZ-type]]="N/A","",Table1[[#This Row],[WBZ-type]])</f>
        <v>Floodplain</v>
      </c>
      <c r="D197" s="22" t="str">
        <f>IF(Table1[[#This Row],[Nutrient]]="N/A","",Table1[[#This Row],[Nutrient]])</f>
        <v>total phosphorus</v>
      </c>
      <c r="E197" s="22">
        <f>IF(Table1[[#This Row],[Load (kg N, P/ha/yr)]]="N/A","",Table1[[#This Row],[Load (kg N, P/ha/yr)]])</f>
        <v>0</v>
      </c>
      <c r="F197" s="22">
        <f>IF(Table1[[#This Row],[Loss (kg N, P/ha/yr)]]="N/A","",Table1[[#This Row],[Loss (kg N, P/ha/yr)]])</f>
        <v>0</v>
      </c>
      <c r="G197" s="22">
        <f>IF(Table1[[#This Row],[Retention (kg N, P/ha/yr)]]="N/A","",Table1[[#This Row],[Retention (kg N, P/ha/yr)]])</f>
        <v>62</v>
      </c>
      <c r="H197" s="22">
        <f>IF(Table1[[#This Row],[Efficiency (%)]]="N/A","",Table1[[#This Row],[Efficiency (%)]])</f>
        <v>0</v>
      </c>
      <c r="I197" s="22" t="str">
        <f>IF(Table1[[#This Row],[Organic/Mineral Soil]]="N/A","",Table1[[#This Row],[Organic/Mineral Soil]])</f>
        <v>Mineral</v>
      </c>
      <c r="J197" s="22" t="str">
        <f>IF(Table1[[#This Row],[Vegetation type]]="N/A","",Table1[[#This Row],[Vegetation type]])</f>
        <v>Herbaceous</v>
      </c>
      <c r="K197" s="22" t="str">
        <f>IF(Table1[[#This Row],[Reference]]="N/A","",Table1[[#This Row],[Reference]])</f>
        <v>Mitsch et al., 2014; Fink and Mitsch, 2004</v>
      </c>
      <c r="L197" s="22" t="str">
        <f>IF(Table1[[#This Row],[Main source/flow path in]]="N/A","",Table1[[#This Row],[Main source/flow path in]])</f>
        <v>Surface runoff from upland and groundwater</v>
      </c>
      <c r="M197" s="22" t="str">
        <f>IF(Table1[[#This Row],[Main source/flow path in (simple)]]="N/A","",Table1[[#This Row],[Main source/flow path in (simple)]])</f>
        <v>SWU</v>
      </c>
      <c r="N197" s="22" t="str">
        <f>IF(Table1[[#This Row],[Main flow paths in buffer]]="N/A","",Table1[[#This Row],[Main flow paths in buffer]])</f>
        <v>Direct surface runof</v>
      </c>
      <c r="O197" s="22" t="str">
        <f>IF(Table1[[#This Row],[Inflow=&gt;Outflow]]="N/A","",Table1[[#This Row],[Inflow=&gt;Outflow]])</f>
        <v>SWU=&gt;SR</v>
      </c>
      <c r="P197" s="22">
        <f>IF(Table1[[#This Row],[Width '[m']]]="N/A","",Table1[[#This Row],[Width '[m']]])</f>
        <v>30</v>
      </c>
      <c r="Q197" s="22">
        <f>IF(Table1[[#This Row],[Area '[m²']]]="N/A","",Table1[[#This Row],[Area '[m²']]])</f>
        <v>12000</v>
      </c>
      <c r="R197" s="22">
        <f>IF(Table1[[#This Row],[Qin '[m³/yr']]]="N/A","",Table1[[#This Row],[Qin '[m³/yr']]])</f>
        <v>77520</v>
      </c>
      <c r="S197" s="22">
        <f>IF(Table1[[#This Row],[Catchment area '[ha']]]="N/A","",Table1[[#This Row],[Catchment area '[ha']]])</f>
        <v>17</v>
      </c>
      <c r="T197" s="22">
        <f>IF(Table1[[#This Row],[HLR '[mm']]]="N/A","",Table1[[#This Row],[HLR '[mm']]])</f>
        <v>6460</v>
      </c>
    </row>
    <row r="198" spans="1:20" hidden="1" x14ac:dyDescent="0.3">
      <c r="A198" s="22" t="str">
        <f>IF(Table1[[#This Row],[Country]]="N/A","",Table1[[#This Row],[Country]])</f>
        <v>USA</v>
      </c>
      <c r="B198" s="22" t="str">
        <f>IF(Table1[[#This Row],[Study site]]="N/A","",Table1[[#This Row],[Study site]])</f>
        <v>Illinois, US</v>
      </c>
      <c r="C198" s="22" t="str">
        <f>IF(Table1[[#This Row],[WBZ-type]]="N/A","",Table1[[#This Row],[WBZ-type]])</f>
        <v>Riparian Wetland/Bank</v>
      </c>
      <c r="D198" s="22" t="str">
        <f>IF(Table1[[#This Row],[Nutrient]]="N/A","",Table1[[#This Row],[Nutrient]])</f>
        <v>nitrate</v>
      </c>
      <c r="E198" s="22">
        <f>IF(Table1[[#This Row],[Load (kg N, P/ha/yr)]]="N/A","",Table1[[#This Row],[Load (kg N, P/ha/yr)]])</f>
        <v>0</v>
      </c>
      <c r="F198" s="22">
        <f>IF(Table1[[#This Row],[Loss (kg N, P/ha/yr)]]="N/A","",Table1[[#This Row],[Loss (kg N, P/ha/yr)]])</f>
        <v>0</v>
      </c>
      <c r="G198" s="22">
        <f>IF(Table1[[#This Row],[Retention (kg N, P/ha/yr)]]="N/A","",Table1[[#This Row],[Retention (kg N, P/ha/yr)]])</f>
        <v>0</v>
      </c>
      <c r="H198" s="22">
        <f>IF(Table1[[#This Row],[Efficiency (%)]]="N/A","",Table1[[#This Row],[Efficiency (%)]])</f>
        <v>93</v>
      </c>
      <c r="I198" s="22" t="str">
        <f>IF(Table1[[#This Row],[Organic/Mineral Soil]]="N/A","",Table1[[#This Row],[Organic/Mineral Soil]])</f>
        <v>Mineral</v>
      </c>
      <c r="J198" s="22" t="str">
        <f>IF(Table1[[#This Row],[Vegetation type]]="N/A","",Table1[[#This Row],[Vegetation type]])</f>
        <v>Arboraceous, mixed</v>
      </c>
      <c r="K198" s="22" t="str">
        <f>IF(Table1[[#This Row],[Reference]]="N/A","",Table1[[#This Row],[Reference]])</f>
        <v>Osborne and Kovacic, 1993; Hill, 1996</v>
      </c>
      <c r="L198" s="22" t="str">
        <f>IF(Table1[[#This Row],[Main source/flow path in]]="N/A","",Table1[[#This Row],[Main source/flow path in]])</f>
        <v>Groundwater</v>
      </c>
      <c r="M198" s="22" t="str">
        <f>IF(Table1[[#This Row],[Main source/flow path in (simple)]]="N/A","",Table1[[#This Row],[Main source/flow path in (simple)]])</f>
        <v>GW</v>
      </c>
      <c r="N198" s="22" t="str">
        <f>IF(Table1[[#This Row],[Main flow paths in buffer]]="N/A","",Table1[[#This Row],[Main flow paths in buffer]])</f>
        <v>Shallow lateral GW</v>
      </c>
      <c r="O198" s="22" t="str">
        <f>IF(Table1[[#This Row],[Inflow=&gt;Outflow]]="N/A","",Table1[[#This Row],[Inflow=&gt;Outflow]])</f>
        <v>GW=&gt;GW</v>
      </c>
      <c r="P198" s="22">
        <f>IF(Table1[[#This Row],[Width '[m']]]="N/A","",Table1[[#This Row],[Width '[m']]])</f>
        <v>16</v>
      </c>
      <c r="Q198" s="22" t="str">
        <f>IF(Table1[[#This Row],[Area '[m²']]]="N/A","",Table1[[#This Row],[Area '[m²']]])</f>
        <v/>
      </c>
      <c r="R198" s="22" t="str">
        <f>IF(Table1[[#This Row],[Qin '[m³/yr']]]="N/A","",Table1[[#This Row],[Qin '[m³/yr']]])</f>
        <v/>
      </c>
      <c r="S198" s="22" t="str">
        <f>IF(Table1[[#This Row],[Catchment area '[ha']]]="N/A","",Table1[[#This Row],[Catchment area '[ha']]])</f>
        <v/>
      </c>
      <c r="T198" s="22" t="str">
        <f>IF(Table1[[#This Row],[HLR '[mm']]]="N/A","",Table1[[#This Row],[HLR '[mm']]])</f>
        <v/>
      </c>
    </row>
    <row r="199" spans="1:20" hidden="1" x14ac:dyDescent="0.3">
      <c r="A199" s="22" t="str">
        <f>IF(Table1[[#This Row],[Country]]="N/A","",Table1[[#This Row],[Country]])</f>
        <v>USA</v>
      </c>
      <c r="B199" s="22" t="str">
        <f>IF(Table1[[#This Row],[Study site]]="N/A","",Table1[[#This Row],[Study site]])</f>
        <v>Illinois, US</v>
      </c>
      <c r="C199" s="22" t="str">
        <f>IF(Table1[[#This Row],[WBZ-type]]="N/A","",Table1[[#This Row],[WBZ-type]])</f>
        <v>Floodplain</v>
      </c>
      <c r="D199" s="22" t="str">
        <f>IF(Table1[[#This Row],[Nutrient]]="N/A","",Table1[[#This Row],[Nutrient]])</f>
        <v>nitrate</v>
      </c>
      <c r="E199" s="22">
        <f>IF(Table1[[#This Row],[Load (kg N, P/ha/yr)]]="N/A","",Table1[[#This Row],[Load (kg N, P/ha/yr)]])</f>
        <v>0</v>
      </c>
      <c r="F199" s="22">
        <f>IF(Table1[[#This Row],[Loss (kg N, P/ha/yr)]]="N/A","",Table1[[#This Row],[Loss (kg N, P/ha/yr)]])</f>
        <v>0</v>
      </c>
      <c r="G199" s="22">
        <f>IF(Table1[[#This Row],[Retention (kg N, P/ha/yr)]]="N/A","",Table1[[#This Row],[Retention (kg N, P/ha/yr)]])</f>
        <v>0</v>
      </c>
      <c r="H199" s="22">
        <f>IF(Table1[[#This Row],[Efficiency (%)]]="N/A","",Table1[[#This Row],[Efficiency (%)]])</f>
        <v>83</v>
      </c>
      <c r="I199" s="22" t="str">
        <f>IF(Table1[[#This Row],[Organic/Mineral Soil]]="N/A","",Table1[[#This Row],[Organic/Mineral Soil]])</f>
        <v>Mineral</v>
      </c>
      <c r="J199" s="22" t="str">
        <f>IF(Table1[[#This Row],[Vegetation type]]="N/A","",Table1[[#This Row],[Vegetation type]])</f>
        <v>Herbaceous</v>
      </c>
      <c r="K199" s="22" t="str">
        <f>IF(Table1[[#This Row],[Reference]]="N/A","",Table1[[#This Row],[Reference]])</f>
        <v>Osborne and Kovacic, 1993; Hill, 1996</v>
      </c>
      <c r="L199" s="22" t="str">
        <f>IF(Table1[[#This Row],[Main source/flow path in]]="N/A","",Table1[[#This Row],[Main source/flow path in]])</f>
        <v>Groundwater</v>
      </c>
      <c r="M199" s="22" t="str">
        <f>IF(Table1[[#This Row],[Main source/flow path in (simple)]]="N/A","",Table1[[#This Row],[Main source/flow path in (simple)]])</f>
        <v>GW</v>
      </c>
      <c r="N199" s="22" t="str">
        <f>IF(Table1[[#This Row],[Main flow paths in buffer]]="N/A","",Table1[[#This Row],[Main flow paths in buffer]])</f>
        <v>Shallow lateral GW</v>
      </c>
      <c r="O199" s="22" t="str">
        <f>IF(Table1[[#This Row],[Inflow=&gt;Outflow]]="N/A","",Table1[[#This Row],[Inflow=&gt;Outflow]])</f>
        <v>GW=&gt;GW</v>
      </c>
      <c r="P199" s="22">
        <f>IF(Table1[[#This Row],[Width '[m']]]="N/A","",Table1[[#This Row],[Width '[m']]])</f>
        <v>39</v>
      </c>
      <c r="Q199" s="22" t="str">
        <f>IF(Table1[[#This Row],[Area '[m²']]]="N/A","",Table1[[#This Row],[Area '[m²']]])</f>
        <v/>
      </c>
      <c r="R199" s="22" t="str">
        <f>IF(Table1[[#This Row],[Qin '[m³/yr']]]="N/A","",Table1[[#This Row],[Qin '[m³/yr']]])</f>
        <v/>
      </c>
      <c r="S199" s="22" t="str">
        <f>IF(Table1[[#This Row],[Catchment area '[ha']]]="N/A","",Table1[[#This Row],[Catchment area '[ha']]])</f>
        <v/>
      </c>
      <c r="T199" s="22" t="str">
        <f>IF(Table1[[#This Row],[HLR '[mm']]]="N/A","",Table1[[#This Row],[HLR '[mm']]])</f>
        <v/>
      </c>
    </row>
    <row r="200" spans="1:20" x14ac:dyDescent="0.3">
      <c r="A200" s="22" t="str">
        <f>IF(Table1[[#This Row],[Country]]="N/A","",Table1[[#This Row],[Country]])</f>
        <v>USA</v>
      </c>
      <c r="B200" s="22" t="str">
        <f>IF(Table1[[#This Row],[Study site]]="N/A","",Table1[[#This Row],[Study site]])</f>
        <v>Little River, Georgia, US</v>
      </c>
      <c r="C200" s="22" t="str">
        <f>IF(Table1[[#This Row],[WBZ-type]]="N/A","",Table1[[#This Row],[WBZ-type]])</f>
        <v>Riparian Wetland/Bank</v>
      </c>
      <c r="D200" s="22" t="str">
        <f>IF(Table1[[#This Row],[Nutrient]]="N/A","",Table1[[#This Row],[Nutrient]])</f>
        <v>total nitrogen</v>
      </c>
      <c r="E200" s="22">
        <f>IF(Table1[[#This Row],[Load (kg N, P/ha/yr)]]="N/A","",Table1[[#This Row],[Load (kg N, P/ha/yr)]])</f>
        <v>51.8</v>
      </c>
      <c r="F200" s="22">
        <f>IF(Table1[[#This Row],[Loss (kg N, P/ha/yr)]]="N/A","",Table1[[#This Row],[Loss (kg N, P/ha/yr)]])</f>
        <v>13</v>
      </c>
      <c r="G200" s="22">
        <f>IF(Table1[[#This Row],[Retention (kg N, P/ha/yr)]]="N/A","",Table1[[#This Row],[Retention (kg N, P/ha/yr)]])</f>
        <v>38.799999999999997</v>
      </c>
      <c r="H200" s="22">
        <f>IF(Table1[[#This Row],[Efficiency (%)]]="N/A","",Table1[[#This Row],[Efficiency (%)]])</f>
        <v>74.900000000000006</v>
      </c>
      <c r="I200" s="22" t="str">
        <f>IF(Table1[[#This Row],[Organic/Mineral Soil]]="N/A","",Table1[[#This Row],[Organic/Mineral Soil]])</f>
        <v>Mineral</v>
      </c>
      <c r="J200" s="22" t="str">
        <f>IF(Table1[[#This Row],[Vegetation type]]="N/A","",Table1[[#This Row],[Vegetation type]])</f>
        <v>Arboraceous, mixed</v>
      </c>
      <c r="K200" s="22" t="str">
        <f>IF(Table1[[#This Row],[Reference]]="N/A","",Table1[[#This Row],[Reference]])</f>
        <v>Lowrance et al., 1984; Hoffmann et al 2009; Mander et al., 1997</v>
      </c>
      <c r="L200" s="22" t="str">
        <f>IF(Table1[[#This Row],[Main source/flow path in]]="N/A","",Table1[[#This Row],[Main source/flow path in]])</f>
        <v>Precipitation, surface water, and groundwater</v>
      </c>
      <c r="M200" s="22" t="str">
        <f>IF(Table1[[#This Row],[Main source/flow path in (simple)]]="N/A","",Table1[[#This Row],[Main source/flow path in (simple)]])</f>
        <v>P</v>
      </c>
      <c r="N200" s="22" t="str">
        <f>IF(Table1[[#This Row],[Main flow paths in buffer]]="N/A","",Table1[[#This Row],[Main flow paths in buffer]])</f>
        <v>Shallow lateral GW</v>
      </c>
      <c r="O200" s="22" t="str">
        <f>IF(Table1[[#This Row],[Inflow=&gt;Outflow]]="N/A","",Table1[[#This Row],[Inflow=&gt;Outflow]])</f>
        <v>SWU=&gt;GW</v>
      </c>
      <c r="P200" s="22" t="str">
        <f>IF(Table1[[#This Row],[Width '[m']]]="N/A","",Table1[[#This Row],[Width '[m']]])</f>
        <v/>
      </c>
      <c r="Q200" s="22">
        <f>IF(Table1[[#This Row],[Area '[m²']]]="N/A","",Table1[[#This Row],[Area '[m²']]])</f>
        <v>3400</v>
      </c>
      <c r="R200" s="22" t="str">
        <f>IF(Table1[[#This Row],[Qin '[m³/yr']]]="N/A","",Table1[[#This Row],[Qin '[m³/yr']]])</f>
        <v/>
      </c>
      <c r="S200" s="22" t="str">
        <f>IF(Table1[[#This Row],[Catchment area '[ha']]]="N/A","",Table1[[#This Row],[Catchment area '[ha']]])</f>
        <v/>
      </c>
      <c r="T200" s="22">
        <f>IF(Table1[[#This Row],[HLR '[mm']]]="N/A","",Table1[[#This Row],[HLR '[mm']]])</f>
        <v>288.35000000000002</v>
      </c>
    </row>
    <row r="201" spans="1:20" hidden="1" x14ac:dyDescent="0.3">
      <c r="A201" s="22" t="str">
        <f>IF(Table1[[#This Row],[Country]]="N/A","",Table1[[#This Row],[Country]])</f>
        <v>USA</v>
      </c>
      <c r="B201" s="22" t="str">
        <f>IF(Table1[[#This Row],[Study site]]="N/A","",Table1[[#This Row],[Study site]])</f>
        <v>Little River, Georgia, US</v>
      </c>
      <c r="C201" s="22" t="str">
        <f>IF(Table1[[#This Row],[WBZ-type]]="N/A","",Table1[[#This Row],[WBZ-type]])</f>
        <v>Riparian Wetland/Bank</v>
      </c>
      <c r="D201" s="22" t="str">
        <f>IF(Table1[[#This Row],[Nutrient]]="N/A","",Table1[[#This Row],[Nutrient]])</f>
        <v>total phosphorus</v>
      </c>
      <c r="E201" s="22">
        <f>IF(Table1[[#This Row],[Load (kg N, P/ha/yr)]]="N/A","",Table1[[#This Row],[Load (kg N, P/ha/yr)]])</f>
        <v>5.6</v>
      </c>
      <c r="F201" s="22">
        <f>IF(Table1[[#This Row],[Loss (kg N, P/ha/yr)]]="N/A","",Table1[[#This Row],[Loss (kg N, P/ha/yr)]])</f>
        <v>3.9</v>
      </c>
      <c r="G201" s="22">
        <f>IF(Table1[[#This Row],[Retention (kg N, P/ha/yr)]]="N/A","",Table1[[#This Row],[Retention (kg N, P/ha/yr)]])</f>
        <v>1.6999999999999997</v>
      </c>
      <c r="H201" s="22">
        <f>IF(Table1[[#This Row],[Efficiency (%)]]="N/A","",Table1[[#This Row],[Efficiency (%)]])</f>
        <v>30</v>
      </c>
      <c r="I201" s="22" t="str">
        <f>IF(Table1[[#This Row],[Organic/Mineral Soil]]="N/A","",Table1[[#This Row],[Organic/Mineral Soil]])</f>
        <v>Mineral</v>
      </c>
      <c r="J201" s="22" t="str">
        <f>IF(Table1[[#This Row],[Vegetation type]]="N/A","",Table1[[#This Row],[Vegetation type]])</f>
        <v>Arboraceous, mixed</v>
      </c>
      <c r="K201" s="22" t="str">
        <f>IF(Table1[[#This Row],[Reference]]="N/A","",Table1[[#This Row],[Reference]])</f>
        <v>Lowrance et al., 1984; Hoffmann et al 2009; Mander et al., 1997</v>
      </c>
      <c r="L201" s="22" t="str">
        <f>IF(Table1[[#This Row],[Main source/flow path in]]="N/A","",Table1[[#This Row],[Main source/flow path in]])</f>
        <v>Precipitation, surface water, and groundwater</v>
      </c>
      <c r="M201" s="22" t="str">
        <f>IF(Table1[[#This Row],[Main source/flow path in (simple)]]="N/A","",Table1[[#This Row],[Main source/flow path in (simple)]])</f>
        <v>P</v>
      </c>
      <c r="N201" s="22" t="str">
        <f>IF(Table1[[#This Row],[Main flow paths in buffer]]="N/A","",Table1[[#This Row],[Main flow paths in buffer]])</f>
        <v>Shallow lateral GW</v>
      </c>
      <c r="O201" s="22" t="str">
        <f>IF(Table1[[#This Row],[Inflow=&gt;Outflow]]="N/A","",Table1[[#This Row],[Inflow=&gt;Outflow]])</f>
        <v>SWU=&gt;GW</v>
      </c>
      <c r="P201" s="22" t="str">
        <f>IF(Table1[[#This Row],[Width '[m']]]="N/A","",Table1[[#This Row],[Width '[m']]])</f>
        <v/>
      </c>
      <c r="Q201" s="22">
        <f>IF(Table1[[#This Row],[Area '[m²']]]="N/A","",Table1[[#This Row],[Area '[m²']]])</f>
        <v>3400</v>
      </c>
      <c r="R201" s="22" t="str">
        <f>IF(Table1[[#This Row],[Qin '[m³/yr']]]="N/A","",Table1[[#This Row],[Qin '[m³/yr']]])</f>
        <v/>
      </c>
      <c r="S201" s="22" t="str">
        <f>IF(Table1[[#This Row],[Catchment area '[ha']]]="N/A","",Table1[[#This Row],[Catchment area '[ha']]])</f>
        <v/>
      </c>
      <c r="T201" s="22">
        <f>IF(Table1[[#This Row],[HLR '[mm']]]="N/A","",Table1[[#This Row],[HLR '[mm']]])</f>
        <v>288.35000000000002</v>
      </c>
    </row>
    <row r="202" spans="1:20" hidden="1" x14ac:dyDescent="0.3">
      <c r="A202" s="22" t="str">
        <f>IF(Table1[[#This Row],[Country]]="N/A","",Table1[[#This Row],[Country]])</f>
        <v>USA</v>
      </c>
      <c r="B202" s="22" t="str">
        <f>IF(Table1[[#This Row],[Study site]]="N/A","",Table1[[#This Row],[Study site]])</f>
        <v>Lower Coastal Plain, North Carolina, US</v>
      </c>
      <c r="C202" s="22" t="str">
        <f>IF(Table1[[#This Row],[WBZ-type]]="N/A","",Table1[[#This Row],[WBZ-type]])</f>
        <v>Riparian Wetland/Bank</v>
      </c>
      <c r="D202" s="22" t="str">
        <f>IF(Table1[[#This Row],[Nutrient]]="N/A","",Table1[[#This Row],[Nutrient]])</f>
        <v>nitrate</v>
      </c>
      <c r="E202" s="22">
        <f>IF(Table1[[#This Row],[Load (kg N, P/ha/yr)]]="N/A","",Table1[[#This Row],[Load (kg N, P/ha/yr)]])</f>
        <v>8.02</v>
      </c>
      <c r="F202" s="22">
        <f>IF(Table1[[#This Row],[Loss (kg N, P/ha/yr)]]="N/A","",Table1[[#This Row],[Loss (kg N, P/ha/yr)]])</f>
        <v>8.0200000000000493E-2</v>
      </c>
      <c r="G202" s="22">
        <f>IF(Table1[[#This Row],[Retention (kg N, P/ha/yr)]]="N/A","",Table1[[#This Row],[Retention (kg N, P/ha/yr)]])</f>
        <v>7.9397999999999991</v>
      </c>
      <c r="H202" s="22">
        <f>IF(Table1[[#This Row],[Efficiency (%)]]="N/A","",Table1[[#This Row],[Efficiency (%)]])</f>
        <v>99</v>
      </c>
      <c r="I202" s="22" t="str">
        <f>IF(Table1[[#This Row],[Organic/Mineral Soil]]="N/A","",Table1[[#This Row],[Organic/Mineral Soil]])</f>
        <v>Mineral</v>
      </c>
      <c r="J202" s="22" t="str">
        <f>IF(Table1[[#This Row],[Vegetation type]]="N/A","",Table1[[#This Row],[Vegetation type]])</f>
        <v>Arboraceous, mixed</v>
      </c>
      <c r="K202" s="22" t="str">
        <f>IF(Table1[[#This Row],[Reference]]="N/A","",Table1[[#This Row],[Reference]])</f>
        <v>Hill A., 1996; Jacobs &amp; Gilliam, 1985, Mander et al 1997</v>
      </c>
      <c r="L202" s="22" t="str">
        <f>IF(Table1[[#This Row],[Main source/flow path in]]="N/A","",Table1[[#This Row],[Main source/flow path in]])</f>
        <v>2/3 GW, 1/3 ditch</v>
      </c>
      <c r="M202" s="22" t="str">
        <f>IF(Table1[[#This Row],[Main source/flow path in (simple)]]="N/A","",Table1[[#This Row],[Main source/flow path in (simple)]])</f>
        <v>GW</v>
      </c>
      <c r="N202" s="22" t="str">
        <f>IF(Table1[[#This Row],[Main flow paths in buffer]]="N/A","",Table1[[#This Row],[Main flow paths in buffer]])</f>
        <v>Shallow lateral GW and some exfiltration</v>
      </c>
      <c r="O202" s="22" t="str">
        <f>IF(Table1[[#This Row],[Inflow=&gt;Outflow]]="N/A","",Table1[[#This Row],[Inflow=&gt;Outflow]])</f>
        <v>GW=&gt;GW</v>
      </c>
      <c r="P202" s="22">
        <f>IF(Table1[[#This Row],[Width '[m']]]="N/A","",Table1[[#This Row],[Width '[m']]])</f>
        <v>16</v>
      </c>
      <c r="Q202" s="22" t="str">
        <f>IF(Table1[[#This Row],[Area '[m²']]]="N/A","",Table1[[#This Row],[Area '[m²']]])</f>
        <v/>
      </c>
      <c r="R202" s="22" t="str">
        <f>IF(Table1[[#This Row],[Qin '[m³/yr']]]="N/A","",Table1[[#This Row],[Qin '[m³/yr']]])</f>
        <v/>
      </c>
      <c r="S202" s="22" t="str">
        <f>IF(Table1[[#This Row],[Catchment area '[ha']]]="N/A","",Table1[[#This Row],[Catchment area '[ha']]])</f>
        <v/>
      </c>
      <c r="T202" s="22">
        <f>IF(Table1[[#This Row],[HLR '[mm']]]="N/A","",Table1[[#This Row],[HLR '[mm']]])</f>
        <v>29.2</v>
      </c>
    </row>
    <row r="203" spans="1:20" hidden="1" x14ac:dyDescent="0.3">
      <c r="A203" s="22" t="str">
        <f>IF(Table1[[#This Row],[Country]]="N/A","",Table1[[#This Row],[Country]])</f>
        <v>USA</v>
      </c>
      <c r="B203" s="22" t="str">
        <f>IF(Table1[[#This Row],[Study site]]="N/A","",Table1[[#This Row],[Study site]])</f>
        <v>Maryland, US</v>
      </c>
      <c r="C203" s="22" t="str">
        <f>IF(Table1[[#This Row],[WBZ-type]]="N/A","",Table1[[#This Row],[WBZ-type]])</f>
        <v>Riparian Wetland/Bank</v>
      </c>
      <c r="D203" s="22" t="str">
        <f>IF(Table1[[#This Row],[Nutrient]]="N/A","",Table1[[#This Row],[Nutrient]])</f>
        <v>SRP</v>
      </c>
      <c r="E203" s="22">
        <f>IF(Table1[[#This Row],[Load (kg N, P/ha/yr)]]="N/A","",Table1[[#This Row],[Load (kg N, P/ha/yr)]])</f>
        <v>1.4</v>
      </c>
      <c r="F203" s="22">
        <f>IF(Table1[[#This Row],[Loss (kg N, P/ha/yr)]]="N/A","",Table1[[#This Row],[Loss (kg N, P/ha/yr)]])</f>
        <v>1.1479999999999999</v>
      </c>
      <c r="G203" s="22">
        <f>IF(Table1[[#This Row],[Retention (kg N, P/ha/yr)]]="N/A","",Table1[[#This Row],[Retention (kg N, P/ha/yr)]])</f>
        <v>0.252</v>
      </c>
      <c r="H203" s="22">
        <f>IF(Table1[[#This Row],[Efficiency (%)]]="N/A","",Table1[[#This Row],[Efficiency (%)]])</f>
        <v>18</v>
      </c>
      <c r="I203" s="22" t="str">
        <f>IF(Table1[[#This Row],[Organic/Mineral Soil]]="N/A","",Table1[[#This Row],[Organic/Mineral Soil]])</f>
        <v>Mineral</v>
      </c>
      <c r="J203" s="22" t="str">
        <f>IF(Table1[[#This Row],[Vegetation type]]="N/A","",Table1[[#This Row],[Vegetation type]])</f>
        <v>Aerenchymous</v>
      </c>
      <c r="K203" s="22" t="str">
        <f>IF(Table1[[#This Row],[Reference]]="N/A","",Table1[[#This Row],[Reference]])</f>
        <v>Hoffmann et al., 2009; Jordan et al., 2003</v>
      </c>
      <c r="L203" s="22" t="str">
        <f>IF(Table1[[#This Row],[Main source/flow path in]]="N/A","",Table1[[#This Row],[Main source/flow path in]])</f>
        <v>Drain discharge from upland</v>
      </c>
      <c r="M203" s="22" t="str">
        <f>IF(Table1[[#This Row],[Main source/flow path in (simple)]]="N/A","",Table1[[#This Row],[Main source/flow path in (simple)]])</f>
        <v>SWU</v>
      </c>
      <c r="N203" s="22" t="str">
        <f>IF(Table1[[#This Row],[Main flow paths in buffer]]="N/A","",Table1[[#This Row],[Main flow paths in buffer]])</f>
        <v>Direct surface runoff</v>
      </c>
      <c r="O203" s="22" t="str">
        <f>IF(Table1[[#This Row],[Inflow=&gt;Outflow]]="N/A","",Table1[[#This Row],[Inflow=&gt;Outflow]])</f>
        <v>SWU=&gt;SR</v>
      </c>
      <c r="P203" s="22">
        <f>IF(Table1[[#This Row],[Width '[m']]]="N/A","",Table1[[#This Row],[Width '[m']]])</f>
        <v>180</v>
      </c>
      <c r="Q203" s="22">
        <f>IF(Table1[[#This Row],[Area '[m²']]]="N/A","",Table1[[#This Row],[Area '[m²']]])</f>
        <v>13000</v>
      </c>
      <c r="R203" s="22">
        <f>IF(Table1[[#This Row],[Qin '[m³/yr']]]="N/A","",Table1[[#This Row],[Qin '[m³/yr']]])</f>
        <v>68001.5</v>
      </c>
      <c r="S203" s="22" t="str">
        <f>IF(Table1[[#This Row],[Catchment area '[ha']]]="N/A","",Table1[[#This Row],[Catchment area '[ha']]])</f>
        <v/>
      </c>
      <c r="T203" s="22">
        <f>IF(Table1[[#This Row],[HLR '[mm']]]="N/A","",Table1[[#This Row],[HLR '[mm']]])</f>
        <v>5230.8846153846162</v>
      </c>
    </row>
    <row r="204" spans="1:20" hidden="1" x14ac:dyDescent="0.3">
      <c r="A204" s="22" t="str">
        <f>IF(Table1[[#This Row],[Country]]="N/A","",Table1[[#This Row],[Country]])</f>
        <v>USA</v>
      </c>
      <c r="B204" s="22" t="str">
        <f>IF(Table1[[#This Row],[Study site]]="N/A","",Table1[[#This Row],[Study site]])</f>
        <v>Maryland, US</v>
      </c>
      <c r="C204" s="22" t="str">
        <f>IF(Table1[[#This Row],[WBZ-type]]="N/A","",Table1[[#This Row],[WBZ-type]])</f>
        <v>Riparian Wetland/Bank</v>
      </c>
      <c r="D204" s="22" t="str">
        <f>IF(Table1[[#This Row],[Nutrient]]="N/A","",Table1[[#This Row],[Nutrient]])</f>
        <v>total phosphorus</v>
      </c>
      <c r="E204" s="22">
        <f>IF(Table1[[#This Row],[Load (kg N, P/ha/yr)]]="N/A","",Table1[[#This Row],[Load (kg N, P/ha/yr)]])</f>
        <v>7.6</v>
      </c>
      <c r="F204" s="22">
        <f>IF(Table1[[#This Row],[Loss (kg N, P/ha/yr)]]="N/A","",Table1[[#This Row],[Loss (kg N, P/ha/yr)]])</f>
        <v>5.548</v>
      </c>
      <c r="G204" s="22">
        <f>IF(Table1[[#This Row],[Retention (kg N, P/ha/yr)]]="N/A","",Table1[[#This Row],[Retention (kg N, P/ha/yr)]])</f>
        <v>2.052</v>
      </c>
      <c r="H204" s="22">
        <f>IF(Table1[[#This Row],[Efficiency (%)]]="N/A","",Table1[[#This Row],[Efficiency (%)]])</f>
        <v>27</v>
      </c>
      <c r="I204" s="22" t="str">
        <f>IF(Table1[[#This Row],[Organic/Mineral Soil]]="N/A","",Table1[[#This Row],[Organic/Mineral Soil]])</f>
        <v>Mineral</v>
      </c>
      <c r="J204" s="22" t="str">
        <f>IF(Table1[[#This Row],[Vegetation type]]="N/A","",Table1[[#This Row],[Vegetation type]])</f>
        <v>Aerenchymous</v>
      </c>
      <c r="K204" s="22" t="str">
        <f>IF(Table1[[#This Row],[Reference]]="N/A","",Table1[[#This Row],[Reference]])</f>
        <v>Hoffmann et al., 2009; Jordan et al., 2003</v>
      </c>
      <c r="L204" s="22" t="str">
        <f>IF(Table1[[#This Row],[Main source/flow path in]]="N/A","",Table1[[#This Row],[Main source/flow path in]])</f>
        <v>Drain discharge from upland</v>
      </c>
      <c r="M204" s="22" t="str">
        <f>IF(Table1[[#This Row],[Main source/flow path in (simple)]]="N/A","",Table1[[#This Row],[Main source/flow path in (simple)]])</f>
        <v>SWU</v>
      </c>
      <c r="N204" s="22" t="str">
        <f>IF(Table1[[#This Row],[Main flow paths in buffer]]="N/A","",Table1[[#This Row],[Main flow paths in buffer]])</f>
        <v>Direct surface runoff</v>
      </c>
      <c r="O204" s="22" t="str">
        <f>IF(Table1[[#This Row],[Inflow=&gt;Outflow]]="N/A","",Table1[[#This Row],[Inflow=&gt;Outflow]])</f>
        <v>SWU=&gt;SR</v>
      </c>
      <c r="P204" s="22">
        <f>IF(Table1[[#This Row],[Width '[m']]]="N/A","",Table1[[#This Row],[Width '[m']]])</f>
        <v>180</v>
      </c>
      <c r="Q204" s="22">
        <f>IF(Table1[[#This Row],[Area '[m²']]]="N/A","",Table1[[#This Row],[Area '[m²']]])</f>
        <v>13000</v>
      </c>
      <c r="R204" s="22">
        <f>IF(Table1[[#This Row],[Qin '[m³/yr']]]="N/A","",Table1[[#This Row],[Qin '[m³/yr']]])</f>
        <v>68001.5</v>
      </c>
      <c r="S204" s="22" t="str">
        <f>IF(Table1[[#This Row],[Catchment area '[ha']]]="N/A","",Table1[[#This Row],[Catchment area '[ha']]])</f>
        <v/>
      </c>
      <c r="T204" s="22">
        <f>IF(Table1[[#This Row],[HLR '[mm']]]="N/A","",Table1[[#This Row],[HLR '[mm']]])</f>
        <v>5230.8846153846162</v>
      </c>
    </row>
    <row r="205" spans="1:20" hidden="1" x14ac:dyDescent="0.3">
      <c r="A205" s="22" t="str">
        <f>IF(Table1[[#This Row],[Country]]="N/A","",Table1[[#This Row],[Country]])</f>
        <v>USA</v>
      </c>
      <c r="B205" s="22" t="str">
        <f>IF(Table1[[#This Row],[Study site]]="N/A","",Table1[[#This Row],[Study site]])</f>
        <v>Maryland, US</v>
      </c>
      <c r="C205" s="22" t="str">
        <f>IF(Table1[[#This Row],[WBZ-type]]="N/A","",Table1[[#This Row],[WBZ-type]])</f>
        <v>Riparian Wetland/Bank</v>
      </c>
      <c r="D205" s="22" t="str">
        <f>IF(Table1[[#This Row],[Nutrient]]="N/A","",Table1[[#This Row],[Nutrient]])</f>
        <v>nitrate</v>
      </c>
      <c r="E205" s="22">
        <f>IF(Table1[[#This Row],[Load (kg N, P/ha/yr)]]="N/A","",Table1[[#This Row],[Load (kg N, P/ha/yr)]])</f>
        <v>12</v>
      </c>
      <c r="F205" s="22">
        <f>IF(Table1[[#This Row],[Loss (kg N, P/ha/yr)]]="N/A","",Table1[[#This Row],[Loss (kg N, P/ha/yr)]])</f>
        <v>5.76</v>
      </c>
      <c r="G205" s="22">
        <f>IF(Table1[[#This Row],[Retention (kg N, P/ha/yr)]]="N/A","",Table1[[#This Row],[Retention (kg N, P/ha/yr)]])</f>
        <v>6.24</v>
      </c>
      <c r="H205" s="22">
        <f>IF(Table1[[#This Row],[Efficiency (%)]]="N/A","",Table1[[#This Row],[Efficiency (%)]])</f>
        <v>52</v>
      </c>
      <c r="I205" s="22" t="str">
        <f>IF(Table1[[#This Row],[Organic/Mineral Soil]]="N/A","",Table1[[#This Row],[Organic/Mineral Soil]])</f>
        <v>Mineral</v>
      </c>
      <c r="J205" s="22" t="str">
        <f>IF(Table1[[#This Row],[Vegetation type]]="N/A","",Table1[[#This Row],[Vegetation type]])</f>
        <v>Aerenchymous</v>
      </c>
      <c r="K205" s="22" t="str">
        <f>IF(Table1[[#This Row],[Reference]]="N/A","",Table1[[#This Row],[Reference]])</f>
        <v>Hoffmann et al., 2009; Jordan et al., 2003</v>
      </c>
      <c r="L205" s="22" t="str">
        <f>IF(Table1[[#This Row],[Main source/flow path in]]="N/A","",Table1[[#This Row],[Main source/flow path in]])</f>
        <v>Drain discharge from upland</v>
      </c>
      <c r="M205" s="22" t="str">
        <f>IF(Table1[[#This Row],[Main source/flow path in (simple)]]="N/A","",Table1[[#This Row],[Main source/flow path in (simple)]])</f>
        <v>SWU</v>
      </c>
      <c r="N205" s="22" t="str">
        <f>IF(Table1[[#This Row],[Main flow paths in buffer]]="N/A","",Table1[[#This Row],[Main flow paths in buffer]])</f>
        <v>Direct surface runoff</v>
      </c>
      <c r="O205" s="22" t="str">
        <f>IF(Table1[[#This Row],[Inflow=&gt;Outflow]]="N/A","",Table1[[#This Row],[Inflow=&gt;Outflow]])</f>
        <v>SWU=&gt;SR</v>
      </c>
      <c r="P205" s="22">
        <f>IF(Table1[[#This Row],[Width '[m']]]="N/A","",Table1[[#This Row],[Width '[m']]])</f>
        <v>180</v>
      </c>
      <c r="Q205" s="22">
        <f>IF(Table1[[#This Row],[Area '[m²']]]="N/A","",Table1[[#This Row],[Area '[m²']]])</f>
        <v>13000</v>
      </c>
      <c r="R205" s="22">
        <f>IF(Table1[[#This Row],[Qin '[m³/yr']]]="N/A","",Table1[[#This Row],[Qin '[m³/yr']]])</f>
        <v>68001.5</v>
      </c>
      <c r="S205" s="22" t="str">
        <f>IF(Table1[[#This Row],[Catchment area '[ha']]]="N/A","",Table1[[#This Row],[Catchment area '[ha']]])</f>
        <v/>
      </c>
      <c r="T205" s="22">
        <f>IF(Table1[[#This Row],[HLR '[mm']]]="N/A","",Table1[[#This Row],[HLR '[mm']]])</f>
        <v>5230.8846153846162</v>
      </c>
    </row>
    <row r="206" spans="1:20" hidden="1" x14ac:dyDescent="0.3">
      <c r="A206" s="22" t="str">
        <f>IF(Table1[[#This Row],[Country]]="N/A","",Table1[[#This Row],[Country]])</f>
        <v>USA</v>
      </c>
      <c r="B206" s="22" t="str">
        <f>IF(Table1[[#This Row],[Study site]]="N/A","",Table1[[#This Row],[Study site]])</f>
        <v>Maryland, US</v>
      </c>
      <c r="C206" s="22" t="str">
        <f>IF(Table1[[#This Row],[WBZ-type]]="N/A","",Table1[[#This Row],[WBZ-type]])</f>
        <v>Riparian Wetland/Bank</v>
      </c>
      <c r="D206" s="22" t="str">
        <f>IF(Table1[[#This Row],[Nutrient]]="N/A","",Table1[[#This Row],[Nutrient]])</f>
        <v>ammonium</v>
      </c>
      <c r="E206" s="22">
        <f>IF(Table1[[#This Row],[Load (kg N, P/ha/yr)]]="N/A","",Table1[[#This Row],[Load (kg N, P/ha/yr)]])</f>
        <v>2.7</v>
      </c>
      <c r="F206" s="22">
        <f>IF(Table1[[#This Row],[Loss (kg N, P/ha/yr)]]="N/A","",Table1[[#This Row],[Loss (kg N, P/ha/yr)]])</f>
        <v>2.0250000000000004</v>
      </c>
      <c r="G206" s="22">
        <f>IF(Table1[[#This Row],[Retention (kg N, P/ha/yr)]]="N/A","",Table1[[#This Row],[Retention (kg N, P/ha/yr)]])</f>
        <v>0.67500000000000004</v>
      </c>
      <c r="H206" s="22">
        <f>IF(Table1[[#This Row],[Efficiency (%)]]="N/A","",Table1[[#This Row],[Efficiency (%)]])</f>
        <v>25</v>
      </c>
      <c r="I206" s="22" t="str">
        <f>IF(Table1[[#This Row],[Organic/Mineral Soil]]="N/A","",Table1[[#This Row],[Organic/Mineral Soil]])</f>
        <v>Mineral</v>
      </c>
      <c r="J206" s="22" t="str">
        <f>IF(Table1[[#This Row],[Vegetation type]]="N/A","",Table1[[#This Row],[Vegetation type]])</f>
        <v>Aerenchymous</v>
      </c>
      <c r="K206" s="22" t="str">
        <f>IF(Table1[[#This Row],[Reference]]="N/A","",Table1[[#This Row],[Reference]])</f>
        <v>Hoffmann et al., 2009; Jordan et al., 2003</v>
      </c>
      <c r="L206" s="22" t="str">
        <f>IF(Table1[[#This Row],[Main source/flow path in]]="N/A","",Table1[[#This Row],[Main source/flow path in]])</f>
        <v>Drain discharge from upland</v>
      </c>
      <c r="M206" s="22" t="str">
        <f>IF(Table1[[#This Row],[Main source/flow path in (simple)]]="N/A","",Table1[[#This Row],[Main source/flow path in (simple)]])</f>
        <v>SWU</v>
      </c>
      <c r="N206" s="22" t="str">
        <f>IF(Table1[[#This Row],[Main flow paths in buffer]]="N/A","",Table1[[#This Row],[Main flow paths in buffer]])</f>
        <v>Direct surface runoff</v>
      </c>
      <c r="O206" s="22" t="str">
        <f>IF(Table1[[#This Row],[Inflow=&gt;Outflow]]="N/A","",Table1[[#This Row],[Inflow=&gt;Outflow]])</f>
        <v>SWU=&gt;SR</v>
      </c>
      <c r="P206" s="22">
        <f>IF(Table1[[#This Row],[Width '[m']]]="N/A","",Table1[[#This Row],[Width '[m']]])</f>
        <v>180</v>
      </c>
      <c r="Q206" s="22">
        <f>IF(Table1[[#This Row],[Area '[m²']]]="N/A","",Table1[[#This Row],[Area '[m²']]])</f>
        <v>13000</v>
      </c>
      <c r="R206" s="22">
        <f>IF(Table1[[#This Row],[Qin '[m³/yr']]]="N/A","",Table1[[#This Row],[Qin '[m³/yr']]])</f>
        <v>68001.5</v>
      </c>
      <c r="S206" s="22" t="str">
        <f>IF(Table1[[#This Row],[Catchment area '[ha']]]="N/A","",Table1[[#This Row],[Catchment area '[ha']]])</f>
        <v/>
      </c>
      <c r="T206" s="22">
        <f>IF(Table1[[#This Row],[HLR '[mm']]]="N/A","",Table1[[#This Row],[HLR '[mm']]])</f>
        <v>5230.8846153846162</v>
      </c>
    </row>
    <row r="207" spans="1:20" x14ac:dyDescent="0.3">
      <c r="A207" s="22" t="str">
        <f>IF(Table1[[#This Row],[Country]]="N/A","",Table1[[#This Row],[Country]])</f>
        <v>USA</v>
      </c>
      <c r="B207" s="22" t="str">
        <f>IF(Table1[[#This Row],[Study site]]="N/A","",Table1[[#This Row],[Study site]])</f>
        <v>Maryland, US</v>
      </c>
      <c r="C207" s="22" t="str">
        <f>IF(Table1[[#This Row],[WBZ-type]]="N/A","",Table1[[#This Row],[WBZ-type]])</f>
        <v>Riparian Wetland/Bank</v>
      </c>
      <c r="D207" s="22" t="str">
        <f>IF(Table1[[#This Row],[Nutrient]]="N/A","",Table1[[#This Row],[Nutrient]])</f>
        <v>total nitrogen</v>
      </c>
      <c r="E207" s="22">
        <f>IF(Table1[[#This Row],[Load (kg N, P/ha/yr)]]="N/A","",Table1[[#This Row],[Load (kg N, P/ha/yr)]])</f>
        <v>17</v>
      </c>
      <c r="F207" s="22">
        <f>IF(Table1[[#This Row],[Loss (kg N, P/ha/yr)]]="N/A","",Table1[[#This Row],[Loss (kg N, P/ha/yr)]])</f>
        <v>14.620000000000001</v>
      </c>
      <c r="G207" s="22">
        <f>IF(Table1[[#This Row],[Retention (kg N, P/ha/yr)]]="N/A","",Table1[[#This Row],[Retention (kg N, P/ha/yr)]])</f>
        <v>2.38</v>
      </c>
      <c r="H207" s="22">
        <f>IF(Table1[[#This Row],[Efficiency (%)]]="N/A","",Table1[[#This Row],[Efficiency (%)]])</f>
        <v>14</v>
      </c>
      <c r="I207" s="22" t="str">
        <f>IF(Table1[[#This Row],[Organic/Mineral Soil]]="N/A","",Table1[[#This Row],[Organic/Mineral Soil]])</f>
        <v>Mineral</v>
      </c>
      <c r="J207" s="22" t="str">
        <f>IF(Table1[[#This Row],[Vegetation type]]="N/A","",Table1[[#This Row],[Vegetation type]])</f>
        <v>Aerenchymous</v>
      </c>
      <c r="K207" s="22" t="str">
        <f>IF(Table1[[#This Row],[Reference]]="N/A","",Table1[[#This Row],[Reference]])</f>
        <v>Hoffmann et al., 2009; Jordan et al., 2003</v>
      </c>
      <c r="L207" s="22" t="str">
        <f>IF(Table1[[#This Row],[Main source/flow path in]]="N/A","",Table1[[#This Row],[Main source/flow path in]])</f>
        <v>Drain discharge from upland</v>
      </c>
      <c r="M207" s="22" t="str">
        <f>IF(Table1[[#This Row],[Main source/flow path in (simple)]]="N/A","",Table1[[#This Row],[Main source/flow path in (simple)]])</f>
        <v>SWU</v>
      </c>
      <c r="N207" s="22" t="str">
        <f>IF(Table1[[#This Row],[Main flow paths in buffer]]="N/A","",Table1[[#This Row],[Main flow paths in buffer]])</f>
        <v>Direct surface runoff</v>
      </c>
      <c r="O207" s="22" t="str">
        <f>IF(Table1[[#This Row],[Inflow=&gt;Outflow]]="N/A","",Table1[[#This Row],[Inflow=&gt;Outflow]])</f>
        <v>SWU=&gt;SR</v>
      </c>
      <c r="P207" s="22">
        <f>IF(Table1[[#This Row],[Width '[m']]]="N/A","",Table1[[#This Row],[Width '[m']]])</f>
        <v>180</v>
      </c>
      <c r="Q207" s="22">
        <f>IF(Table1[[#This Row],[Area '[m²']]]="N/A","",Table1[[#This Row],[Area '[m²']]])</f>
        <v>13000</v>
      </c>
      <c r="R207" s="22">
        <f>IF(Table1[[#This Row],[Qin '[m³/yr']]]="N/A","",Table1[[#This Row],[Qin '[m³/yr']]])</f>
        <v>68001.5</v>
      </c>
      <c r="S207" s="22" t="str">
        <f>IF(Table1[[#This Row],[Catchment area '[ha']]]="N/A","",Table1[[#This Row],[Catchment area '[ha']]])</f>
        <v/>
      </c>
      <c r="T207" s="22">
        <f>IF(Table1[[#This Row],[HLR '[mm']]]="N/A","",Table1[[#This Row],[HLR '[mm']]])</f>
        <v>5230.8846153846162</v>
      </c>
    </row>
    <row r="208" spans="1:20" hidden="1" x14ac:dyDescent="0.3">
      <c r="A208" s="22" t="str">
        <f>IF(Table1[[#This Row],[Country]]="N/A","",Table1[[#This Row],[Country]])</f>
        <v>USA</v>
      </c>
      <c r="B208" s="22" t="str">
        <f>IF(Table1[[#This Row],[Study site]]="N/A","",Table1[[#This Row],[Study site]])</f>
        <v>Maryland, US</v>
      </c>
      <c r="C208" s="22" t="str">
        <f>IF(Table1[[#This Row],[WBZ-type]]="N/A","",Table1[[#This Row],[WBZ-type]])</f>
        <v>Riparian Wetland/Bank</v>
      </c>
      <c r="D208" s="22" t="str">
        <f>IF(Table1[[#This Row],[Nutrient]]="N/A","",Table1[[#This Row],[Nutrient]])</f>
        <v>dissolved organic nitrogen</v>
      </c>
      <c r="E208" s="22">
        <f>IF(Table1[[#This Row],[Load (kg N, P/ha/yr)]]="N/A","",Table1[[#This Row],[Load (kg N, P/ha/yr)]])</f>
        <v>7.9</v>
      </c>
      <c r="F208" s="22">
        <f>IF(Table1[[#This Row],[Loss (kg N, P/ha/yr)]]="N/A","",Table1[[#This Row],[Loss (kg N, P/ha/yr)]])</f>
        <v>7.2522000000000002</v>
      </c>
      <c r="G208" s="22">
        <f>IF(Table1[[#This Row],[Retention (kg N, P/ha/yr)]]="N/A","",Table1[[#This Row],[Retention (kg N, P/ha/yr)]])</f>
        <v>0.64780000000000004</v>
      </c>
      <c r="H208" s="22">
        <f>IF(Table1[[#This Row],[Efficiency (%)]]="N/A","",Table1[[#This Row],[Efficiency (%)]])</f>
        <v>8.1999999999999993</v>
      </c>
      <c r="I208" s="22" t="str">
        <f>IF(Table1[[#This Row],[Organic/Mineral Soil]]="N/A","",Table1[[#This Row],[Organic/Mineral Soil]])</f>
        <v>Mineral</v>
      </c>
      <c r="J208" s="22" t="str">
        <f>IF(Table1[[#This Row],[Vegetation type]]="N/A","",Table1[[#This Row],[Vegetation type]])</f>
        <v>Aerenchymous</v>
      </c>
      <c r="K208" s="22" t="str">
        <f>IF(Table1[[#This Row],[Reference]]="N/A","",Table1[[#This Row],[Reference]])</f>
        <v>Hoffmann et al., 2009; Jordan et al., 2003</v>
      </c>
      <c r="L208" s="22" t="str">
        <f>IF(Table1[[#This Row],[Main source/flow path in]]="N/A","",Table1[[#This Row],[Main source/flow path in]])</f>
        <v>Drain discharge from upland</v>
      </c>
      <c r="M208" s="22" t="str">
        <f>IF(Table1[[#This Row],[Main source/flow path in (simple)]]="N/A","",Table1[[#This Row],[Main source/flow path in (simple)]])</f>
        <v>SWU</v>
      </c>
      <c r="N208" s="22" t="str">
        <f>IF(Table1[[#This Row],[Main flow paths in buffer]]="N/A","",Table1[[#This Row],[Main flow paths in buffer]])</f>
        <v>Direct surface runoff</v>
      </c>
      <c r="O208" s="22" t="str">
        <f>IF(Table1[[#This Row],[Inflow=&gt;Outflow]]="N/A","",Table1[[#This Row],[Inflow=&gt;Outflow]])</f>
        <v>SWU=&gt;SR</v>
      </c>
      <c r="P208" s="22">
        <f>IF(Table1[[#This Row],[Width '[m']]]="N/A","",Table1[[#This Row],[Width '[m']]])</f>
        <v>180</v>
      </c>
      <c r="Q208" s="22">
        <f>IF(Table1[[#This Row],[Area '[m²']]]="N/A","",Table1[[#This Row],[Area '[m²']]])</f>
        <v>13000</v>
      </c>
      <c r="R208" s="22">
        <f>IF(Table1[[#This Row],[Qin '[m³/yr']]]="N/A","",Table1[[#This Row],[Qin '[m³/yr']]])</f>
        <v>68001.5</v>
      </c>
      <c r="S208" s="22" t="str">
        <f>IF(Table1[[#This Row],[Catchment area '[ha']]]="N/A","",Table1[[#This Row],[Catchment area '[ha']]])</f>
        <v/>
      </c>
      <c r="T208" s="22">
        <f>IF(Table1[[#This Row],[HLR '[mm']]]="N/A","",Table1[[#This Row],[HLR '[mm']]])</f>
        <v>5230.8846153846162</v>
      </c>
    </row>
    <row r="209" spans="1:20" hidden="1" x14ac:dyDescent="0.3">
      <c r="A209" s="22" t="str">
        <f>IF(Table1[[#This Row],[Country]]="N/A","",Table1[[#This Row],[Country]])</f>
        <v>USA</v>
      </c>
      <c r="B209" s="22" t="str">
        <f>IF(Table1[[#This Row],[Study site]]="N/A","",Table1[[#This Row],[Study site]])</f>
        <v>Maryland, US</v>
      </c>
      <c r="C209" s="22" t="str">
        <f>IF(Table1[[#This Row],[WBZ-type]]="N/A","",Table1[[#This Row],[WBZ-type]])</f>
        <v>Riparian Wetland/Bank</v>
      </c>
      <c r="D209" s="22" t="str">
        <f>IF(Table1[[#This Row],[Nutrient]]="N/A","",Table1[[#This Row],[Nutrient]])</f>
        <v>total phosphorus</v>
      </c>
      <c r="E209" s="22">
        <f>IF(Table1[[#This Row],[Load (kg N, P/ha/yr)]]="N/A","",Table1[[#This Row],[Load (kg N, P/ha/yr)]])</f>
        <v>54.02000000000001</v>
      </c>
      <c r="F209" s="22">
        <f>IF(Table1[[#This Row],[Loss (kg N, P/ha/yr)]]="N/A","",Table1[[#This Row],[Loss (kg N, P/ha/yr)]])</f>
        <v>17.826599999999999</v>
      </c>
      <c r="G209" s="22">
        <f>IF(Table1[[#This Row],[Retention (kg N, P/ha/yr)]]="N/A","",Table1[[#This Row],[Retention (kg N, P/ha/yr)]])</f>
        <v>36.193400000000011</v>
      </c>
      <c r="H209" s="22">
        <f>IF(Table1[[#This Row],[Efficiency (%)]]="N/A","",Table1[[#This Row],[Efficiency (%)]])</f>
        <v>67</v>
      </c>
      <c r="I209" s="22" t="str">
        <f>IF(Table1[[#This Row],[Organic/Mineral Soil]]="N/A","",Table1[[#This Row],[Organic/Mineral Soil]])</f>
        <v>Mineral</v>
      </c>
      <c r="J209" s="22" t="str">
        <f>IF(Table1[[#This Row],[Vegetation type]]="N/A","",Table1[[#This Row],[Vegetation type]])</f>
        <v>Herbaceous</v>
      </c>
      <c r="K209" s="22" t="str">
        <f>IF(Table1[[#This Row],[Reference]]="N/A","",Table1[[#This Row],[Reference]])</f>
        <v>Mander et al., 1997; Payer &amp; Weil, 1987</v>
      </c>
      <c r="L209" s="22" t="str">
        <f>IF(Table1[[#This Row],[Main source/flow path in]]="N/A","",Table1[[#This Row],[Main source/flow path in]])</f>
        <v>Wasterwater</v>
      </c>
      <c r="M209" s="22" t="str">
        <f>IF(Table1[[#This Row],[Main source/flow path in (simple)]]="N/A","",Table1[[#This Row],[Main source/flow path in (simple)]])</f>
        <v>SWU</v>
      </c>
      <c r="N209" s="22" t="str">
        <f>IF(Table1[[#This Row],[Main flow paths in buffer]]="N/A","",Table1[[#This Row],[Main flow paths in buffer]])</f>
        <v>Direct surface runof</v>
      </c>
      <c r="O209" s="22" t="str">
        <f>IF(Table1[[#This Row],[Inflow=&gt;Outflow]]="N/A","",Table1[[#This Row],[Inflow=&gt;Outflow]])</f>
        <v>SWU=&gt;SR</v>
      </c>
      <c r="P209" s="22">
        <f>IF(Table1[[#This Row],[Width '[m']]]="N/A","",Table1[[#This Row],[Width '[m']]])</f>
        <v>46</v>
      </c>
      <c r="Q209" s="22">
        <f>IF(Table1[[#This Row],[Area '[m²']]]="N/A","",Table1[[#This Row],[Area '[m²']]])</f>
        <v>1380</v>
      </c>
      <c r="R209" s="22">
        <f>IF(Table1[[#This Row],[Qin '[m³/yr']]]="N/A","",Table1[[#This Row],[Qin '[m³/yr']]])</f>
        <v>14103.6</v>
      </c>
      <c r="S209" s="22" t="str">
        <f>IF(Table1[[#This Row],[Catchment area '[ha']]]="N/A","",Table1[[#This Row],[Catchment area '[ha']]])</f>
        <v/>
      </c>
      <c r="T209" s="22">
        <f>IF(Table1[[#This Row],[HLR '[mm']]]="N/A","",Table1[[#This Row],[HLR '[mm']]])</f>
        <v>10220</v>
      </c>
    </row>
    <row r="210" spans="1:20" hidden="1" x14ac:dyDescent="0.3">
      <c r="A210" s="22" t="str">
        <f>IF(Table1[[#This Row],[Country]]="N/A","",Table1[[#This Row],[Country]])</f>
        <v>USA</v>
      </c>
      <c r="B210" s="22" t="str">
        <f>IF(Table1[[#This Row],[Study site]]="N/A","",Table1[[#This Row],[Study site]])</f>
        <v>Maryland, US</v>
      </c>
      <c r="C210" s="22" t="str">
        <f>IF(Table1[[#This Row],[WBZ-type]]="N/A","",Table1[[#This Row],[WBZ-type]])</f>
        <v>Floodplain</v>
      </c>
      <c r="D210" s="22" t="str">
        <f>IF(Table1[[#This Row],[Nutrient]]="N/A","",Table1[[#This Row],[Nutrient]])</f>
        <v>nitrate</v>
      </c>
      <c r="E210" s="22">
        <f>IF(Table1[[#This Row],[Load (kg N, P/ha/yr)]]="N/A","",Table1[[#This Row],[Load (kg N, P/ha/yr)]])</f>
        <v>0</v>
      </c>
      <c r="F210" s="22">
        <f>IF(Table1[[#This Row],[Loss (kg N, P/ha/yr)]]="N/A","",Table1[[#This Row],[Loss (kg N, P/ha/yr)]])</f>
        <v>0</v>
      </c>
      <c r="G210" s="22">
        <f>IF(Table1[[#This Row],[Retention (kg N, P/ha/yr)]]="N/A","",Table1[[#This Row],[Retention (kg N, P/ha/yr)]])</f>
        <v>0</v>
      </c>
      <c r="H210" s="22">
        <f>IF(Table1[[#This Row],[Efficiency (%)]]="N/A","",Table1[[#This Row],[Efficiency (%)]])</f>
        <v>96</v>
      </c>
      <c r="I210" s="22" t="str">
        <f>IF(Table1[[#This Row],[Organic/Mineral Soil]]="N/A","",Table1[[#This Row],[Organic/Mineral Soil]])</f>
        <v>Mineral</v>
      </c>
      <c r="J210" s="22" t="str">
        <f>IF(Table1[[#This Row],[Vegetation type]]="N/A","",Table1[[#This Row],[Vegetation type]])</f>
        <v>Arboraceous, mixed</v>
      </c>
      <c r="K210" s="22" t="str">
        <f>IF(Table1[[#This Row],[Reference]]="N/A","",Table1[[#This Row],[Reference]])</f>
        <v>Hill A., 1996; Jordan et al., 1993</v>
      </c>
      <c r="L210" s="22" t="str">
        <f>IF(Table1[[#This Row],[Main source/flow path in]]="N/A","",Table1[[#This Row],[Main source/flow path in]])</f>
        <v>Groundwater</v>
      </c>
      <c r="M210" s="22" t="str">
        <f>IF(Table1[[#This Row],[Main source/flow path in (simple)]]="N/A","",Table1[[#This Row],[Main source/flow path in (simple)]])</f>
        <v>GW</v>
      </c>
      <c r="N210" s="22" t="str">
        <f>IF(Table1[[#This Row],[Main flow paths in buffer]]="N/A","",Table1[[#This Row],[Main flow paths in buffer]])</f>
        <v>Shallow lateral GW</v>
      </c>
      <c r="O210" s="22" t="str">
        <f>IF(Table1[[#This Row],[Inflow=&gt;Outflow]]="N/A","",Table1[[#This Row],[Inflow=&gt;Outflow]])</f>
        <v>GW=&gt;GW</v>
      </c>
      <c r="P210" s="22">
        <f>IF(Table1[[#This Row],[Width '[m']]]="N/A","",Table1[[#This Row],[Width '[m']]])</f>
        <v>55</v>
      </c>
      <c r="Q210" s="22" t="str">
        <f>IF(Table1[[#This Row],[Area '[m²']]]="N/A","",Table1[[#This Row],[Area '[m²']]])</f>
        <v/>
      </c>
      <c r="R210" s="22" t="str">
        <f>IF(Table1[[#This Row],[Qin '[m³/yr']]]="N/A","",Table1[[#This Row],[Qin '[m³/yr']]])</f>
        <v/>
      </c>
      <c r="S210" s="22" t="str">
        <f>IF(Table1[[#This Row],[Catchment area '[ha']]]="N/A","",Table1[[#This Row],[Catchment area '[ha']]])</f>
        <v/>
      </c>
      <c r="T210" s="22" t="str">
        <f>IF(Table1[[#This Row],[HLR '[mm']]]="N/A","",Table1[[#This Row],[HLR '[mm']]])</f>
        <v/>
      </c>
    </row>
    <row r="211" spans="1:20" hidden="1" x14ac:dyDescent="0.3">
      <c r="A211" s="22" t="str">
        <f>IF(Table1[[#This Row],[Country]]="N/A","",Table1[[#This Row],[Country]])</f>
        <v>USA</v>
      </c>
      <c r="B211" s="22" t="str">
        <f>IF(Table1[[#This Row],[Study site]]="N/A","",Table1[[#This Row],[Study site]])</f>
        <v>Middle Coastal Plain, North Carolina, US</v>
      </c>
      <c r="C211" s="22" t="str">
        <f>IF(Table1[[#This Row],[WBZ-type]]="N/A","",Table1[[#This Row],[WBZ-type]])</f>
        <v>Floodplain</v>
      </c>
      <c r="D211" s="22" t="str">
        <f>IF(Table1[[#This Row],[Nutrient]]="N/A","",Table1[[#This Row],[Nutrient]])</f>
        <v>nitrate</v>
      </c>
      <c r="E211" s="22">
        <f>IF(Table1[[#This Row],[Load (kg N, P/ha/yr)]]="N/A","",Table1[[#This Row],[Load (kg N, P/ha/yr)]])</f>
        <v>21.5</v>
      </c>
      <c r="F211" s="22">
        <f>IF(Table1[[#This Row],[Loss (kg N, P/ha/yr)]]="N/A","",Table1[[#This Row],[Loss (kg N, P/ha/yr)]])</f>
        <v>1.9349999999999987</v>
      </c>
      <c r="G211" s="22">
        <f>IF(Table1[[#This Row],[Retention (kg N, P/ha/yr)]]="N/A","",Table1[[#This Row],[Retention (kg N, P/ha/yr)]])</f>
        <v>19.565000000000001</v>
      </c>
      <c r="H211" s="22">
        <f>IF(Table1[[#This Row],[Efficiency (%)]]="N/A","",Table1[[#This Row],[Efficiency (%)]])</f>
        <v>91</v>
      </c>
      <c r="I211" s="22" t="str">
        <f>IF(Table1[[#This Row],[Organic/Mineral Soil]]="N/A","",Table1[[#This Row],[Organic/Mineral Soil]])</f>
        <v>Mineral</v>
      </c>
      <c r="J211" s="22" t="str">
        <f>IF(Table1[[#This Row],[Vegetation type]]="N/A","",Table1[[#This Row],[Vegetation type]])</f>
        <v>Arboraceous, mixed</v>
      </c>
      <c r="K211" s="22" t="str">
        <f>IF(Table1[[#This Row],[Reference]]="N/A","",Table1[[#This Row],[Reference]])</f>
        <v>Hill A., 1996; Jacobs &amp; Gilliam, 1985, Mander et al 1997</v>
      </c>
      <c r="L211" s="22" t="str">
        <f>IF(Table1[[#This Row],[Main source/flow path in]]="N/A","",Table1[[#This Row],[Main source/flow path in]])</f>
        <v>2/3 GW, 1/3 ditch</v>
      </c>
      <c r="M211" s="22" t="str">
        <f>IF(Table1[[#This Row],[Main source/flow path in (simple)]]="N/A","",Table1[[#This Row],[Main source/flow path in (simple)]])</f>
        <v>GW</v>
      </c>
      <c r="N211" s="22" t="str">
        <f>IF(Table1[[#This Row],[Main flow paths in buffer]]="N/A","",Table1[[#This Row],[Main flow paths in buffer]])</f>
        <v>Shallow lateral GW and some exfiltration</v>
      </c>
      <c r="O211" s="22" t="str">
        <f>IF(Table1[[#This Row],[Inflow=&gt;Outflow]]="N/A","",Table1[[#This Row],[Inflow=&gt;Outflow]])</f>
        <v>GW=&gt;GW</v>
      </c>
      <c r="P211" s="22">
        <f>IF(Table1[[#This Row],[Width '[m']]]="N/A","",Table1[[#This Row],[Width '[m']]])</f>
        <v>47</v>
      </c>
      <c r="Q211" s="22" t="str">
        <f>IF(Table1[[#This Row],[Area '[m²']]]="N/A","",Table1[[#This Row],[Area '[m²']]])</f>
        <v/>
      </c>
      <c r="R211" s="22" t="str">
        <f>IF(Table1[[#This Row],[Qin '[m³/yr']]]="N/A","",Table1[[#This Row],[Qin '[m³/yr']]])</f>
        <v/>
      </c>
      <c r="S211" s="22" t="str">
        <f>IF(Table1[[#This Row],[Catchment area '[ha']]]="N/A","",Table1[[#This Row],[Catchment area '[ha']]])</f>
        <v/>
      </c>
      <c r="T211" s="22">
        <f>IF(Table1[[#This Row],[HLR '[mm']]]="N/A","",Table1[[#This Row],[HLR '[mm']]])</f>
        <v>29.2</v>
      </c>
    </row>
    <row r="212" spans="1:20" hidden="1" x14ac:dyDescent="0.3">
      <c r="A212" s="22" t="str">
        <f>IF(Table1[[#This Row],[Country]]="N/A","",Table1[[#This Row],[Country]])</f>
        <v>USA</v>
      </c>
      <c r="B212" s="22" t="str">
        <f>IF(Table1[[#This Row],[Study site]]="N/A","",Table1[[#This Row],[Study site]])</f>
        <v>Ohio Wetland 1, US</v>
      </c>
      <c r="C212" s="22" t="str">
        <f>IF(Table1[[#This Row],[WBZ-type]]="N/A","",Table1[[#This Row],[WBZ-type]])</f>
        <v>Floodplain</v>
      </c>
      <c r="D212" s="22" t="str">
        <f>IF(Table1[[#This Row],[Nutrient]]="N/A","",Table1[[#This Row],[Nutrient]])</f>
        <v>nitrate</v>
      </c>
      <c r="E212" s="22">
        <f>IF(Table1[[#This Row],[Load (kg N, P/ha/yr)]]="N/A","",Table1[[#This Row],[Load (kg N, P/ha/yr)]])</f>
        <v>1081.5999999999999</v>
      </c>
      <c r="F212" s="22">
        <f>IF(Table1[[#This Row],[Loss (kg N, P/ha/yr)]]="N/A","",Table1[[#This Row],[Loss (kg N, P/ha/yr)]])</f>
        <v>708.3</v>
      </c>
      <c r="G212" s="22">
        <f>IF(Table1[[#This Row],[Retention (kg N, P/ha/yr)]]="N/A","",Table1[[#This Row],[Retention (kg N, P/ha/yr)]])</f>
        <v>373.2</v>
      </c>
      <c r="H212" s="22">
        <f>IF(Table1[[#This Row],[Efficiency (%)]]="N/A","",Table1[[#This Row],[Efficiency (%)]])</f>
        <v>34.504437869822482</v>
      </c>
      <c r="I212" s="22" t="str">
        <f>IF(Table1[[#This Row],[Organic/Mineral Soil]]="N/A","",Table1[[#This Row],[Organic/Mineral Soil]])</f>
        <v>Mineral</v>
      </c>
      <c r="J212" s="22" t="str">
        <f>IF(Table1[[#This Row],[Vegetation type]]="N/A","",Table1[[#This Row],[Vegetation type]])</f>
        <v>Aerenchymous</v>
      </c>
      <c r="K212" s="22" t="str">
        <f>IF(Table1[[#This Row],[Reference]]="N/A","",Table1[[#This Row],[Reference]])</f>
        <v>Mitsch et al., 2005</v>
      </c>
      <c r="L212" s="22" t="str">
        <f>IF(Table1[[#This Row],[Main source/flow path in]]="N/A","",Table1[[#This Row],[Main source/flow path in]])</f>
        <v>River inundation</v>
      </c>
      <c r="M212" s="22" t="str">
        <f>IF(Table1[[#This Row],[Main source/flow path in (simple)]]="N/A","",Table1[[#This Row],[Main source/flow path in (simple)]])</f>
        <v>SWR</v>
      </c>
      <c r="N212" s="22" t="str">
        <f>IF(Table1[[#This Row],[Main flow paths in buffer]]="N/A","",Table1[[#This Row],[Main flow paths in buffer]])</f>
        <v>Direct surface runof</v>
      </c>
      <c r="O212" s="22" t="str">
        <f>IF(Table1[[#This Row],[Inflow=&gt;Outflow]]="N/A","",Table1[[#This Row],[Inflow=&gt;Outflow]])</f>
        <v>SWR=&gt;SR</v>
      </c>
      <c r="P212" s="22">
        <f>IF(Table1[[#This Row],[Width '[m']]]="N/A","",Table1[[#This Row],[Width '[m']]])</f>
        <v>30</v>
      </c>
      <c r="Q212" s="22">
        <f>IF(Table1[[#This Row],[Area '[m²']]]="N/A","",Table1[[#This Row],[Area '[m²']]])</f>
        <v>10000</v>
      </c>
      <c r="R212" s="22">
        <f>IF(Table1[[#This Row],[Qin '[m³/yr']]]="N/A","",Table1[[#This Row],[Qin '[m³/yr']]])</f>
        <v>25000</v>
      </c>
      <c r="S212" s="22" t="str">
        <f>IF(Table1[[#This Row],[Catchment area '[ha']]]="N/A","",Table1[[#This Row],[Catchment area '[ha']]])</f>
        <v/>
      </c>
      <c r="T212" s="22">
        <f>IF(Table1[[#This Row],[HLR '[mm']]]="N/A","",Table1[[#This Row],[HLR '[mm']]])</f>
        <v>2500</v>
      </c>
    </row>
    <row r="213" spans="1:20" hidden="1" x14ac:dyDescent="0.3">
      <c r="A213" s="22" t="str">
        <f>IF(Table1[[#This Row],[Country]]="N/A","",Table1[[#This Row],[Country]])</f>
        <v>USA</v>
      </c>
      <c r="B213" s="22" t="str">
        <f>IF(Table1[[#This Row],[Study site]]="N/A","",Table1[[#This Row],[Study site]])</f>
        <v>Ohio Wetland 2 , US</v>
      </c>
      <c r="C213" s="22" t="str">
        <f>IF(Table1[[#This Row],[WBZ-type]]="N/A","",Table1[[#This Row],[WBZ-type]])</f>
        <v>Floodplain</v>
      </c>
      <c r="D213" s="22" t="str">
        <f>IF(Table1[[#This Row],[Nutrient]]="N/A","",Table1[[#This Row],[Nutrient]])</f>
        <v>nitrate</v>
      </c>
      <c r="E213" s="22">
        <f>IF(Table1[[#This Row],[Load (kg N, P/ha/yr)]]="N/A","",Table1[[#This Row],[Load (kg N, P/ha/yr)]])</f>
        <v>1078.2222222222222</v>
      </c>
      <c r="F213" s="22">
        <f>IF(Table1[[#This Row],[Loss (kg N, P/ha/yr)]]="N/A","",Table1[[#This Row],[Loss (kg N, P/ha/yr)]])</f>
        <v>670</v>
      </c>
      <c r="G213" s="22">
        <f>IF(Table1[[#This Row],[Retention (kg N, P/ha/yr)]]="N/A","",Table1[[#This Row],[Retention (kg N, P/ha/yr)]])</f>
        <v>408.22222222222217</v>
      </c>
      <c r="H213" s="22">
        <f>IF(Table1[[#This Row],[Efficiency (%)]]="N/A","",Table1[[#This Row],[Efficiency (%)]])</f>
        <v>37.860676009892828</v>
      </c>
      <c r="I213" s="22" t="str">
        <f>IF(Table1[[#This Row],[Organic/Mineral Soil]]="N/A","",Table1[[#This Row],[Organic/Mineral Soil]])</f>
        <v>Mineral</v>
      </c>
      <c r="J213" s="22" t="str">
        <f>IF(Table1[[#This Row],[Vegetation type]]="N/A","",Table1[[#This Row],[Vegetation type]])</f>
        <v>Aerenchymous</v>
      </c>
      <c r="K213" s="22" t="str">
        <f>IF(Table1[[#This Row],[Reference]]="N/A","",Table1[[#This Row],[Reference]])</f>
        <v>Mitsch et al., 2005</v>
      </c>
      <c r="L213" s="22" t="str">
        <f>IF(Table1[[#This Row],[Main source/flow path in]]="N/A","",Table1[[#This Row],[Main source/flow path in]])</f>
        <v>River inundation</v>
      </c>
      <c r="M213" s="22" t="str">
        <f>IF(Table1[[#This Row],[Main source/flow path in (simple)]]="N/A","",Table1[[#This Row],[Main source/flow path in (simple)]])</f>
        <v>SWR</v>
      </c>
      <c r="N213" s="22" t="str">
        <f>IF(Table1[[#This Row],[Main flow paths in buffer]]="N/A","",Table1[[#This Row],[Main flow paths in buffer]])</f>
        <v>Direct surface runof</v>
      </c>
      <c r="O213" s="22" t="str">
        <f>IF(Table1[[#This Row],[Inflow=&gt;Outflow]]="N/A","",Table1[[#This Row],[Inflow=&gt;Outflow]])</f>
        <v>SWR=&gt;SR</v>
      </c>
      <c r="P213" s="22">
        <f>IF(Table1[[#This Row],[Width '[m']]]="N/A","",Table1[[#This Row],[Width '[m']]])</f>
        <v>30</v>
      </c>
      <c r="Q213" s="22">
        <f>IF(Table1[[#This Row],[Area '[m²']]]="N/A","",Table1[[#This Row],[Area '[m²']]])</f>
        <v>10000</v>
      </c>
      <c r="R213" s="22">
        <f>IF(Table1[[#This Row],[Qin '[m³/yr']]]="N/A","",Table1[[#This Row],[Qin '[m³/yr']]])</f>
        <v>25000</v>
      </c>
      <c r="S213" s="22" t="str">
        <f>IF(Table1[[#This Row],[Catchment area '[ha']]]="N/A","",Table1[[#This Row],[Catchment area '[ha']]])</f>
        <v/>
      </c>
      <c r="T213" s="22">
        <f>IF(Table1[[#This Row],[HLR '[mm']]]="N/A","",Table1[[#This Row],[HLR '[mm']]])</f>
        <v>2500</v>
      </c>
    </row>
    <row r="214" spans="1:20" hidden="1" x14ac:dyDescent="0.3">
      <c r="A214" s="22" t="str">
        <f>IF(Table1[[#This Row],[Country]]="N/A","",Table1[[#This Row],[Country]])</f>
        <v>USA</v>
      </c>
      <c r="B214" s="22" t="str">
        <f>IF(Table1[[#This Row],[Study site]]="N/A","",Table1[[#This Row],[Study site]])</f>
        <v>Ohio, US</v>
      </c>
      <c r="C214" s="22" t="str">
        <f>IF(Table1[[#This Row],[WBZ-type]]="N/A","",Table1[[#This Row],[WBZ-type]])</f>
        <v>Floodplain</v>
      </c>
      <c r="D214" s="22" t="str">
        <f>IF(Table1[[#This Row],[Nutrient]]="N/A","",Table1[[#This Row],[Nutrient]])</f>
        <v>nitrate</v>
      </c>
      <c r="E214" s="22">
        <f>IF(Table1[[#This Row],[Load (kg N, P/ha/yr)]]="N/A","",Table1[[#This Row],[Load (kg N, P/ha/yr)]])</f>
        <v>322</v>
      </c>
      <c r="F214" s="22">
        <f>IF(Table1[[#This Row],[Loss (kg N, P/ha/yr)]]="N/A","",Table1[[#This Row],[Loss (kg N, P/ha/yr)]])</f>
        <v>168</v>
      </c>
      <c r="G214" s="22">
        <f>IF(Table1[[#This Row],[Retention (kg N, P/ha/yr)]]="N/A","",Table1[[#This Row],[Retention (kg N, P/ha/yr)]])</f>
        <v>154</v>
      </c>
      <c r="H214" s="22">
        <f>IF(Table1[[#This Row],[Efficiency (%)]]="N/A","",Table1[[#This Row],[Efficiency (%)]])</f>
        <v>48</v>
      </c>
      <c r="I214" s="22" t="str">
        <f>IF(Table1[[#This Row],[Organic/Mineral Soil]]="N/A","",Table1[[#This Row],[Organic/Mineral Soil]])</f>
        <v>Mineral</v>
      </c>
      <c r="J214" s="22" t="str">
        <f>IF(Table1[[#This Row],[Vegetation type]]="N/A","",Table1[[#This Row],[Vegetation type]])</f>
        <v>Aerenchymous</v>
      </c>
      <c r="K214" s="22" t="str">
        <f>IF(Table1[[#This Row],[Reference]]="N/A","",Table1[[#This Row],[Reference]])</f>
        <v>Mitsch et al., 2014; Fink and Mitsch, 2007</v>
      </c>
      <c r="L214" s="22" t="str">
        <f>IF(Table1[[#This Row],[Main source/flow path in]]="N/A","",Table1[[#This Row],[Main source/flow path in]])</f>
        <v>River inundation</v>
      </c>
      <c r="M214" s="22" t="str">
        <f>IF(Table1[[#This Row],[Main source/flow path in (simple)]]="N/A","",Table1[[#This Row],[Main source/flow path in (simple)]])</f>
        <v>SWR</v>
      </c>
      <c r="N214" s="22" t="str">
        <f>IF(Table1[[#This Row],[Main flow paths in buffer]]="N/A","",Table1[[#This Row],[Main flow paths in buffer]])</f>
        <v>Direct surface runof</v>
      </c>
      <c r="O214" s="22" t="str">
        <f>IF(Table1[[#This Row],[Inflow=&gt;Outflow]]="N/A","",Table1[[#This Row],[Inflow=&gt;Outflow]])</f>
        <v>SWR=&gt;SR</v>
      </c>
      <c r="P214" s="22" t="str">
        <f>IF(Table1[[#This Row],[Width '[m']]]="N/A","",Table1[[#This Row],[Width '[m']]])</f>
        <v/>
      </c>
      <c r="Q214" s="22">
        <f>IF(Table1[[#This Row],[Area '[m²']]]="N/A","",Table1[[#This Row],[Area '[m²']]])</f>
        <v>30000</v>
      </c>
      <c r="R214" s="22">
        <f>IF(Table1[[#This Row],[Qin '[m³/yr']]]="N/A","",Table1[[#This Row],[Qin '[m³/yr']]])</f>
        <v>600000</v>
      </c>
      <c r="S214" s="22" t="str">
        <f>IF(Table1[[#This Row],[Catchment area '[ha']]]="N/A","",Table1[[#This Row],[Catchment area '[ha']]])</f>
        <v/>
      </c>
      <c r="T214" s="22">
        <f>IF(Table1[[#This Row],[HLR '[mm']]]="N/A","",Table1[[#This Row],[HLR '[mm']]])</f>
        <v>20000</v>
      </c>
    </row>
    <row r="215" spans="1:20" x14ac:dyDescent="0.3">
      <c r="A215" s="22" t="str">
        <f>IF(Table1[[#This Row],[Country]]="N/A","",Table1[[#This Row],[Country]])</f>
        <v>USA</v>
      </c>
      <c r="B215" s="22" t="str">
        <f>IF(Table1[[#This Row],[Study site]]="N/A","",Table1[[#This Row],[Study site]])</f>
        <v>Ohio, US</v>
      </c>
      <c r="C215" s="22" t="str">
        <f>IF(Table1[[#This Row],[WBZ-type]]="N/A","",Table1[[#This Row],[WBZ-type]])</f>
        <v>Floodplain</v>
      </c>
      <c r="D215" s="22" t="str">
        <f>IF(Table1[[#This Row],[Nutrient]]="N/A","",Table1[[#This Row],[Nutrient]])</f>
        <v>total nitrogen</v>
      </c>
      <c r="E215" s="22">
        <f>IF(Table1[[#This Row],[Load (kg N, P/ha/yr)]]="N/A","",Table1[[#This Row],[Load (kg N, P/ha/yr)]])</f>
        <v>645</v>
      </c>
      <c r="F215" s="22">
        <f>IF(Table1[[#This Row],[Loss (kg N, P/ha/yr)]]="N/A","",Table1[[#This Row],[Loss (kg N, P/ha/yr)]])</f>
        <v>322</v>
      </c>
      <c r="G215" s="22">
        <f>IF(Table1[[#This Row],[Retention (kg N, P/ha/yr)]]="N/A","",Table1[[#This Row],[Retention (kg N, P/ha/yr)]])</f>
        <v>323</v>
      </c>
      <c r="H215" s="22">
        <f>IF(Table1[[#This Row],[Efficiency (%)]]="N/A","",Table1[[#This Row],[Efficiency (%)]])</f>
        <v>50</v>
      </c>
      <c r="I215" s="22" t="str">
        <f>IF(Table1[[#This Row],[Organic/Mineral Soil]]="N/A","",Table1[[#This Row],[Organic/Mineral Soil]])</f>
        <v>Mineral</v>
      </c>
      <c r="J215" s="22" t="str">
        <f>IF(Table1[[#This Row],[Vegetation type]]="N/A","",Table1[[#This Row],[Vegetation type]])</f>
        <v>Aerenchymous</v>
      </c>
      <c r="K215" s="22" t="str">
        <f>IF(Table1[[#This Row],[Reference]]="N/A","",Table1[[#This Row],[Reference]])</f>
        <v>Mitsch et al., 2014; Fink and Mitsch, 2007</v>
      </c>
      <c r="L215" s="22" t="str">
        <f>IF(Table1[[#This Row],[Main source/flow path in]]="N/A","",Table1[[#This Row],[Main source/flow path in]])</f>
        <v>River inundation</v>
      </c>
      <c r="M215" s="22" t="str">
        <f>IF(Table1[[#This Row],[Main source/flow path in (simple)]]="N/A","",Table1[[#This Row],[Main source/flow path in (simple)]])</f>
        <v>SWR</v>
      </c>
      <c r="N215" s="22" t="str">
        <f>IF(Table1[[#This Row],[Main flow paths in buffer]]="N/A","",Table1[[#This Row],[Main flow paths in buffer]])</f>
        <v>Direct surface runof</v>
      </c>
      <c r="O215" s="22" t="str">
        <f>IF(Table1[[#This Row],[Inflow=&gt;Outflow]]="N/A","",Table1[[#This Row],[Inflow=&gt;Outflow]])</f>
        <v>SWR=&gt;SR</v>
      </c>
      <c r="P215" s="22" t="str">
        <f>IF(Table1[[#This Row],[Width '[m']]]="N/A","",Table1[[#This Row],[Width '[m']]])</f>
        <v/>
      </c>
      <c r="Q215" s="22">
        <f>IF(Table1[[#This Row],[Area '[m²']]]="N/A","",Table1[[#This Row],[Area '[m²']]])</f>
        <v>30000</v>
      </c>
      <c r="R215" s="22">
        <f>IF(Table1[[#This Row],[Qin '[m³/yr']]]="N/A","",Table1[[#This Row],[Qin '[m³/yr']]])</f>
        <v>600000</v>
      </c>
      <c r="S215" s="22" t="str">
        <f>IF(Table1[[#This Row],[Catchment area '[ha']]]="N/A","",Table1[[#This Row],[Catchment area '[ha']]])</f>
        <v/>
      </c>
      <c r="T215" s="22">
        <f>IF(Table1[[#This Row],[HLR '[mm']]]="N/A","",Table1[[#This Row],[HLR '[mm']]])</f>
        <v>20000</v>
      </c>
    </row>
    <row r="216" spans="1:20" hidden="1" x14ac:dyDescent="0.3">
      <c r="A216" s="22" t="str">
        <f>IF(Table1[[#This Row],[Country]]="N/A","",Table1[[#This Row],[Country]])</f>
        <v>USA</v>
      </c>
      <c r="B216" s="22" t="str">
        <f>IF(Table1[[#This Row],[Study site]]="N/A","",Table1[[#This Row],[Study site]])</f>
        <v>Ohio, US</v>
      </c>
      <c r="C216" s="22" t="str">
        <f>IF(Table1[[#This Row],[WBZ-type]]="N/A","",Table1[[#This Row],[WBZ-type]])</f>
        <v>Floodplain</v>
      </c>
      <c r="D216" s="22" t="str">
        <f>IF(Table1[[#This Row],[Nutrient]]="N/A","",Table1[[#This Row],[Nutrient]])</f>
        <v>SRP</v>
      </c>
      <c r="E216" s="22">
        <f>IF(Table1[[#This Row],[Load (kg N, P/ha/yr)]]="N/A","",Table1[[#This Row],[Load (kg N, P/ha/yr)]])</f>
        <v>4.8</v>
      </c>
      <c r="F216" s="22">
        <f>IF(Table1[[#This Row],[Loss (kg N, P/ha/yr)]]="N/A","",Table1[[#This Row],[Loss (kg N, P/ha/yr)]])</f>
        <v>4.3</v>
      </c>
      <c r="G216" s="22">
        <f>IF(Table1[[#This Row],[Retention (kg N, P/ha/yr)]]="N/A","",Table1[[#This Row],[Retention (kg N, P/ha/yr)]])</f>
        <v>0.5</v>
      </c>
      <c r="H216" s="22">
        <f>IF(Table1[[#This Row],[Efficiency (%)]]="N/A","",Table1[[#This Row],[Efficiency (%)]])</f>
        <v>10</v>
      </c>
      <c r="I216" s="22" t="str">
        <f>IF(Table1[[#This Row],[Organic/Mineral Soil]]="N/A","",Table1[[#This Row],[Organic/Mineral Soil]])</f>
        <v>Mineral</v>
      </c>
      <c r="J216" s="22" t="str">
        <f>IF(Table1[[#This Row],[Vegetation type]]="N/A","",Table1[[#This Row],[Vegetation type]])</f>
        <v>Aerenchymous</v>
      </c>
      <c r="K216" s="22" t="str">
        <f>IF(Table1[[#This Row],[Reference]]="N/A","",Table1[[#This Row],[Reference]])</f>
        <v>Mitsch et al., 2014; Fink and Mitsch, 2007</v>
      </c>
      <c r="L216" s="22" t="str">
        <f>IF(Table1[[#This Row],[Main source/flow path in]]="N/A","",Table1[[#This Row],[Main source/flow path in]])</f>
        <v>River inundation</v>
      </c>
      <c r="M216" s="22" t="str">
        <f>IF(Table1[[#This Row],[Main source/flow path in (simple)]]="N/A","",Table1[[#This Row],[Main source/flow path in (simple)]])</f>
        <v>SWR</v>
      </c>
      <c r="N216" s="22" t="str">
        <f>IF(Table1[[#This Row],[Main flow paths in buffer]]="N/A","",Table1[[#This Row],[Main flow paths in buffer]])</f>
        <v>Direct surface runof</v>
      </c>
      <c r="O216" s="22" t="str">
        <f>IF(Table1[[#This Row],[Inflow=&gt;Outflow]]="N/A","",Table1[[#This Row],[Inflow=&gt;Outflow]])</f>
        <v>SWR=&gt;SR</v>
      </c>
      <c r="P216" s="22" t="str">
        <f>IF(Table1[[#This Row],[Width '[m']]]="N/A","",Table1[[#This Row],[Width '[m']]])</f>
        <v/>
      </c>
      <c r="Q216" s="22">
        <f>IF(Table1[[#This Row],[Area '[m²']]]="N/A","",Table1[[#This Row],[Area '[m²']]])</f>
        <v>30000</v>
      </c>
      <c r="R216" s="22">
        <f>IF(Table1[[#This Row],[Qin '[m³/yr']]]="N/A","",Table1[[#This Row],[Qin '[m³/yr']]])</f>
        <v>600000</v>
      </c>
      <c r="S216" s="22" t="str">
        <f>IF(Table1[[#This Row],[Catchment area '[ha']]]="N/A","",Table1[[#This Row],[Catchment area '[ha']]])</f>
        <v/>
      </c>
      <c r="T216" s="22">
        <f>IF(Table1[[#This Row],[HLR '[mm']]]="N/A","",Table1[[#This Row],[HLR '[mm']]])</f>
        <v>20000</v>
      </c>
    </row>
    <row r="217" spans="1:20" hidden="1" x14ac:dyDescent="0.3">
      <c r="A217" s="22" t="str">
        <f>IF(Table1[[#This Row],[Country]]="N/A","",Table1[[#This Row],[Country]])</f>
        <v>USA</v>
      </c>
      <c r="B217" s="22" t="str">
        <f>IF(Table1[[#This Row],[Study site]]="N/A","",Table1[[#This Row],[Study site]])</f>
        <v>Ohio, US</v>
      </c>
      <c r="C217" s="22" t="str">
        <f>IF(Table1[[#This Row],[WBZ-type]]="N/A","",Table1[[#This Row],[WBZ-type]])</f>
        <v>Floodplain</v>
      </c>
      <c r="D217" s="22" t="str">
        <f>IF(Table1[[#This Row],[Nutrient]]="N/A","",Table1[[#This Row],[Nutrient]])</f>
        <v>total phosphorus</v>
      </c>
      <c r="E217" s="22">
        <f>IF(Table1[[#This Row],[Load (kg N, P/ha/yr)]]="N/A","",Table1[[#This Row],[Load (kg N, P/ha/yr)]])</f>
        <v>61</v>
      </c>
      <c r="F217" s="22">
        <f>IF(Table1[[#This Row],[Loss (kg N, P/ha/yr)]]="N/A","",Table1[[#This Row],[Loss (kg N, P/ha/yr)]])</f>
        <v>16.2</v>
      </c>
      <c r="G217" s="22">
        <f>IF(Table1[[#This Row],[Retention (kg N, P/ha/yr)]]="N/A","",Table1[[#This Row],[Retention (kg N, P/ha/yr)]])</f>
        <v>44.8</v>
      </c>
      <c r="H217" s="22">
        <f>IF(Table1[[#This Row],[Efficiency (%)]]="N/A","",Table1[[#This Row],[Efficiency (%)]])</f>
        <v>73</v>
      </c>
      <c r="I217" s="22" t="str">
        <f>IF(Table1[[#This Row],[Organic/Mineral Soil]]="N/A","",Table1[[#This Row],[Organic/Mineral Soil]])</f>
        <v>Mineral</v>
      </c>
      <c r="J217" s="22" t="str">
        <f>IF(Table1[[#This Row],[Vegetation type]]="N/A","",Table1[[#This Row],[Vegetation type]])</f>
        <v>Aerenchymous</v>
      </c>
      <c r="K217" s="22" t="str">
        <f>IF(Table1[[#This Row],[Reference]]="N/A","",Table1[[#This Row],[Reference]])</f>
        <v>Mitsch et al., 2014; Fink and Mitsch, 2007</v>
      </c>
      <c r="L217" s="22" t="str">
        <f>IF(Table1[[#This Row],[Main source/flow path in]]="N/A","",Table1[[#This Row],[Main source/flow path in]])</f>
        <v>River inundation</v>
      </c>
      <c r="M217" s="22" t="str">
        <f>IF(Table1[[#This Row],[Main source/flow path in (simple)]]="N/A","",Table1[[#This Row],[Main source/flow path in (simple)]])</f>
        <v>SWR</v>
      </c>
      <c r="N217" s="22" t="str">
        <f>IF(Table1[[#This Row],[Main flow paths in buffer]]="N/A","",Table1[[#This Row],[Main flow paths in buffer]])</f>
        <v>Direct surface runof</v>
      </c>
      <c r="O217" s="22" t="str">
        <f>IF(Table1[[#This Row],[Inflow=&gt;Outflow]]="N/A","",Table1[[#This Row],[Inflow=&gt;Outflow]])</f>
        <v>SWR=&gt;SR</v>
      </c>
      <c r="P217" s="22" t="str">
        <f>IF(Table1[[#This Row],[Width '[m']]]="N/A","",Table1[[#This Row],[Width '[m']]])</f>
        <v/>
      </c>
      <c r="Q217" s="22">
        <f>IF(Table1[[#This Row],[Area '[m²']]]="N/A","",Table1[[#This Row],[Area '[m²']]])</f>
        <v>30000</v>
      </c>
      <c r="R217" s="22">
        <f>IF(Table1[[#This Row],[Qin '[m³/yr']]]="N/A","",Table1[[#This Row],[Qin '[m³/yr']]])</f>
        <v>600000</v>
      </c>
      <c r="S217" s="22" t="str">
        <f>IF(Table1[[#This Row],[Catchment area '[ha']]]="N/A","",Table1[[#This Row],[Catchment area '[ha']]])</f>
        <v/>
      </c>
      <c r="T217" s="22">
        <f>IF(Table1[[#This Row],[HLR '[mm']]]="N/A","",Table1[[#This Row],[HLR '[mm']]])</f>
        <v>20000</v>
      </c>
    </row>
    <row r="218" spans="1:20" hidden="1" x14ac:dyDescent="0.3">
      <c r="A218" s="22" t="str">
        <f>IF(Table1[[#This Row],[Country]]="N/A","",Table1[[#This Row],[Country]])</f>
        <v>USA</v>
      </c>
      <c r="B218" s="22" t="str">
        <f>IF(Table1[[#This Row],[Study site]]="N/A","",Table1[[#This Row],[Study site]])</f>
        <v>Olentangy River, Ohio US</v>
      </c>
      <c r="C218" s="22" t="str">
        <f>IF(Table1[[#This Row],[WBZ-type]]="N/A","",Table1[[#This Row],[WBZ-type]])</f>
        <v>Floodplain</v>
      </c>
      <c r="D218" s="22" t="str">
        <f>IF(Table1[[#This Row],[Nutrient]]="N/A","",Table1[[#This Row],[Nutrient]])</f>
        <v>nitrate</v>
      </c>
      <c r="E218" s="22">
        <f>IF(Table1[[#This Row],[Load (kg N, P/ha/yr)]]="N/A","",Table1[[#This Row],[Load (kg N, P/ha/yr)]])</f>
        <v>1006.4516129032257</v>
      </c>
      <c r="F218" s="22">
        <f>IF(Table1[[#This Row],[Loss (kg N, P/ha/yr)]]="N/A","",Table1[[#This Row],[Loss (kg N, P/ha/yr)]])</f>
        <v>850.45161290322574</v>
      </c>
      <c r="G218" s="22">
        <f>IF(Table1[[#This Row],[Retention (kg N, P/ha/yr)]]="N/A","",Table1[[#This Row],[Retention (kg N, P/ha/yr)]])</f>
        <v>156</v>
      </c>
      <c r="H218" s="22">
        <f>IF(Table1[[#This Row],[Efficiency (%)]]="N/A","",Table1[[#This Row],[Efficiency (%)]])</f>
        <v>15.5</v>
      </c>
      <c r="I218" s="22" t="str">
        <f>IF(Table1[[#This Row],[Organic/Mineral Soil]]="N/A","",Table1[[#This Row],[Organic/Mineral Soil]])</f>
        <v>Mineral</v>
      </c>
      <c r="J218" s="22" t="str">
        <f>IF(Table1[[#This Row],[Vegetation type]]="N/A","",Table1[[#This Row],[Vegetation type]])</f>
        <v>Aerenchymous</v>
      </c>
      <c r="K218" s="22" t="str">
        <f>IF(Table1[[#This Row],[Reference]]="N/A","",Table1[[#This Row],[Reference]])</f>
        <v>Mitsch W., et al., 2014</v>
      </c>
      <c r="L218" s="22" t="str">
        <f>IF(Table1[[#This Row],[Main source/flow path in]]="N/A","",Table1[[#This Row],[Main source/flow path in]])</f>
        <v>River inundation</v>
      </c>
      <c r="M218" s="22" t="str">
        <f>IF(Table1[[#This Row],[Main source/flow path in (simple)]]="N/A","",Table1[[#This Row],[Main source/flow path in (simple)]])</f>
        <v>SWR</v>
      </c>
      <c r="N218" s="22" t="str">
        <f>IF(Table1[[#This Row],[Main flow paths in buffer]]="N/A","",Table1[[#This Row],[Main flow paths in buffer]])</f>
        <v>Direct surface runoff</v>
      </c>
      <c r="O218" s="22" t="str">
        <f>IF(Table1[[#This Row],[Inflow=&gt;Outflow]]="N/A","",Table1[[#This Row],[Inflow=&gt;Outflow]])</f>
        <v>SWR=&gt;SR</v>
      </c>
      <c r="P218" s="22">
        <f>IF(Table1[[#This Row],[Width '[m']]]="N/A","",Table1[[#This Row],[Width '[m']]])</f>
        <v>30</v>
      </c>
      <c r="Q218" s="22">
        <f>IF(Table1[[#This Row],[Area '[m²']]]="N/A","",Table1[[#This Row],[Area '[m²']]])</f>
        <v>20000</v>
      </c>
      <c r="R218" s="22">
        <f>IF(Table1[[#This Row],[Qin '[m³/yr']]]="N/A","",Table1[[#This Row],[Qin '[m³/yr']]])</f>
        <v>795060</v>
      </c>
      <c r="S218" s="22" t="str">
        <f>IF(Table1[[#This Row],[Catchment area '[ha']]]="N/A","",Table1[[#This Row],[Catchment area '[ha']]])</f>
        <v/>
      </c>
      <c r="T218" s="22">
        <f>IF(Table1[[#This Row],[HLR '[mm']]]="N/A","",Table1[[#This Row],[HLR '[mm']]])</f>
        <v>39753</v>
      </c>
    </row>
    <row r="219" spans="1:20" x14ac:dyDescent="0.3">
      <c r="A219" s="22" t="str">
        <f>IF(Table1[[#This Row],[Country]]="N/A","",Table1[[#This Row],[Country]])</f>
        <v>USA</v>
      </c>
      <c r="B219" s="22" t="str">
        <f>IF(Table1[[#This Row],[Study site]]="N/A","",Table1[[#This Row],[Study site]])</f>
        <v>Olentangy River, Ohio US</v>
      </c>
      <c r="C219" s="22" t="str">
        <f>IF(Table1[[#This Row],[WBZ-type]]="N/A","",Table1[[#This Row],[WBZ-type]])</f>
        <v>Floodplain</v>
      </c>
      <c r="D219" s="22" t="str">
        <f>IF(Table1[[#This Row],[Nutrient]]="N/A","",Table1[[#This Row],[Nutrient]])</f>
        <v>total nitrogen</v>
      </c>
      <c r="E219" s="22">
        <f>IF(Table1[[#This Row],[Load (kg N, P/ha/yr)]]="N/A","",Table1[[#This Row],[Load (kg N, P/ha/yr)]])</f>
        <v>1216.3009404388715</v>
      </c>
      <c r="F219" s="22">
        <f>IF(Table1[[#This Row],[Loss (kg N, P/ha/yr)]]="N/A","",Table1[[#This Row],[Loss (kg N, P/ha/yr)]])</f>
        <v>828.30094043887152</v>
      </c>
      <c r="G219" s="22">
        <f>IF(Table1[[#This Row],[Retention (kg N, P/ha/yr)]]="N/A","",Table1[[#This Row],[Retention (kg N, P/ha/yr)]])</f>
        <v>388</v>
      </c>
      <c r="H219" s="22">
        <f>IF(Table1[[#This Row],[Efficiency (%)]]="N/A","",Table1[[#This Row],[Efficiency (%)]])</f>
        <v>31.9</v>
      </c>
      <c r="I219" s="22" t="str">
        <f>IF(Table1[[#This Row],[Organic/Mineral Soil]]="N/A","",Table1[[#This Row],[Organic/Mineral Soil]])</f>
        <v>Mineral</v>
      </c>
      <c r="J219" s="22" t="str">
        <f>IF(Table1[[#This Row],[Vegetation type]]="N/A","",Table1[[#This Row],[Vegetation type]])</f>
        <v>Aerenchymous</v>
      </c>
      <c r="K219" s="22" t="str">
        <f>IF(Table1[[#This Row],[Reference]]="N/A","",Table1[[#This Row],[Reference]])</f>
        <v>Mitsch W., et al., 2014</v>
      </c>
      <c r="L219" s="22" t="str">
        <f>IF(Table1[[#This Row],[Main source/flow path in]]="N/A","",Table1[[#This Row],[Main source/flow path in]])</f>
        <v>River inundation</v>
      </c>
      <c r="M219" s="22" t="str">
        <f>IF(Table1[[#This Row],[Main source/flow path in (simple)]]="N/A","",Table1[[#This Row],[Main source/flow path in (simple)]])</f>
        <v>SWR</v>
      </c>
      <c r="N219" s="22" t="str">
        <f>IF(Table1[[#This Row],[Main flow paths in buffer]]="N/A","",Table1[[#This Row],[Main flow paths in buffer]])</f>
        <v>Direct surface runoff</v>
      </c>
      <c r="O219" s="22" t="str">
        <f>IF(Table1[[#This Row],[Inflow=&gt;Outflow]]="N/A","",Table1[[#This Row],[Inflow=&gt;Outflow]])</f>
        <v>SWR=&gt;SR</v>
      </c>
      <c r="P219" s="22">
        <f>IF(Table1[[#This Row],[Width '[m']]]="N/A","",Table1[[#This Row],[Width '[m']]])</f>
        <v>30</v>
      </c>
      <c r="Q219" s="22">
        <f>IF(Table1[[#This Row],[Area '[m²']]]="N/A","",Table1[[#This Row],[Area '[m²']]])</f>
        <v>20000</v>
      </c>
      <c r="R219" s="22">
        <f>IF(Table1[[#This Row],[Qin '[m³/yr']]]="N/A","",Table1[[#This Row],[Qin '[m³/yr']]])</f>
        <v>795060</v>
      </c>
      <c r="S219" s="22" t="str">
        <f>IF(Table1[[#This Row],[Catchment area '[ha']]]="N/A","",Table1[[#This Row],[Catchment area '[ha']]])</f>
        <v/>
      </c>
      <c r="T219" s="22">
        <f>IF(Table1[[#This Row],[HLR '[mm']]]="N/A","",Table1[[#This Row],[HLR '[mm']]])</f>
        <v>39753</v>
      </c>
    </row>
    <row r="220" spans="1:20" hidden="1" x14ac:dyDescent="0.3">
      <c r="A220" s="22" t="str">
        <f>IF(Table1[[#This Row],[Country]]="N/A","",Table1[[#This Row],[Country]])</f>
        <v>USA</v>
      </c>
      <c r="B220" s="22" t="str">
        <f>IF(Table1[[#This Row],[Study site]]="N/A","",Table1[[#This Row],[Study site]])</f>
        <v>Olentangy River, Ohio US</v>
      </c>
      <c r="C220" s="22" t="str">
        <f>IF(Table1[[#This Row],[WBZ-type]]="N/A","",Table1[[#This Row],[WBZ-type]])</f>
        <v>Floodplain</v>
      </c>
      <c r="D220" s="22" t="str">
        <f>IF(Table1[[#This Row],[Nutrient]]="N/A","",Table1[[#This Row],[Nutrient]])</f>
        <v>SRP</v>
      </c>
      <c r="E220" s="22">
        <f>IF(Table1[[#This Row],[Load (kg N, P/ha/yr)]]="N/A","",Table1[[#This Row],[Load (kg N, P/ha/yr)]])</f>
        <v>21.588089330024815</v>
      </c>
      <c r="F220" s="22">
        <f>IF(Table1[[#This Row],[Loss (kg N, P/ha/yr)]]="N/A","",Table1[[#This Row],[Loss (kg N, P/ha/yr)]])</f>
        <v>12.888089330024815</v>
      </c>
      <c r="G220" s="22">
        <f>IF(Table1[[#This Row],[Retention (kg N, P/ha/yr)]]="N/A","",Table1[[#This Row],[Retention (kg N, P/ha/yr)]])</f>
        <v>8.6999999999999993</v>
      </c>
      <c r="H220" s="22">
        <f>IF(Table1[[#This Row],[Efficiency (%)]]="N/A","",Table1[[#This Row],[Efficiency (%)]])</f>
        <v>40.299999999999997</v>
      </c>
      <c r="I220" s="22" t="str">
        <f>IF(Table1[[#This Row],[Organic/Mineral Soil]]="N/A","",Table1[[#This Row],[Organic/Mineral Soil]])</f>
        <v>Mineral</v>
      </c>
      <c r="J220" s="22" t="str">
        <f>IF(Table1[[#This Row],[Vegetation type]]="N/A","",Table1[[#This Row],[Vegetation type]])</f>
        <v>Aerenchymous</v>
      </c>
      <c r="K220" s="22" t="str">
        <f>IF(Table1[[#This Row],[Reference]]="N/A","",Table1[[#This Row],[Reference]])</f>
        <v>Mitsch W., et al., 2014</v>
      </c>
      <c r="L220" s="22" t="str">
        <f>IF(Table1[[#This Row],[Main source/flow path in]]="N/A","",Table1[[#This Row],[Main source/flow path in]])</f>
        <v>River inundation</v>
      </c>
      <c r="M220" s="22" t="str">
        <f>IF(Table1[[#This Row],[Main source/flow path in (simple)]]="N/A","",Table1[[#This Row],[Main source/flow path in (simple)]])</f>
        <v>SWR</v>
      </c>
      <c r="N220" s="22" t="str">
        <f>IF(Table1[[#This Row],[Main flow paths in buffer]]="N/A","",Table1[[#This Row],[Main flow paths in buffer]])</f>
        <v>Direct surface runoff</v>
      </c>
      <c r="O220" s="22" t="str">
        <f>IF(Table1[[#This Row],[Inflow=&gt;Outflow]]="N/A","",Table1[[#This Row],[Inflow=&gt;Outflow]])</f>
        <v>SWR=&gt;SR</v>
      </c>
      <c r="P220" s="22">
        <f>IF(Table1[[#This Row],[Width '[m']]]="N/A","",Table1[[#This Row],[Width '[m']]])</f>
        <v>30</v>
      </c>
      <c r="Q220" s="22">
        <f>IF(Table1[[#This Row],[Area '[m²']]]="N/A","",Table1[[#This Row],[Area '[m²']]])</f>
        <v>20000</v>
      </c>
      <c r="R220" s="22">
        <f>IF(Table1[[#This Row],[Qin '[m³/yr']]]="N/A","",Table1[[#This Row],[Qin '[m³/yr']]])</f>
        <v>795060</v>
      </c>
      <c r="S220" s="22" t="str">
        <f>IF(Table1[[#This Row],[Catchment area '[ha']]]="N/A","",Table1[[#This Row],[Catchment area '[ha']]])</f>
        <v/>
      </c>
      <c r="T220" s="22">
        <f>IF(Table1[[#This Row],[HLR '[mm']]]="N/A","",Table1[[#This Row],[HLR '[mm']]])</f>
        <v>39753</v>
      </c>
    </row>
    <row r="221" spans="1:20" hidden="1" x14ac:dyDescent="0.3">
      <c r="A221" s="22" t="str">
        <f>IF(Table1[[#This Row],[Country]]="N/A","",Table1[[#This Row],[Country]])</f>
        <v>USA</v>
      </c>
      <c r="B221" s="22" t="str">
        <f>IF(Table1[[#This Row],[Study site]]="N/A","",Table1[[#This Row],[Study site]])</f>
        <v>Olentangy River, Ohio US</v>
      </c>
      <c r="C221" s="22" t="str">
        <f>IF(Table1[[#This Row],[WBZ-type]]="N/A","",Table1[[#This Row],[WBZ-type]])</f>
        <v>Floodplain</v>
      </c>
      <c r="D221" s="22" t="str">
        <f>IF(Table1[[#This Row],[Nutrient]]="N/A","",Table1[[#This Row],[Nutrient]])</f>
        <v>total phosphorus</v>
      </c>
      <c r="E221" s="22">
        <f>IF(Table1[[#This Row],[Load (kg N, P/ha/yr)]]="N/A","",Table1[[#This Row],[Load (kg N, P/ha/yr)]])</f>
        <v>56.206088992974237</v>
      </c>
      <c r="F221" s="22">
        <f>IF(Table1[[#This Row],[Loss (kg N, P/ha/yr)]]="N/A","",Table1[[#This Row],[Loss (kg N, P/ha/yr)]])</f>
        <v>32.206088992974237</v>
      </c>
      <c r="G221" s="22">
        <f>IF(Table1[[#This Row],[Retention (kg N, P/ha/yr)]]="N/A","",Table1[[#This Row],[Retention (kg N, P/ha/yr)]])</f>
        <v>24</v>
      </c>
      <c r="H221" s="22">
        <f>IF(Table1[[#This Row],[Efficiency (%)]]="N/A","",Table1[[#This Row],[Efficiency (%)]])</f>
        <v>42.7</v>
      </c>
      <c r="I221" s="22" t="str">
        <f>IF(Table1[[#This Row],[Organic/Mineral Soil]]="N/A","",Table1[[#This Row],[Organic/Mineral Soil]])</f>
        <v>Mineral</v>
      </c>
      <c r="J221" s="22" t="str">
        <f>IF(Table1[[#This Row],[Vegetation type]]="N/A","",Table1[[#This Row],[Vegetation type]])</f>
        <v>Aerenchymous</v>
      </c>
      <c r="K221" s="22" t="str">
        <f>IF(Table1[[#This Row],[Reference]]="N/A","",Table1[[#This Row],[Reference]])</f>
        <v>Mitsch W., et al., 2014</v>
      </c>
      <c r="L221" s="22" t="str">
        <f>IF(Table1[[#This Row],[Main source/flow path in]]="N/A","",Table1[[#This Row],[Main source/flow path in]])</f>
        <v>River inundation</v>
      </c>
      <c r="M221" s="22" t="str">
        <f>IF(Table1[[#This Row],[Main source/flow path in (simple)]]="N/A","",Table1[[#This Row],[Main source/flow path in (simple)]])</f>
        <v>SWR</v>
      </c>
      <c r="N221" s="22" t="str">
        <f>IF(Table1[[#This Row],[Main flow paths in buffer]]="N/A","",Table1[[#This Row],[Main flow paths in buffer]])</f>
        <v>Direct surface runoff</v>
      </c>
      <c r="O221" s="22" t="str">
        <f>IF(Table1[[#This Row],[Inflow=&gt;Outflow]]="N/A","",Table1[[#This Row],[Inflow=&gt;Outflow]])</f>
        <v>SWR=&gt;SR</v>
      </c>
      <c r="P221" s="22">
        <f>IF(Table1[[#This Row],[Width '[m']]]="N/A","",Table1[[#This Row],[Width '[m']]])</f>
        <v>30</v>
      </c>
      <c r="Q221" s="22">
        <f>IF(Table1[[#This Row],[Area '[m²']]]="N/A","",Table1[[#This Row],[Area '[m²']]])</f>
        <v>20000</v>
      </c>
      <c r="R221" s="22">
        <f>IF(Table1[[#This Row],[Qin '[m³/yr']]]="N/A","",Table1[[#This Row],[Qin '[m³/yr']]])</f>
        <v>795060</v>
      </c>
      <c r="S221" s="22" t="str">
        <f>IF(Table1[[#This Row],[Catchment area '[ha']]]="N/A","",Table1[[#This Row],[Catchment area '[ha']]])</f>
        <v/>
      </c>
      <c r="T221" s="22">
        <f>IF(Table1[[#This Row],[HLR '[mm']]]="N/A","",Table1[[#This Row],[HLR '[mm']]])</f>
        <v>39753</v>
      </c>
    </row>
    <row r="222" spans="1:20" hidden="1" x14ac:dyDescent="0.3">
      <c r="A222" s="22" t="str">
        <f>IF(Table1[[#This Row],[Country]]="N/A","",Table1[[#This Row],[Country]])</f>
        <v>USA</v>
      </c>
      <c r="B222" s="22" t="str">
        <f>IF(Table1[[#This Row],[Study site]]="N/A","",Table1[[#This Row],[Study site]])</f>
        <v>Pennsylvania, USA</v>
      </c>
      <c r="C222" s="22" t="str">
        <f>IF(Table1[[#This Row],[WBZ-type]]="N/A","",Table1[[#This Row],[WBZ-type]])</f>
        <v>Riparian Wetland/Bank</v>
      </c>
      <c r="D222" s="22" t="str">
        <f>IF(Table1[[#This Row],[Nutrient]]="N/A","",Table1[[#This Row],[Nutrient]])</f>
        <v>nitrate</v>
      </c>
      <c r="E222" s="22">
        <f>IF(Table1[[#This Row],[Load (kg N, P/ha/yr)]]="N/A","",Table1[[#This Row],[Load (kg N, P/ha/yr)]])</f>
        <v>0</v>
      </c>
      <c r="F222" s="22">
        <f>IF(Table1[[#This Row],[Loss (kg N, P/ha/yr)]]="N/A","",Table1[[#This Row],[Loss (kg N, P/ha/yr)]])</f>
        <v>0</v>
      </c>
      <c r="G222" s="22">
        <f>IF(Table1[[#This Row],[Retention (kg N, P/ha/yr)]]="N/A","",Table1[[#This Row],[Retention (kg N, P/ha/yr)]])</f>
        <v>0</v>
      </c>
      <c r="H222" s="22">
        <f>IF(Table1[[#This Row],[Efficiency (%)]]="N/A","",Table1[[#This Row],[Efficiency (%)]])</f>
        <v>40</v>
      </c>
      <c r="I222" s="22" t="str">
        <f>IF(Table1[[#This Row],[Organic/Mineral Soil]]="N/A","",Table1[[#This Row],[Organic/Mineral Soil]])</f>
        <v>Mineral</v>
      </c>
      <c r="J222" s="22" t="str">
        <f>IF(Table1[[#This Row],[Vegetation type]]="N/A","",Table1[[#This Row],[Vegetation type]])</f>
        <v>Herbaceous</v>
      </c>
      <c r="K222" s="22" t="str">
        <f>IF(Table1[[#This Row],[Reference]]="N/A","",Table1[[#This Row],[Reference]])</f>
        <v>Hill A., 1996; Schnabel, 1986</v>
      </c>
      <c r="L222" s="22" t="str">
        <f>IF(Table1[[#This Row],[Main source/flow path in]]="N/A","",Table1[[#This Row],[Main source/flow path in]])</f>
        <v>Groundwater</v>
      </c>
      <c r="M222" s="22" t="str">
        <f>IF(Table1[[#This Row],[Main source/flow path in (simple)]]="N/A","",Table1[[#This Row],[Main source/flow path in (simple)]])</f>
        <v>GW</v>
      </c>
      <c r="N222" s="22" t="str">
        <f>IF(Table1[[#This Row],[Main flow paths in buffer]]="N/A","",Table1[[#This Row],[Main flow paths in buffer]])</f>
        <v>Shallow lateral GW, GW exfiltration =&gt; surface flow (return flow)</v>
      </c>
      <c r="O222" s="22" t="str">
        <f>IF(Table1[[#This Row],[Inflow=&gt;Outflow]]="N/A","",Table1[[#This Row],[Inflow=&gt;Outflow]])</f>
        <v>GW=&gt;SR</v>
      </c>
      <c r="P222" s="22">
        <f>IF(Table1[[#This Row],[Width '[m']]]="N/A","",Table1[[#This Row],[Width '[m']]])</f>
        <v>18</v>
      </c>
      <c r="Q222" s="22" t="str">
        <f>IF(Table1[[#This Row],[Area '[m²']]]="N/A","",Table1[[#This Row],[Area '[m²']]])</f>
        <v/>
      </c>
      <c r="R222" s="22" t="str">
        <f>IF(Table1[[#This Row],[Qin '[m³/yr']]]="N/A","",Table1[[#This Row],[Qin '[m³/yr']]])</f>
        <v/>
      </c>
      <c r="S222" s="22">
        <f>IF(Table1[[#This Row],[Catchment area '[ha']]]="N/A","",Table1[[#This Row],[Catchment area '[ha']]])</f>
        <v>0</v>
      </c>
      <c r="T222" s="22" t="str">
        <f>IF(Table1[[#This Row],[HLR '[mm']]]="N/A","",Table1[[#This Row],[HLR '[mm']]])</f>
        <v/>
      </c>
    </row>
    <row r="223" spans="1:20" hidden="1" x14ac:dyDescent="0.3">
      <c r="A223" s="22" t="str">
        <f>IF(Table1[[#This Row],[Country]]="N/A","",Table1[[#This Row],[Country]])</f>
        <v>USA</v>
      </c>
      <c r="B223" s="22" t="str">
        <f>IF(Table1[[#This Row],[Study site]]="N/A","",Table1[[#This Row],[Study site]])</f>
        <v>Rhode River basin, Maryland, US</v>
      </c>
      <c r="C223" s="22" t="str">
        <f>IF(Table1[[#This Row],[WBZ-type]]="N/A","",Table1[[#This Row],[WBZ-type]])</f>
        <v>Riparian Wetland/Bank</v>
      </c>
      <c r="D223" s="22" t="str">
        <f>IF(Table1[[#This Row],[Nutrient]]="N/A","",Table1[[#This Row],[Nutrient]])</f>
        <v>total phosphorus</v>
      </c>
      <c r="E223" s="22">
        <f>IF(Table1[[#This Row],[Load (kg N, P/ha/yr)]]="N/A","",Table1[[#This Row],[Load (kg N, P/ha/yr)]])</f>
        <v>3.63</v>
      </c>
      <c r="F223" s="22">
        <f>IF(Table1[[#This Row],[Loss (kg N, P/ha/yr)]]="N/A","",Table1[[#This Row],[Loss (kg N, P/ha/yr)]])</f>
        <v>0.73</v>
      </c>
      <c r="G223" s="22">
        <f>IF(Table1[[#This Row],[Retention (kg N, P/ha/yr)]]="N/A","",Table1[[#This Row],[Retention (kg N, P/ha/yr)]])</f>
        <v>2.9</v>
      </c>
      <c r="H223" s="22">
        <f>IF(Table1[[#This Row],[Efficiency (%)]]="N/A","",Table1[[#This Row],[Efficiency (%)]])</f>
        <v>79.889807162534439</v>
      </c>
      <c r="I223" s="22" t="str">
        <f>IF(Table1[[#This Row],[Organic/Mineral Soil]]="N/A","",Table1[[#This Row],[Organic/Mineral Soil]])</f>
        <v>Mineral</v>
      </c>
      <c r="J223" s="22" t="str">
        <f>IF(Table1[[#This Row],[Vegetation type]]="N/A","",Table1[[#This Row],[Vegetation type]])</f>
        <v>Arboraceous, mixed</v>
      </c>
      <c r="K223" s="22" t="str">
        <f>IF(Table1[[#This Row],[Reference]]="N/A","",Table1[[#This Row],[Reference]])</f>
        <v>Peterjohn and Correll, 1984; Hoffmann et al., 2009</v>
      </c>
      <c r="L223" s="22" t="str">
        <f>IF(Table1[[#This Row],[Main source/flow path in]]="N/A","",Table1[[#This Row],[Main source/flow path in]])</f>
        <v>Groundwater</v>
      </c>
      <c r="M223" s="22" t="str">
        <f>IF(Table1[[#This Row],[Main source/flow path in (simple)]]="N/A","",Table1[[#This Row],[Main source/flow path in (simple)]])</f>
        <v>GW</v>
      </c>
      <c r="N223" s="22" t="str">
        <f>IF(Table1[[#This Row],[Main flow paths in buffer]]="N/A","",Table1[[#This Row],[Main flow paths in buffer]])</f>
        <v>Shallow lateral GW</v>
      </c>
      <c r="O223" s="22" t="str">
        <f>IF(Table1[[#This Row],[Inflow=&gt;Outflow]]="N/A","",Table1[[#This Row],[Inflow=&gt;Outflow]])</f>
        <v>GW=&gt;GW</v>
      </c>
      <c r="P223" s="22">
        <f>IF(Table1[[#This Row],[Width '[m']]]="N/A","",Table1[[#This Row],[Width '[m']]])</f>
        <v>40</v>
      </c>
      <c r="Q223" s="22">
        <f>IF(Table1[[#This Row],[Area '[m²']]]="N/A","",Table1[[#This Row],[Area '[m²']]])</f>
        <v>59000</v>
      </c>
      <c r="R223" s="22">
        <f>IF(Table1[[#This Row],[Qin '[m³/yr']]]="N/A","",Table1[[#This Row],[Qin '[m³/yr']]])</f>
        <v>37639.960000000006</v>
      </c>
      <c r="S223" s="22">
        <f>IF(Table1[[#This Row],[Catchment area '[ha']]]="N/A","",Table1[[#This Row],[Catchment area '[ha']]])</f>
        <v>16.3</v>
      </c>
      <c r="T223" s="22">
        <f>IF(Table1[[#This Row],[HLR '[mm']]]="N/A","",Table1[[#This Row],[HLR '[mm']]])</f>
        <v>637.96542372881368</v>
      </c>
    </row>
    <row r="224" spans="1:20" x14ac:dyDescent="0.3">
      <c r="A224" s="22" t="str">
        <f>IF(Table1[[#This Row],[Country]]="N/A","",Table1[[#This Row],[Country]])</f>
        <v>USA</v>
      </c>
      <c r="B224" s="22" t="str">
        <f>IF(Table1[[#This Row],[Study site]]="N/A","",Table1[[#This Row],[Study site]])</f>
        <v>Rhode River basin, Maryland, US</v>
      </c>
      <c r="C224" s="22" t="str">
        <f>IF(Table1[[#This Row],[WBZ-type]]="N/A","",Table1[[#This Row],[WBZ-type]])</f>
        <v>Riparian Wetland/Bank</v>
      </c>
      <c r="D224" s="22" t="str">
        <f>IF(Table1[[#This Row],[Nutrient]]="N/A","",Table1[[#This Row],[Nutrient]])</f>
        <v>total nitrogen</v>
      </c>
      <c r="E224" s="22">
        <f>IF(Table1[[#This Row],[Load (kg N, P/ha/yr)]]="N/A","",Table1[[#This Row],[Load (kg N, P/ha/yr)]])</f>
        <v>83</v>
      </c>
      <c r="F224" s="22">
        <f>IF(Table1[[#This Row],[Loss (kg N, P/ha/yr)]]="N/A","",Table1[[#This Row],[Loss (kg N, P/ha/yr)]])</f>
        <v>9.1999999999999993</v>
      </c>
      <c r="G224" s="22">
        <f>IF(Table1[[#This Row],[Retention (kg N, P/ha/yr)]]="N/A","",Table1[[#This Row],[Retention (kg N, P/ha/yr)]])</f>
        <v>73.8</v>
      </c>
      <c r="H224" s="22">
        <f>IF(Table1[[#This Row],[Efficiency (%)]]="N/A","",Table1[[#This Row],[Efficiency (%)]])</f>
        <v>88.915662650602414</v>
      </c>
      <c r="I224" s="22" t="str">
        <f>IF(Table1[[#This Row],[Organic/Mineral Soil]]="N/A","",Table1[[#This Row],[Organic/Mineral Soil]])</f>
        <v>Mineral</v>
      </c>
      <c r="J224" s="22" t="str">
        <f>IF(Table1[[#This Row],[Vegetation type]]="N/A","",Table1[[#This Row],[Vegetation type]])</f>
        <v>Arboraceous, mixed</v>
      </c>
      <c r="K224" s="22" t="str">
        <f>IF(Table1[[#This Row],[Reference]]="N/A","",Table1[[#This Row],[Reference]])</f>
        <v>Peterjohn and Correll, 1984; Mander et al., 1997</v>
      </c>
      <c r="L224" s="22" t="str">
        <f>IF(Table1[[#This Row],[Main source/flow path in]]="N/A","",Table1[[#This Row],[Main source/flow path in]])</f>
        <v>Groundwater</v>
      </c>
      <c r="M224" s="22" t="str">
        <f>IF(Table1[[#This Row],[Main source/flow path in (simple)]]="N/A","",Table1[[#This Row],[Main source/flow path in (simple)]])</f>
        <v>GW</v>
      </c>
      <c r="N224" s="22" t="str">
        <f>IF(Table1[[#This Row],[Main flow paths in buffer]]="N/A","",Table1[[#This Row],[Main flow paths in buffer]])</f>
        <v>Shallow lateral GW</v>
      </c>
      <c r="O224" s="22" t="str">
        <f>IF(Table1[[#This Row],[Inflow=&gt;Outflow]]="N/A","",Table1[[#This Row],[Inflow=&gt;Outflow]])</f>
        <v>GW=&gt;GW</v>
      </c>
      <c r="P224" s="22">
        <f>IF(Table1[[#This Row],[Width '[m']]]="N/A","",Table1[[#This Row],[Width '[m']]])</f>
        <v>40</v>
      </c>
      <c r="Q224" s="22">
        <f>IF(Table1[[#This Row],[Area '[m²']]]="N/A","",Table1[[#This Row],[Area '[m²']]])</f>
        <v>59000</v>
      </c>
      <c r="R224" s="22">
        <f>IF(Table1[[#This Row],[Qin '[m³/yr']]]="N/A","",Table1[[#This Row],[Qin '[m³/yr']]])</f>
        <v>37639.960000000006</v>
      </c>
      <c r="S224" s="22">
        <f>IF(Table1[[#This Row],[Catchment area '[ha']]]="N/A","",Table1[[#This Row],[Catchment area '[ha']]])</f>
        <v>16.3</v>
      </c>
      <c r="T224" s="22">
        <f>IF(Table1[[#This Row],[HLR '[mm']]]="N/A","",Table1[[#This Row],[HLR '[mm']]])</f>
        <v>637.96542372881368</v>
      </c>
    </row>
    <row r="225" spans="1:20" hidden="1" x14ac:dyDescent="0.3">
      <c r="A225" s="22" t="str">
        <f>IF(Table1[[#This Row],[Country]]="N/A","",Table1[[#This Row],[Country]])</f>
        <v>USA</v>
      </c>
      <c r="B225" s="22" t="str">
        <f>IF(Table1[[#This Row],[Study site]]="N/A","",Table1[[#This Row],[Study site]])</f>
        <v>Sierra Nevada, CA, US</v>
      </c>
      <c r="C225" s="22" t="str">
        <f>IF(Table1[[#This Row],[WBZ-type]]="N/A","",Table1[[#This Row],[WBZ-type]])</f>
        <v>Riparian Wetland/Bank</v>
      </c>
      <c r="D225" s="22" t="str">
        <f>IF(Table1[[#This Row],[Nutrient]]="N/A","",Table1[[#This Row],[Nutrient]])</f>
        <v>total phosphorus</v>
      </c>
      <c r="E225" s="22">
        <f>IF(Table1[[#This Row],[Load (kg N, P/ha/yr)]]="N/A","",Table1[[#This Row],[Load (kg N, P/ha/yr)]])</f>
        <v>0</v>
      </c>
      <c r="F225" s="22">
        <f>IF(Table1[[#This Row],[Loss (kg N, P/ha/yr)]]="N/A","",Table1[[#This Row],[Loss (kg N, P/ha/yr)]])</f>
        <v>0</v>
      </c>
      <c r="G225" s="22">
        <f>IF(Table1[[#This Row],[Retention (kg N, P/ha/yr)]]="N/A","",Table1[[#This Row],[Retention (kg N, P/ha/yr)]])</f>
        <v>0</v>
      </c>
      <c r="H225" s="22">
        <f>IF(Table1[[#This Row],[Efficiency (%)]]="N/A","",Table1[[#This Row],[Efficiency (%)]])</f>
        <v>34.4</v>
      </c>
      <c r="I225" s="22" t="str">
        <f>IF(Table1[[#This Row],[Organic/Mineral Soil]]="N/A","",Table1[[#This Row],[Organic/Mineral Soil]])</f>
        <v>Mineral</v>
      </c>
      <c r="J225" s="22" t="str">
        <f>IF(Table1[[#This Row],[Vegetation type]]="N/A","",Table1[[#This Row],[Vegetation type]])</f>
        <v>Aerenchymous</v>
      </c>
      <c r="K225" s="22" t="str">
        <f>IF(Table1[[#This Row],[Reference]]="N/A","",Table1[[#This Row],[Reference]])</f>
        <v>Hoffmann et al., 2009; Knox et al,. 2008</v>
      </c>
      <c r="L225" s="22" t="str">
        <f>IF(Table1[[#This Row],[Main source/flow path in]]="N/A","",Table1[[#This Row],[Main source/flow path in]])</f>
        <v>Drain discharge from upland</v>
      </c>
      <c r="M225" s="22" t="str">
        <f>IF(Table1[[#This Row],[Main source/flow path in (simple)]]="N/A","",Table1[[#This Row],[Main source/flow path in (simple)]])</f>
        <v>SWU</v>
      </c>
      <c r="N225" s="22" t="str">
        <f>IF(Table1[[#This Row],[Main flow paths in buffer]]="N/A","",Table1[[#This Row],[Main flow paths in buffer]])</f>
        <v>Direct surface runoff (natural)</v>
      </c>
      <c r="O225" s="22" t="str">
        <f>IF(Table1[[#This Row],[Inflow=&gt;Outflow]]="N/A","",Table1[[#This Row],[Inflow=&gt;Outflow]])</f>
        <v>SWU=&gt;SR</v>
      </c>
      <c r="P225" s="22">
        <f>IF(Table1[[#This Row],[Width '[m']]]="N/A","",Table1[[#This Row],[Width '[m']]])</f>
        <v>135</v>
      </c>
      <c r="Q225" s="22">
        <f>IF(Table1[[#This Row],[Area '[m²']]]="N/A","",Table1[[#This Row],[Area '[m²']]])</f>
        <v>2000</v>
      </c>
      <c r="R225" s="22" t="str">
        <f>IF(Table1[[#This Row],[Qin '[m³/yr']]]="N/A","",Table1[[#This Row],[Qin '[m³/yr']]])</f>
        <v/>
      </c>
      <c r="S225" s="22">
        <f>IF(Table1[[#This Row],[Catchment area '[ha']]]="N/A","",Table1[[#This Row],[Catchment area '[ha']]])</f>
        <v>6.1</v>
      </c>
      <c r="T225" s="22" t="str">
        <f>IF(Table1[[#This Row],[HLR '[mm']]]="N/A","",Table1[[#This Row],[HLR '[mm']]])</f>
        <v/>
      </c>
    </row>
    <row r="226" spans="1:20" hidden="1" x14ac:dyDescent="0.3">
      <c r="A226" s="22" t="str">
        <f>IF(Table1[[#This Row],[Country]]="N/A","",Table1[[#This Row],[Country]])</f>
        <v>USA</v>
      </c>
      <c r="B226" s="22" t="str">
        <f>IF(Table1[[#This Row],[Study site]]="N/A","",Table1[[#This Row],[Study site]])</f>
        <v>Sierra Nevada, CA, US</v>
      </c>
      <c r="C226" s="22" t="str">
        <f>IF(Table1[[#This Row],[WBZ-type]]="N/A","",Table1[[#This Row],[WBZ-type]])</f>
        <v>Riparian Wetland/Bank</v>
      </c>
      <c r="D226" s="22" t="str">
        <f>IF(Table1[[#This Row],[Nutrient]]="N/A","",Table1[[#This Row],[Nutrient]])</f>
        <v>SRP</v>
      </c>
      <c r="E226" s="22">
        <f>IF(Table1[[#This Row],[Load (kg N, P/ha/yr)]]="N/A","",Table1[[#This Row],[Load (kg N, P/ha/yr)]])</f>
        <v>0</v>
      </c>
      <c r="F226" s="22">
        <f>IF(Table1[[#This Row],[Loss (kg N, P/ha/yr)]]="N/A","",Table1[[#This Row],[Loss (kg N, P/ha/yr)]])</f>
        <v>0</v>
      </c>
      <c r="G226" s="22">
        <f>IF(Table1[[#This Row],[Retention (kg N, P/ha/yr)]]="N/A","",Table1[[#This Row],[Retention (kg N, P/ha/yr)]])</f>
        <v>0</v>
      </c>
      <c r="H226" s="22">
        <f>IF(Table1[[#This Row],[Efficiency (%)]]="N/A","",Table1[[#This Row],[Efficiency (%)]])</f>
        <v>41.6</v>
      </c>
      <c r="I226" s="22" t="str">
        <f>IF(Table1[[#This Row],[Organic/Mineral Soil]]="N/A","",Table1[[#This Row],[Organic/Mineral Soil]])</f>
        <v>Mineral</v>
      </c>
      <c r="J226" s="22" t="str">
        <f>IF(Table1[[#This Row],[Vegetation type]]="N/A","",Table1[[#This Row],[Vegetation type]])</f>
        <v>Aerenchymous</v>
      </c>
      <c r="K226" s="22" t="str">
        <f>IF(Table1[[#This Row],[Reference]]="N/A","",Table1[[#This Row],[Reference]])</f>
        <v>Hoffmann et al., 2009; Knox et al,. 2008</v>
      </c>
      <c r="L226" s="22" t="str">
        <f>IF(Table1[[#This Row],[Main source/flow path in]]="N/A","",Table1[[#This Row],[Main source/flow path in]])</f>
        <v>Drain discharge from upland</v>
      </c>
      <c r="M226" s="22" t="str">
        <f>IF(Table1[[#This Row],[Main source/flow path in (simple)]]="N/A","",Table1[[#This Row],[Main source/flow path in (simple)]])</f>
        <v>SWU</v>
      </c>
      <c r="N226" s="22" t="str">
        <f>IF(Table1[[#This Row],[Main flow paths in buffer]]="N/A","",Table1[[#This Row],[Main flow paths in buffer]])</f>
        <v>Direct surface runoff (natural)</v>
      </c>
      <c r="O226" s="22" t="str">
        <f>IF(Table1[[#This Row],[Inflow=&gt;Outflow]]="N/A","",Table1[[#This Row],[Inflow=&gt;Outflow]])</f>
        <v>SWU=&gt;SR</v>
      </c>
      <c r="P226" s="22">
        <f>IF(Table1[[#This Row],[Width '[m']]]="N/A","",Table1[[#This Row],[Width '[m']]])</f>
        <v>135</v>
      </c>
      <c r="Q226" s="22">
        <f>IF(Table1[[#This Row],[Area '[m²']]]="N/A","",Table1[[#This Row],[Area '[m²']]])</f>
        <v>2000</v>
      </c>
      <c r="R226" s="22" t="str">
        <f>IF(Table1[[#This Row],[Qin '[m³/yr']]]="N/A","",Table1[[#This Row],[Qin '[m³/yr']]])</f>
        <v/>
      </c>
      <c r="S226" s="22">
        <f>IF(Table1[[#This Row],[Catchment area '[ha']]]="N/A","",Table1[[#This Row],[Catchment area '[ha']]])</f>
        <v>6.1</v>
      </c>
      <c r="T226" s="22" t="str">
        <f>IF(Table1[[#This Row],[HLR '[mm']]]="N/A","",Table1[[#This Row],[HLR '[mm']]])</f>
        <v/>
      </c>
    </row>
    <row r="227" spans="1:20" hidden="1" x14ac:dyDescent="0.3">
      <c r="A227" s="22" t="str">
        <f>IF(Table1[[#This Row],[Country]]="N/A","",Table1[[#This Row],[Country]])</f>
        <v>USA</v>
      </c>
      <c r="B227" s="22" t="str">
        <f>IF(Table1[[#This Row],[Study site]]="N/A","",Table1[[#This Row],[Study site]])</f>
        <v>Sierra Nevada, CA, US</v>
      </c>
      <c r="C227" s="22" t="str">
        <f>IF(Table1[[#This Row],[WBZ-type]]="N/A","",Table1[[#This Row],[WBZ-type]])</f>
        <v>Riparian Wetland/Bank</v>
      </c>
      <c r="D227" s="22" t="str">
        <f>IF(Table1[[#This Row],[Nutrient]]="N/A","",Table1[[#This Row],[Nutrient]])</f>
        <v>nitrate</v>
      </c>
      <c r="E227" s="22">
        <f>IF(Table1[[#This Row],[Load (kg N, P/ha/yr)]]="N/A","",Table1[[#This Row],[Load (kg N, P/ha/yr)]])</f>
        <v>0</v>
      </c>
      <c r="F227" s="22">
        <f>IF(Table1[[#This Row],[Loss (kg N, P/ha/yr)]]="N/A","",Table1[[#This Row],[Loss (kg N, P/ha/yr)]])</f>
        <v>0</v>
      </c>
      <c r="G227" s="22">
        <f>IF(Table1[[#This Row],[Retention (kg N, P/ha/yr)]]="N/A","",Table1[[#This Row],[Retention (kg N, P/ha/yr)]])</f>
        <v>0</v>
      </c>
      <c r="H227" s="22">
        <f>IF(Table1[[#This Row],[Efficiency (%)]]="N/A","",Table1[[#This Row],[Efficiency (%)]])</f>
        <v>60</v>
      </c>
      <c r="I227" s="22" t="str">
        <f>IF(Table1[[#This Row],[Organic/Mineral Soil]]="N/A","",Table1[[#This Row],[Organic/Mineral Soil]])</f>
        <v>Mineral</v>
      </c>
      <c r="J227" s="22" t="str">
        <f>IF(Table1[[#This Row],[Vegetation type]]="N/A","",Table1[[#This Row],[Vegetation type]])</f>
        <v>Aerenchymous</v>
      </c>
      <c r="K227" s="22" t="str">
        <f>IF(Table1[[#This Row],[Reference]]="N/A","",Table1[[#This Row],[Reference]])</f>
        <v>Hoffmann et al., 2009; Knox et al,. 2008</v>
      </c>
      <c r="L227" s="22" t="str">
        <f>IF(Table1[[#This Row],[Main source/flow path in]]="N/A","",Table1[[#This Row],[Main source/flow path in]])</f>
        <v>Drain discharge from upland</v>
      </c>
      <c r="M227" s="22" t="str">
        <f>IF(Table1[[#This Row],[Main source/flow path in (simple)]]="N/A","",Table1[[#This Row],[Main source/flow path in (simple)]])</f>
        <v>SWU</v>
      </c>
      <c r="N227" s="22" t="str">
        <f>IF(Table1[[#This Row],[Main flow paths in buffer]]="N/A","",Table1[[#This Row],[Main flow paths in buffer]])</f>
        <v>Direct surface runoff (natural)</v>
      </c>
      <c r="O227" s="22" t="str">
        <f>IF(Table1[[#This Row],[Inflow=&gt;Outflow]]="N/A","",Table1[[#This Row],[Inflow=&gt;Outflow]])</f>
        <v>SWU=&gt;SR</v>
      </c>
      <c r="P227" s="22">
        <f>IF(Table1[[#This Row],[Width '[m']]]="N/A","",Table1[[#This Row],[Width '[m']]])</f>
        <v>135</v>
      </c>
      <c r="Q227" s="22">
        <f>IF(Table1[[#This Row],[Area '[m²']]]="N/A","",Table1[[#This Row],[Area '[m²']]])</f>
        <v>2000</v>
      </c>
      <c r="R227" s="22" t="str">
        <f>IF(Table1[[#This Row],[Qin '[m³/yr']]]="N/A","",Table1[[#This Row],[Qin '[m³/yr']]])</f>
        <v/>
      </c>
      <c r="S227" s="22">
        <f>IF(Table1[[#This Row],[Catchment area '[ha']]]="N/A","",Table1[[#This Row],[Catchment area '[ha']]])</f>
        <v>6.1</v>
      </c>
      <c r="T227" s="22" t="str">
        <f>IF(Table1[[#This Row],[HLR '[mm']]]="N/A","",Table1[[#This Row],[HLR '[mm']]])</f>
        <v/>
      </c>
    </row>
    <row r="228" spans="1:20" x14ac:dyDescent="0.3">
      <c r="A228" s="22" t="str">
        <f>IF(Table1[[#This Row],[Country]]="N/A","",Table1[[#This Row],[Country]])</f>
        <v>USA</v>
      </c>
      <c r="B228" s="22" t="str">
        <f>IF(Table1[[#This Row],[Study site]]="N/A","",Table1[[#This Row],[Study site]])</f>
        <v>Sierra Nevada, CA, US</v>
      </c>
      <c r="C228" s="22" t="str">
        <f>IF(Table1[[#This Row],[WBZ-type]]="N/A","",Table1[[#This Row],[WBZ-type]])</f>
        <v>Riparian Wetland/Bank</v>
      </c>
      <c r="D228" s="22" t="str">
        <f>IF(Table1[[#This Row],[Nutrient]]="N/A","",Table1[[#This Row],[Nutrient]])</f>
        <v>total nitrogen</v>
      </c>
      <c r="E228" s="22">
        <f>IF(Table1[[#This Row],[Load (kg N, P/ha/yr)]]="N/A","",Table1[[#This Row],[Load (kg N, P/ha/yr)]])</f>
        <v>0</v>
      </c>
      <c r="F228" s="22">
        <f>IF(Table1[[#This Row],[Loss (kg N, P/ha/yr)]]="N/A","",Table1[[#This Row],[Loss (kg N, P/ha/yr)]])</f>
        <v>0</v>
      </c>
      <c r="G228" s="22">
        <f>IF(Table1[[#This Row],[Retention (kg N, P/ha/yr)]]="N/A","",Table1[[#This Row],[Retention (kg N, P/ha/yr)]])</f>
        <v>0</v>
      </c>
      <c r="H228" s="22">
        <f>IF(Table1[[#This Row],[Efficiency (%)]]="N/A","",Table1[[#This Row],[Efficiency (%)]])</f>
        <v>40.799999999999997</v>
      </c>
      <c r="I228" s="22" t="str">
        <f>IF(Table1[[#This Row],[Organic/Mineral Soil]]="N/A","",Table1[[#This Row],[Organic/Mineral Soil]])</f>
        <v>Mineral</v>
      </c>
      <c r="J228" s="22" t="str">
        <f>IF(Table1[[#This Row],[Vegetation type]]="N/A","",Table1[[#This Row],[Vegetation type]])</f>
        <v>Aerenchymous</v>
      </c>
      <c r="K228" s="22" t="str">
        <f>IF(Table1[[#This Row],[Reference]]="N/A","",Table1[[#This Row],[Reference]])</f>
        <v>Hoffmann et al., 2009; Knox et al,. 2008</v>
      </c>
      <c r="L228" s="22" t="str">
        <f>IF(Table1[[#This Row],[Main source/flow path in]]="N/A","",Table1[[#This Row],[Main source/flow path in]])</f>
        <v>Drain discharge from upland</v>
      </c>
      <c r="M228" s="22" t="str">
        <f>IF(Table1[[#This Row],[Main source/flow path in (simple)]]="N/A","",Table1[[#This Row],[Main source/flow path in (simple)]])</f>
        <v>SWU</v>
      </c>
      <c r="N228" s="22" t="str">
        <f>IF(Table1[[#This Row],[Main flow paths in buffer]]="N/A","",Table1[[#This Row],[Main flow paths in buffer]])</f>
        <v>Direct surface runoff (natural)</v>
      </c>
      <c r="O228" s="22" t="str">
        <f>IF(Table1[[#This Row],[Inflow=&gt;Outflow]]="N/A","",Table1[[#This Row],[Inflow=&gt;Outflow]])</f>
        <v>SWU=&gt;SR</v>
      </c>
      <c r="P228" s="22">
        <f>IF(Table1[[#This Row],[Width '[m']]]="N/A","",Table1[[#This Row],[Width '[m']]])</f>
        <v>135</v>
      </c>
      <c r="Q228" s="22">
        <f>IF(Table1[[#This Row],[Area '[m²']]]="N/A","",Table1[[#This Row],[Area '[m²']]])</f>
        <v>2000</v>
      </c>
      <c r="R228" s="22" t="str">
        <f>IF(Table1[[#This Row],[Qin '[m³/yr']]]="N/A","",Table1[[#This Row],[Qin '[m³/yr']]])</f>
        <v/>
      </c>
      <c r="S228" s="22">
        <f>IF(Table1[[#This Row],[Catchment area '[ha']]]="N/A","",Table1[[#This Row],[Catchment area '[ha']]])</f>
        <v>6.1</v>
      </c>
      <c r="T228" s="22" t="str">
        <f>IF(Table1[[#This Row],[HLR '[mm']]]="N/A","",Table1[[#This Row],[HLR '[mm']]])</f>
        <v/>
      </c>
    </row>
    <row r="229" spans="1:20" hidden="1" x14ac:dyDescent="0.3">
      <c r="A229" s="22" t="str">
        <f>IF(Table1[[#This Row],[Country]]="N/A","",Table1[[#This Row],[Country]])</f>
        <v>USA</v>
      </c>
      <c r="B229" s="22" t="str">
        <f>IF(Table1[[#This Row],[Study site]]="N/A","",Table1[[#This Row],[Study site]])</f>
        <v>Sierra Nevada, CA, US</v>
      </c>
      <c r="C229" s="22" t="str">
        <f>IF(Table1[[#This Row],[WBZ-type]]="N/A","",Table1[[#This Row],[WBZ-type]])</f>
        <v>Riparian Wetland/Bank</v>
      </c>
      <c r="D229" s="22" t="str">
        <f>IF(Table1[[#This Row],[Nutrient]]="N/A","",Table1[[#This Row],[Nutrient]])</f>
        <v>total phosphorus</v>
      </c>
      <c r="E229" s="22">
        <f>IF(Table1[[#This Row],[Load (kg N, P/ha/yr)]]="N/A","",Table1[[#This Row],[Load (kg N, P/ha/yr)]])</f>
        <v>0</v>
      </c>
      <c r="F229" s="22">
        <f>IF(Table1[[#This Row],[Loss (kg N, P/ha/yr)]]="N/A","",Table1[[#This Row],[Loss (kg N, P/ha/yr)]])</f>
        <v>0</v>
      </c>
      <c r="G229" s="22">
        <f>IF(Table1[[#This Row],[Retention (kg N, P/ha/yr)]]="N/A","",Table1[[#This Row],[Retention (kg N, P/ha/yr)]])</f>
        <v>0</v>
      </c>
      <c r="H229" s="22">
        <f>IF(Table1[[#This Row],[Efficiency (%)]]="N/A","",Table1[[#This Row],[Efficiency (%)]])</f>
        <v>7.2000000000000011</v>
      </c>
      <c r="I229" s="22" t="str">
        <f>IF(Table1[[#This Row],[Organic/Mineral Soil]]="N/A","",Table1[[#This Row],[Organic/Mineral Soil]])</f>
        <v>Mineral</v>
      </c>
      <c r="J229" s="22" t="str">
        <f>IF(Table1[[#This Row],[Vegetation type]]="N/A","",Table1[[#This Row],[Vegetation type]])</f>
        <v>Aerenchymous</v>
      </c>
      <c r="K229" s="22" t="str">
        <f>IF(Table1[[#This Row],[Reference]]="N/A","",Table1[[#This Row],[Reference]])</f>
        <v>Hoffmann et al., 2009; Knox et al,. 2008</v>
      </c>
      <c r="L229" s="22" t="str">
        <f>IF(Table1[[#This Row],[Main source/flow path in]]="N/A","",Table1[[#This Row],[Main source/flow path in]])</f>
        <v>Drain discharge from upland</v>
      </c>
      <c r="M229" s="22" t="str">
        <f>IF(Table1[[#This Row],[Main source/flow path in (simple)]]="N/A","",Table1[[#This Row],[Main source/flow path in (simple)]])</f>
        <v>SWU</v>
      </c>
      <c r="N229" s="22" t="str">
        <f>IF(Table1[[#This Row],[Main flow paths in buffer]]="N/A","",Table1[[#This Row],[Main flow paths in buffer]])</f>
        <v>Direct surface runoff (channelized)</v>
      </c>
      <c r="O229" s="22" t="str">
        <f>IF(Table1[[#This Row],[Inflow=&gt;Outflow]]="N/A","",Table1[[#This Row],[Inflow=&gt;Outflow]])</f>
        <v>SWU=&gt;SR</v>
      </c>
      <c r="P229" s="22">
        <f>IF(Table1[[#This Row],[Width '[m']]]="N/A","",Table1[[#This Row],[Width '[m']]])</f>
        <v>115</v>
      </c>
      <c r="Q229" s="22">
        <f>IF(Table1[[#This Row],[Area '[m²']]]="N/A","",Table1[[#This Row],[Area '[m²']]])</f>
        <v>2000</v>
      </c>
      <c r="R229" s="22" t="str">
        <f>IF(Table1[[#This Row],[Qin '[m³/yr']]]="N/A","",Table1[[#This Row],[Qin '[m³/yr']]])</f>
        <v/>
      </c>
      <c r="S229" s="22">
        <f>IF(Table1[[#This Row],[Catchment area '[ha']]]="N/A","",Table1[[#This Row],[Catchment area '[ha']]])</f>
        <v>9.3000000000000007</v>
      </c>
      <c r="T229" s="22" t="str">
        <f>IF(Table1[[#This Row],[HLR '[mm']]]="N/A","",Table1[[#This Row],[HLR '[mm']]])</f>
        <v/>
      </c>
    </row>
    <row r="230" spans="1:20" hidden="1" x14ac:dyDescent="0.3">
      <c r="A230" s="22" t="str">
        <f>IF(Table1[[#This Row],[Country]]="N/A","",Table1[[#This Row],[Country]])</f>
        <v>USA</v>
      </c>
      <c r="B230" s="22" t="str">
        <f>IF(Table1[[#This Row],[Study site]]="N/A","",Table1[[#This Row],[Study site]])</f>
        <v>Sierra Nevada, CA, US</v>
      </c>
      <c r="C230" s="22" t="str">
        <f>IF(Table1[[#This Row],[WBZ-type]]="N/A","",Table1[[#This Row],[WBZ-type]])</f>
        <v>Riparian Wetland/Bank</v>
      </c>
      <c r="D230" s="22" t="str">
        <f>IF(Table1[[#This Row],[Nutrient]]="N/A","",Table1[[#This Row],[Nutrient]])</f>
        <v>SRP</v>
      </c>
      <c r="E230" s="22">
        <f>IF(Table1[[#This Row],[Load (kg N, P/ha/yr)]]="N/A","",Table1[[#This Row],[Load (kg N, P/ha/yr)]])</f>
        <v>0</v>
      </c>
      <c r="F230" s="22">
        <f>IF(Table1[[#This Row],[Loss (kg N, P/ha/yr)]]="N/A","",Table1[[#This Row],[Loss (kg N, P/ha/yr)]])</f>
        <v>0</v>
      </c>
      <c r="G230" s="22">
        <f>IF(Table1[[#This Row],[Retention (kg N, P/ha/yr)]]="N/A","",Table1[[#This Row],[Retention (kg N, P/ha/yr)]])</f>
        <v>0</v>
      </c>
      <c r="H230" s="22">
        <f>IF(Table1[[#This Row],[Efficiency (%)]]="N/A","",Table1[[#This Row],[Efficiency (%)]])</f>
        <v>10.8</v>
      </c>
      <c r="I230" s="22" t="str">
        <f>IF(Table1[[#This Row],[Organic/Mineral Soil]]="N/A","",Table1[[#This Row],[Organic/Mineral Soil]])</f>
        <v>Mineral</v>
      </c>
      <c r="J230" s="22" t="str">
        <f>IF(Table1[[#This Row],[Vegetation type]]="N/A","",Table1[[#This Row],[Vegetation type]])</f>
        <v>Aerenchymous</v>
      </c>
      <c r="K230" s="22" t="str">
        <f>IF(Table1[[#This Row],[Reference]]="N/A","",Table1[[#This Row],[Reference]])</f>
        <v>Hoffmann et al., 2009; Knox et al,. 2008</v>
      </c>
      <c r="L230" s="22" t="str">
        <f>IF(Table1[[#This Row],[Main source/flow path in]]="N/A","",Table1[[#This Row],[Main source/flow path in]])</f>
        <v>Drain discharge from upland</v>
      </c>
      <c r="M230" s="22" t="str">
        <f>IF(Table1[[#This Row],[Main source/flow path in (simple)]]="N/A","",Table1[[#This Row],[Main source/flow path in (simple)]])</f>
        <v>SWU</v>
      </c>
      <c r="N230" s="22" t="str">
        <f>IF(Table1[[#This Row],[Main flow paths in buffer]]="N/A","",Table1[[#This Row],[Main flow paths in buffer]])</f>
        <v>Direct surface runoff (channelized)</v>
      </c>
      <c r="O230" s="22" t="str">
        <f>IF(Table1[[#This Row],[Inflow=&gt;Outflow]]="N/A","",Table1[[#This Row],[Inflow=&gt;Outflow]])</f>
        <v>SWU=&gt;SR</v>
      </c>
      <c r="P230" s="22">
        <f>IF(Table1[[#This Row],[Width '[m']]]="N/A","",Table1[[#This Row],[Width '[m']]])</f>
        <v>115</v>
      </c>
      <c r="Q230" s="22">
        <f>IF(Table1[[#This Row],[Area '[m²']]]="N/A","",Table1[[#This Row],[Area '[m²']]])</f>
        <v>2000</v>
      </c>
      <c r="R230" s="22" t="str">
        <f>IF(Table1[[#This Row],[Qin '[m³/yr']]]="N/A","",Table1[[#This Row],[Qin '[m³/yr']]])</f>
        <v/>
      </c>
      <c r="S230" s="22">
        <f>IF(Table1[[#This Row],[Catchment area '[ha']]]="N/A","",Table1[[#This Row],[Catchment area '[ha']]])</f>
        <v>9.3000000000000007</v>
      </c>
      <c r="T230" s="22" t="str">
        <f>IF(Table1[[#This Row],[HLR '[mm']]]="N/A","",Table1[[#This Row],[HLR '[mm']]])</f>
        <v/>
      </c>
    </row>
    <row r="231" spans="1:20" hidden="1" x14ac:dyDescent="0.3">
      <c r="A231" s="22" t="str">
        <f>IF(Table1[[#This Row],[Country]]="N/A","",Table1[[#This Row],[Country]])</f>
        <v>USA</v>
      </c>
      <c r="B231" s="22" t="str">
        <f>IF(Table1[[#This Row],[Study site]]="N/A","",Table1[[#This Row],[Study site]])</f>
        <v>Sierra Nevada, CA, US</v>
      </c>
      <c r="C231" s="22" t="str">
        <f>IF(Table1[[#This Row],[WBZ-type]]="N/A","",Table1[[#This Row],[WBZ-type]])</f>
        <v>Riparian Wetland/Bank</v>
      </c>
      <c r="D231" s="22" t="str">
        <f>IF(Table1[[#This Row],[Nutrient]]="N/A","",Table1[[#This Row],[Nutrient]])</f>
        <v>nitrate</v>
      </c>
      <c r="E231" s="22">
        <f>IF(Table1[[#This Row],[Load (kg N, P/ha/yr)]]="N/A","",Table1[[#This Row],[Load (kg N, P/ha/yr)]])</f>
        <v>0</v>
      </c>
      <c r="F231" s="22">
        <f>IF(Table1[[#This Row],[Loss (kg N, P/ha/yr)]]="N/A","",Table1[[#This Row],[Loss (kg N, P/ha/yr)]])</f>
        <v>0</v>
      </c>
      <c r="G231" s="22">
        <f>IF(Table1[[#This Row],[Retention (kg N, P/ha/yr)]]="N/A","",Table1[[#This Row],[Retention (kg N, P/ha/yr)]])</f>
        <v>0</v>
      </c>
      <c r="H231" s="22">
        <f>IF(Table1[[#This Row],[Efficiency (%)]]="N/A","",Table1[[#This Row],[Efficiency (%)]])</f>
        <v>-31.2</v>
      </c>
      <c r="I231" s="22" t="str">
        <f>IF(Table1[[#This Row],[Organic/Mineral Soil]]="N/A","",Table1[[#This Row],[Organic/Mineral Soil]])</f>
        <v>Mineral</v>
      </c>
      <c r="J231" s="22" t="str">
        <f>IF(Table1[[#This Row],[Vegetation type]]="N/A","",Table1[[#This Row],[Vegetation type]])</f>
        <v>Aerenchymous</v>
      </c>
      <c r="K231" s="22" t="str">
        <f>IF(Table1[[#This Row],[Reference]]="N/A","",Table1[[#This Row],[Reference]])</f>
        <v>Hoffmann et al., 2009; Knox et al,. 2008</v>
      </c>
      <c r="L231" s="22" t="str">
        <f>IF(Table1[[#This Row],[Main source/flow path in]]="N/A","",Table1[[#This Row],[Main source/flow path in]])</f>
        <v>Drain discharge from upland</v>
      </c>
      <c r="M231" s="22" t="str">
        <f>IF(Table1[[#This Row],[Main source/flow path in (simple)]]="N/A","",Table1[[#This Row],[Main source/flow path in (simple)]])</f>
        <v>SWU</v>
      </c>
      <c r="N231" s="22" t="str">
        <f>IF(Table1[[#This Row],[Main flow paths in buffer]]="N/A","",Table1[[#This Row],[Main flow paths in buffer]])</f>
        <v>Direct surface runoff (channelized)</v>
      </c>
      <c r="O231" s="22" t="str">
        <f>IF(Table1[[#This Row],[Inflow=&gt;Outflow]]="N/A","",Table1[[#This Row],[Inflow=&gt;Outflow]])</f>
        <v>SWU=&gt;SR</v>
      </c>
      <c r="P231" s="22">
        <f>IF(Table1[[#This Row],[Width '[m']]]="N/A","",Table1[[#This Row],[Width '[m']]])</f>
        <v>115</v>
      </c>
      <c r="Q231" s="22">
        <f>IF(Table1[[#This Row],[Area '[m²']]]="N/A","",Table1[[#This Row],[Area '[m²']]])</f>
        <v>2000</v>
      </c>
      <c r="R231" s="22" t="str">
        <f>IF(Table1[[#This Row],[Qin '[m³/yr']]]="N/A","",Table1[[#This Row],[Qin '[m³/yr']]])</f>
        <v/>
      </c>
      <c r="S231" s="22">
        <f>IF(Table1[[#This Row],[Catchment area '[ha']]]="N/A","",Table1[[#This Row],[Catchment area '[ha']]])</f>
        <v>9.3000000000000007</v>
      </c>
      <c r="T231" s="22" t="str">
        <f>IF(Table1[[#This Row],[HLR '[mm']]]="N/A","",Table1[[#This Row],[HLR '[mm']]])</f>
        <v/>
      </c>
    </row>
    <row r="232" spans="1:20" x14ac:dyDescent="0.3">
      <c r="A232" s="22" t="str">
        <f>IF(Table1[[#This Row],[Country]]="N/A","",Table1[[#This Row],[Country]])</f>
        <v>USA</v>
      </c>
      <c r="B232" s="22" t="str">
        <f>IF(Table1[[#This Row],[Study site]]="N/A","",Table1[[#This Row],[Study site]])</f>
        <v>Sierra Nevada, CA, US</v>
      </c>
      <c r="C232" s="22" t="str">
        <f>IF(Table1[[#This Row],[WBZ-type]]="N/A","",Table1[[#This Row],[WBZ-type]])</f>
        <v>Riparian Wetland/Bank</v>
      </c>
      <c r="D232" s="22" t="str">
        <f>IF(Table1[[#This Row],[Nutrient]]="N/A","",Table1[[#This Row],[Nutrient]])</f>
        <v>total nitrogen</v>
      </c>
      <c r="E232" s="22">
        <f>IF(Table1[[#This Row],[Load (kg N, P/ha/yr)]]="N/A","",Table1[[#This Row],[Load (kg N, P/ha/yr)]])</f>
        <v>0</v>
      </c>
      <c r="F232" s="22">
        <f>IF(Table1[[#This Row],[Loss (kg N, P/ha/yr)]]="N/A","",Table1[[#This Row],[Loss (kg N, P/ha/yr)]])</f>
        <v>0</v>
      </c>
      <c r="G232" s="22">
        <f>IF(Table1[[#This Row],[Retention (kg N, P/ha/yr)]]="N/A","",Table1[[#This Row],[Retention (kg N, P/ha/yr)]])</f>
        <v>0</v>
      </c>
      <c r="H232" s="22">
        <f>IF(Table1[[#This Row],[Efficiency (%)]]="N/A","",Table1[[#This Row],[Efficiency (%)]])</f>
        <v>3.2</v>
      </c>
      <c r="I232" s="22" t="str">
        <f>IF(Table1[[#This Row],[Organic/Mineral Soil]]="N/A","",Table1[[#This Row],[Organic/Mineral Soil]])</f>
        <v>Mineral</v>
      </c>
      <c r="J232" s="22" t="str">
        <f>IF(Table1[[#This Row],[Vegetation type]]="N/A","",Table1[[#This Row],[Vegetation type]])</f>
        <v>Aerenchymous</v>
      </c>
      <c r="K232" s="22" t="str">
        <f>IF(Table1[[#This Row],[Reference]]="N/A","",Table1[[#This Row],[Reference]])</f>
        <v>Hoffmann et al., 2009; Knox et al,. 2008</v>
      </c>
      <c r="L232" s="22" t="str">
        <f>IF(Table1[[#This Row],[Main source/flow path in]]="N/A","",Table1[[#This Row],[Main source/flow path in]])</f>
        <v>Drain discharge from upland</v>
      </c>
      <c r="M232" s="22" t="str">
        <f>IF(Table1[[#This Row],[Main source/flow path in (simple)]]="N/A","",Table1[[#This Row],[Main source/flow path in (simple)]])</f>
        <v>SWU</v>
      </c>
      <c r="N232" s="22" t="str">
        <f>IF(Table1[[#This Row],[Main flow paths in buffer]]="N/A","",Table1[[#This Row],[Main flow paths in buffer]])</f>
        <v>Direct surface runoff (channelized)</v>
      </c>
      <c r="O232" s="22" t="str">
        <f>IF(Table1[[#This Row],[Inflow=&gt;Outflow]]="N/A","",Table1[[#This Row],[Inflow=&gt;Outflow]])</f>
        <v>SWU=&gt;SR</v>
      </c>
      <c r="P232" s="22">
        <f>IF(Table1[[#This Row],[Width '[m']]]="N/A","",Table1[[#This Row],[Width '[m']]])</f>
        <v>115</v>
      </c>
      <c r="Q232" s="22">
        <f>IF(Table1[[#This Row],[Area '[m²']]]="N/A","",Table1[[#This Row],[Area '[m²']]])</f>
        <v>2000</v>
      </c>
      <c r="R232" s="22" t="str">
        <f>IF(Table1[[#This Row],[Qin '[m³/yr']]]="N/A","",Table1[[#This Row],[Qin '[m³/yr']]])</f>
        <v/>
      </c>
      <c r="S232" s="22">
        <f>IF(Table1[[#This Row],[Catchment area '[ha']]]="N/A","",Table1[[#This Row],[Catchment area '[ha']]])</f>
        <v>9.3000000000000007</v>
      </c>
      <c r="T232" s="22" t="str">
        <f>IF(Table1[[#This Row],[HLR '[mm']]]="N/A","",Table1[[#This Row],[HLR '[mm']]])</f>
        <v/>
      </c>
    </row>
    <row r="233" spans="1:20" hidden="1" x14ac:dyDescent="0.3">
      <c r="A233" s="22" t="str">
        <f>IF(Table1[[#This Row],[Country]]="N/A","",Table1[[#This Row],[Country]])</f>
        <v>USA</v>
      </c>
      <c r="B233" s="22" t="str">
        <f>IF(Table1[[#This Row],[Study site]]="N/A","",Table1[[#This Row],[Study site]])</f>
        <v>Wetland A, Ohio, US</v>
      </c>
      <c r="C233" s="22" t="str">
        <f>IF(Table1[[#This Row],[WBZ-type]]="N/A","",Table1[[#This Row],[WBZ-type]])</f>
        <v>Riparian Wetland/Bank</v>
      </c>
      <c r="D233" s="22" t="str">
        <f>IF(Table1[[#This Row],[Nutrient]]="N/A","",Table1[[#This Row],[Nutrient]])</f>
        <v>nitrate</v>
      </c>
      <c r="E233" s="22">
        <f>IF(Table1[[#This Row],[Load (kg N, P/ha/yr)]]="N/A","",Table1[[#This Row],[Load (kg N, P/ha/yr)]])</f>
        <v>1038.8888888888889</v>
      </c>
      <c r="F233" s="22">
        <f>IF(Table1[[#This Row],[Loss (kg N, P/ha/yr)]]="N/A","",Table1[[#This Row],[Loss (kg N, P/ha/yr)]])</f>
        <v>616.66666666666663</v>
      </c>
      <c r="G233" s="22">
        <f>IF(Table1[[#This Row],[Retention (kg N, P/ha/yr)]]="N/A","",Table1[[#This Row],[Retention (kg N, P/ha/yr)]])</f>
        <v>422.22222222222229</v>
      </c>
      <c r="H233" s="22">
        <f>IF(Table1[[#This Row],[Efficiency (%)]]="N/A","",Table1[[#This Row],[Efficiency (%)]])</f>
        <v>40.64171122994653</v>
      </c>
      <c r="I233" s="22" t="str">
        <f>IF(Table1[[#This Row],[Organic/Mineral Soil]]="N/A","",Table1[[#This Row],[Organic/Mineral Soil]])</f>
        <v>Mineral</v>
      </c>
      <c r="J233" s="22" t="str">
        <f>IF(Table1[[#This Row],[Vegetation type]]="N/A","",Table1[[#This Row],[Vegetation type]])</f>
        <v>Herbaceous</v>
      </c>
      <c r="K233" s="22" t="str">
        <f>IF(Table1[[#This Row],[Reference]]="N/A","",Table1[[#This Row],[Reference]])</f>
        <v>Kovacic et al., 2000; Mitsch et al., 2014</v>
      </c>
      <c r="L233" s="22" t="str">
        <f>IF(Table1[[#This Row],[Main source/flow path in]]="N/A","",Table1[[#This Row],[Main source/flow path in]])</f>
        <v>Drain discharge from upland</v>
      </c>
      <c r="M233" s="22" t="str">
        <f>IF(Table1[[#This Row],[Main source/flow path in (simple)]]="N/A","",Table1[[#This Row],[Main source/flow path in (simple)]])</f>
        <v>SWU</v>
      </c>
      <c r="N233" s="22" t="str">
        <f>IF(Table1[[#This Row],[Main flow paths in buffer]]="N/A","",Table1[[#This Row],[Main flow paths in buffer]])</f>
        <v>Direct surface runoff and infiltration to groundwater</v>
      </c>
      <c r="O233" s="22" t="str">
        <f>IF(Table1[[#This Row],[Inflow=&gt;Outflow]]="N/A","",Table1[[#This Row],[Inflow=&gt;Outflow]])</f>
        <v>SWU=&gt;SR</v>
      </c>
      <c r="P233" s="22" t="str">
        <f>IF(Table1[[#This Row],[Width '[m']]]="N/A","",Table1[[#This Row],[Width '[m']]])</f>
        <v/>
      </c>
      <c r="Q233" s="22">
        <f>IF(Table1[[#This Row],[Area '[m²']]]="N/A","",Table1[[#This Row],[Area '[m²']]])</f>
        <v>6000</v>
      </c>
      <c r="R233" s="22">
        <f>IF(Table1[[#This Row],[Qin '[m³/yr']]]="N/A","",Table1[[#This Row],[Qin '[m³/yr']]])</f>
        <v>47233.333333333336</v>
      </c>
      <c r="S233" s="22">
        <f>IF(Table1[[#This Row],[Catchment area '[ha']]]="N/A","",Table1[[#This Row],[Catchment area '[ha']]])</f>
        <v>15</v>
      </c>
      <c r="T233" s="22">
        <f>IF(Table1[[#This Row],[HLR '[mm']]]="N/A","",Table1[[#This Row],[HLR '[mm']]])</f>
        <v>7872.2222222222226</v>
      </c>
    </row>
    <row r="234" spans="1:20" hidden="1" x14ac:dyDescent="0.3">
      <c r="A234" s="22" t="str">
        <f>IF(Table1[[#This Row],[Country]]="N/A","",Table1[[#This Row],[Country]])</f>
        <v>USA</v>
      </c>
      <c r="B234" s="22" t="str">
        <f>IF(Table1[[#This Row],[Study site]]="N/A","",Table1[[#This Row],[Study site]])</f>
        <v>Wetland A, Ohio, US</v>
      </c>
      <c r="C234" s="22" t="str">
        <f>IF(Table1[[#This Row],[WBZ-type]]="N/A","",Table1[[#This Row],[WBZ-type]])</f>
        <v>Riparian Wetland/Bank</v>
      </c>
      <c r="D234" s="22" t="str">
        <f>IF(Table1[[#This Row],[Nutrient]]="N/A","",Table1[[#This Row],[Nutrient]])</f>
        <v>ammonium</v>
      </c>
      <c r="E234" s="22">
        <f>IF(Table1[[#This Row],[Load (kg N, P/ha/yr)]]="N/A","",Table1[[#This Row],[Load (kg N, P/ha/yr)]])</f>
        <v>80.666666666666657</v>
      </c>
      <c r="F234" s="22">
        <f>IF(Table1[[#This Row],[Loss (kg N, P/ha/yr)]]="N/A","",Table1[[#This Row],[Loss (kg N, P/ha/yr)]])</f>
        <v>37.44444444444445</v>
      </c>
      <c r="G234" s="22">
        <f>IF(Table1[[#This Row],[Retention (kg N, P/ha/yr)]]="N/A","",Table1[[#This Row],[Retention (kg N, P/ha/yr)]])</f>
        <v>43.222222222222207</v>
      </c>
      <c r="H234" s="22">
        <f>IF(Table1[[#This Row],[Efficiency (%)]]="N/A","",Table1[[#This Row],[Efficiency (%)]])</f>
        <v>53.581267217630845</v>
      </c>
      <c r="I234" s="22" t="str">
        <f>IF(Table1[[#This Row],[Organic/Mineral Soil]]="N/A","",Table1[[#This Row],[Organic/Mineral Soil]])</f>
        <v>Mineral</v>
      </c>
      <c r="J234" s="22" t="str">
        <f>IF(Table1[[#This Row],[Vegetation type]]="N/A","",Table1[[#This Row],[Vegetation type]])</f>
        <v>Herbaceous</v>
      </c>
      <c r="K234" s="22" t="str">
        <f>IF(Table1[[#This Row],[Reference]]="N/A","",Table1[[#This Row],[Reference]])</f>
        <v>Kovacic et al., 2000; Mitsch et al., 2014</v>
      </c>
      <c r="L234" s="22" t="str">
        <f>IF(Table1[[#This Row],[Main source/flow path in]]="N/A","",Table1[[#This Row],[Main source/flow path in]])</f>
        <v>Drain discharge from upland</v>
      </c>
      <c r="M234" s="22" t="str">
        <f>IF(Table1[[#This Row],[Main source/flow path in (simple)]]="N/A","",Table1[[#This Row],[Main source/flow path in (simple)]])</f>
        <v>SWU</v>
      </c>
      <c r="N234" s="22" t="str">
        <f>IF(Table1[[#This Row],[Main flow paths in buffer]]="N/A","",Table1[[#This Row],[Main flow paths in buffer]])</f>
        <v>Direct surface runoff and infiltration to groundwater</v>
      </c>
      <c r="O234" s="22" t="str">
        <f>IF(Table1[[#This Row],[Inflow=&gt;Outflow]]="N/A","",Table1[[#This Row],[Inflow=&gt;Outflow]])</f>
        <v>SWU=&gt;SR</v>
      </c>
      <c r="P234" s="22" t="str">
        <f>IF(Table1[[#This Row],[Width '[m']]]="N/A","",Table1[[#This Row],[Width '[m']]])</f>
        <v/>
      </c>
      <c r="Q234" s="22">
        <f>IF(Table1[[#This Row],[Area '[m²']]]="N/A","",Table1[[#This Row],[Area '[m²']]])</f>
        <v>6000</v>
      </c>
      <c r="R234" s="22">
        <f>IF(Table1[[#This Row],[Qin '[m³/yr']]]="N/A","",Table1[[#This Row],[Qin '[m³/yr']]])</f>
        <v>47233.333333333336</v>
      </c>
      <c r="S234" s="22">
        <f>IF(Table1[[#This Row],[Catchment area '[ha']]]="N/A","",Table1[[#This Row],[Catchment area '[ha']]])</f>
        <v>15</v>
      </c>
      <c r="T234" s="22">
        <f>IF(Table1[[#This Row],[HLR '[mm']]]="N/A","",Table1[[#This Row],[HLR '[mm']]])</f>
        <v>7872.2222222222226</v>
      </c>
    </row>
    <row r="235" spans="1:20" hidden="1" x14ac:dyDescent="0.3">
      <c r="A235" s="22" t="str">
        <f>IF(Table1[[#This Row],[Country]]="N/A","",Table1[[#This Row],[Country]])</f>
        <v>USA</v>
      </c>
      <c r="B235" s="22" t="str">
        <f>IF(Table1[[#This Row],[Study site]]="N/A","",Table1[[#This Row],[Study site]])</f>
        <v>Wetland A, Ohio, US</v>
      </c>
      <c r="C235" s="22" t="str">
        <f>IF(Table1[[#This Row],[WBZ-type]]="N/A","",Table1[[#This Row],[WBZ-type]])</f>
        <v>Riparian Wetland/Bank</v>
      </c>
      <c r="D235" s="22" t="str">
        <f>IF(Table1[[#This Row],[Nutrient]]="N/A","",Table1[[#This Row],[Nutrient]])</f>
        <v>dissolved organic nitrogen</v>
      </c>
      <c r="E235" s="22">
        <f>IF(Table1[[#This Row],[Load (kg N, P/ha/yr)]]="N/A","",Table1[[#This Row],[Load (kg N, P/ha/yr)]])</f>
        <v>0</v>
      </c>
      <c r="F235" s="22">
        <f>IF(Table1[[#This Row],[Loss (kg N, P/ha/yr)]]="N/A","",Table1[[#This Row],[Loss (kg N, P/ha/yr)]])</f>
        <v>14.444444444444445</v>
      </c>
      <c r="G235" s="22">
        <f>IF(Table1[[#This Row],[Retention (kg N, P/ha/yr)]]="N/A","",Table1[[#This Row],[Retention (kg N, P/ha/yr)]])</f>
        <v>-14.444444444444445</v>
      </c>
      <c r="H235" s="22" t="str">
        <f>IF(Table1[[#This Row],[Efficiency (%)]]="N/A","",Table1[[#This Row],[Efficiency (%)]])</f>
        <v>-</v>
      </c>
      <c r="I235" s="22" t="str">
        <f>IF(Table1[[#This Row],[Organic/Mineral Soil]]="N/A","",Table1[[#This Row],[Organic/Mineral Soil]])</f>
        <v>Mineral</v>
      </c>
      <c r="J235" s="22" t="str">
        <f>IF(Table1[[#This Row],[Vegetation type]]="N/A","",Table1[[#This Row],[Vegetation type]])</f>
        <v>Herbaceous</v>
      </c>
      <c r="K235" s="22" t="str">
        <f>IF(Table1[[#This Row],[Reference]]="N/A","",Table1[[#This Row],[Reference]])</f>
        <v>Kovacic et al., 2000; Mitsch et al., 2014</v>
      </c>
      <c r="L235" s="22" t="str">
        <f>IF(Table1[[#This Row],[Main source/flow path in]]="N/A","",Table1[[#This Row],[Main source/flow path in]])</f>
        <v>Drain discharge from upland</v>
      </c>
      <c r="M235" s="22" t="str">
        <f>IF(Table1[[#This Row],[Main source/flow path in (simple)]]="N/A","",Table1[[#This Row],[Main source/flow path in (simple)]])</f>
        <v>SWU</v>
      </c>
      <c r="N235" s="22" t="str">
        <f>IF(Table1[[#This Row],[Main flow paths in buffer]]="N/A","",Table1[[#This Row],[Main flow paths in buffer]])</f>
        <v>Direct surface runoff and infiltration to groundwater</v>
      </c>
      <c r="O235" s="22" t="str">
        <f>IF(Table1[[#This Row],[Inflow=&gt;Outflow]]="N/A","",Table1[[#This Row],[Inflow=&gt;Outflow]])</f>
        <v>SWU=&gt;SR</v>
      </c>
      <c r="P235" s="22" t="str">
        <f>IF(Table1[[#This Row],[Width '[m']]]="N/A","",Table1[[#This Row],[Width '[m']]])</f>
        <v/>
      </c>
      <c r="Q235" s="22">
        <f>IF(Table1[[#This Row],[Area '[m²']]]="N/A","",Table1[[#This Row],[Area '[m²']]])</f>
        <v>6000</v>
      </c>
      <c r="R235" s="22">
        <f>IF(Table1[[#This Row],[Qin '[m³/yr']]]="N/A","",Table1[[#This Row],[Qin '[m³/yr']]])</f>
        <v>47233.333333333336</v>
      </c>
      <c r="S235" s="22">
        <f>IF(Table1[[#This Row],[Catchment area '[ha']]]="N/A","",Table1[[#This Row],[Catchment area '[ha']]])</f>
        <v>15</v>
      </c>
      <c r="T235" s="22">
        <f>IF(Table1[[#This Row],[HLR '[mm']]]="N/A","",Table1[[#This Row],[HLR '[mm']]])</f>
        <v>7872.2222222222226</v>
      </c>
    </row>
    <row r="236" spans="1:20" x14ac:dyDescent="0.3">
      <c r="A236" s="22" t="str">
        <f>IF(Table1[[#This Row],[Country]]="N/A","",Table1[[#This Row],[Country]])</f>
        <v>USA</v>
      </c>
      <c r="B236" s="22" t="str">
        <f>IF(Table1[[#This Row],[Study site]]="N/A","",Table1[[#This Row],[Study site]])</f>
        <v>Wetland A, Ohio, US</v>
      </c>
      <c r="C236" s="22" t="str">
        <f>IF(Table1[[#This Row],[WBZ-type]]="N/A","",Table1[[#This Row],[WBZ-type]])</f>
        <v>Riparian Wetland/Bank</v>
      </c>
      <c r="D236" s="22" t="str">
        <f>IF(Table1[[#This Row],[Nutrient]]="N/A","",Table1[[#This Row],[Nutrient]])</f>
        <v>total nitrogen</v>
      </c>
      <c r="E236" s="22">
        <f>IF(Table1[[#This Row],[Load (kg N, P/ha/yr)]]="N/A","",Table1[[#This Row],[Load (kg N, P/ha/yr)]])</f>
        <v>1120</v>
      </c>
      <c r="F236" s="22">
        <f>IF(Table1[[#This Row],[Loss (kg N, P/ha/yr)]]="N/A","",Table1[[#This Row],[Loss (kg N, P/ha/yr)]])</f>
        <v>668.33333333333326</v>
      </c>
      <c r="G236" s="22">
        <f>IF(Table1[[#This Row],[Retention (kg N, P/ha/yr)]]="N/A","",Table1[[#This Row],[Retention (kg N, P/ha/yr)]])</f>
        <v>451.66666666666674</v>
      </c>
      <c r="H236" s="22">
        <f>IF(Table1[[#This Row],[Efficiency (%)]]="N/A","",Table1[[#This Row],[Efficiency (%)]])</f>
        <v>40.327380952380956</v>
      </c>
      <c r="I236" s="22" t="str">
        <f>IF(Table1[[#This Row],[Organic/Mineral Soil]]="N/A","",Table1[[#This Row],[Organic/Mineral Soil]])</f>
        <v>Mineral</v>
      </c>
      <c r="J236" s="22" t="str">
        <f>IF(Table1[[#This Row],[Vegetation type]]="N/A","",Table1[[#This Row],[Vegetation type]])</f>
        <v>Herbaceous</v>
      </c>
      <c r="K236" s="22" t="str">
        <f>IF(Table1[[#This Row],[Reference]]="N/A","",Table1[[#This Row],[Reference]])</f>
        <v>Kovacic et al., 2000; Mitsch et al., 2014</v>
      </c>
      <c r="L236" s="22" t="str">
        <f>IF(Table1[[#This Row],[Main source/flow path in]]="N/A","",Table1[[#This Row],[Main source/flow path in]])</f>
        <v>Drain discharge from upland</v>
      </c>
      <c r="M236" s="22" t="str">
        <f>IF(Table1[[#This Row],[Main source/flow path in (simple)]]="N/A","",Table1[[#This Row],[Main source/flow path in (simple)]])</f>
        <v>SWU</v>
      </c>
      <c r="N236" s="22" t="str">
        <f>IF(Table1[[#This Row],[Main flow paths in buffer]]="N/A","",Table1[[#This Row],[Main flow paths in buffer]])</f>
        <v>Direct surface runoff and infiltration to groundwater</v>
      </c>
      <c r="O236" s="22" t="str">
        <f>IF(Table1[[#This Row],[Inflow=&gt;Outflow]]="N/A","",Table1[[#This Row],[Inflow=&gt;Outflow]])</f>
        <v>SWU=&gt;SR</v>
      </c>
      <c r="P236" s="22" t="str">
        <f>IF(Table1[[#This Row],[Width '[m']]]="N/A","",Table1[[#This Row],[Width '[m']]])</f>
        <v/>
      </c>
      <c r="Q236" s="22">
        <f>IF(Table1[[#This Row],[Area '[m²']]]="N/A","",Table1[[#This Row],[Area '[m²']]])</f>
        <v>6000</v>
      </c>
      <c r="R236" s="22">
        <f>IF(Table1[[#This Row],[Qin '[m³/yr']]]="N/A","",Table1[[#This Row],[Qin '[m³/yr']]])</f>
        <v>47233.333333333336</v>
      </c>
      <c r="S236" s="22">
        <f>IF(Table1[[#This Row],[Catchment area '[ha']]]="N/A","",Table1[[#This Row],[Catchment area '[ha']]])</f>
        <v>15</v>
      </c>
      <c r="T236" s="22">
        <f>IF(Table1[[#This Row],[HLR '[mm']]]="N/A","",Table1[[#This Row],[HLR '[mm']]])</f>
        <v>7872.2222222222226</v>
      </c>
    </row>
    <row r="237" spans="1:20" hidden="1" x14ac:dyDescent="0.3">
      <c r="A237" s="22" t="str">
        <f>IF(Table1[[#This Row],[Country]]="N/A","",Table1[[#This Row],[Country]])</f>
        <v>USA</v>
      </c>
      <c r="B237" s="22" t="str">
        <f>IF(Table1[[#This Row],[Study site]]="N/A","",Table1[[#This Row],[Study site]])</f>
        <v>Wetland A, Ohio, US</v>
      </c>
      <c r="C237" s="22" t="str">
        <f>IF(Table1[[#This Row],[WBZ-type]]="N/A","",Table1[[#This Row],[WBZ-type]])</f>
        <v>Riparian Wetland/Bank</v>
      </c>
      <c r="D237" s="22" t="str">
        <f>IF(Table1[[#This Row],[Nutrient]]="N/A","",Table1[[#This Row],[Nutrient]])</f>
        <v>SRP</v>
      </c>
      <c r="E237" s="22">
        <f>IF(Table1[[#This Row],[Load (kg N, P/ha/yr)]]="N/A","",Table1[[#This Row],[Load (kg N, P/ha/yr)]])</f>
        <v>16.833333333333332</v>
      </c>
      <c r="F237" s="22">
        <f>IF(Table1[[#This Row],[Loss (kg N, P/ha/yr)]]="N/A","",Table1[[#This Row],[Loss (kg N, P/ha/yr)]])</f>
        <v>11.388888888888889</v>
      </c>
      <c r="G237" s="22">
        <f>IF(Table1[[#This Row],[Retention (kg N, P/ha/yr)]]="N/A","",Table1[[#This Row],[Retention (kg N, P/ha/yr)]])</f>
        <v>5.4444444444444429</v>
      </c>
      <c r="H237" s="22">
        <f>IF(Table1[[#This Row],[Efficiency (%)]]="N/A","",Table1[[#This Row],[Efficiency (%)]])</f>
        <v>32.343234323432334</v>
      </c>
      <c r="I237" s="22" t="str">
        <f>IF(Table1[[#This Row],[Organic/Mineral Soil]]="N/A","",Table1[[#This Row],[Organic/Mineral Soil]])</f>
        <v>Mineral</v>
      </c>
      <c r="J237" s="22" t="str">
        <f>IF(Table1[[#This Row],[Vegetation type]]="N/A","",Table1[[#This Row],[Vegetation type]])</f>
        <v>Herbaceous</v>
      </c>
      <c r="K237" s="22" t="str">
        <f>IF(Table1[[#This Row],[Reference]]="N/A","",Table1[[#This Row],[Reference]])</f>
        <v>Kovacic et al., 2000; Mitsch et al., 2014</v>
      </c>
      <c r="L237" s="22" t="str">
        <f>IF(Table1[[#This Row],[Main source/flow path in]]="N/A","",Table1[[#This Row],[Main source/flow path in]])</f>
        <v>Drain discharge from upland</v>
      </c>
      <c r="M237" s="22" t="str">
        <f>IF(Table1[[#This Row],[Main source/flow path in (simple)]]="N/A","",Table1[[#This Row],[Main source/flow path in (simple)]])</f>
        <v>SWU</v>
      </c>
      <c r="N237" s="22" t="str">
        <f>IF(Table1[[#This Row],[Main flow paths in buffer]]="N/A","",Table1[[#This Row],[Main flow paths in buffer]])</f>
        <v>Direct surface runoff and infiltration to groundwater</v>
      </c>
      <c r="O237" s="22" t="str">
        <f>IF(Table1[[#This Row],[Inflow=&gt;Outflow]]="N/A","",Table1[[#This Row],[Inflow=&gt;Outflow]])</f>
        <v>SWU=&gt;SR</v>
      </c>
      <c r="P237" s="22" t="str">
        <f>IF(Table1[[#This Row],[Width '[m']]]="N/A","",Table1[[#This Row],[Width '[m']]])</f>
        <v/>
      </c>
      <c r="Q237" s="22">
        <f>IF(Table1[[#This Row],[Area '[m²']]]="N/A","",Table1[[#This Row],[Area '[m²']]])</f>
        <v>6000</v>
      </c>
      <c r="R237" s="22">
        <f>IF(Table1[[#This Row],[Qin '[m³/yr']]]="N/A","",Table1[[#This Row],[Qin '[m³/yr']]])</f>
        <v>47233.333333333336</v>
      </c>
      <c r="S237" s="22">
        <f>IF(Table1[[#This Row],[Catchment area '[ha']]]="N/A","",Table1[[#This Row],[Catchment area '[ha']]])</f>
        <v>15</v>
      </c>
      <c r="T237" s="22">
        <f>IF(Table1[[#This Row],[HLR '[mm']]]="N/A","",Table1[[#This Row],[HLR '[mm']]])</f>
        <v>7872.2222222222226</v>
      </c>
    </row>
    <row r="238" spans="1:20" hidden="1" x14ac:dyDescent="0.3">
      <c r="A238" s="22" t="str">
        <f>IF(Table1[[#This Row],[Country]]="N/A","",Table1[[#This Row],[Country]])</f>
        <v>USA</v>
      </c>
      <c r="B238" s="22" t="str">
        <f>IF(Table1[[#This Row],[Study site]]="N/A","",Table1[[#This Row],[Study site]])</f>
        <v>Wetland A, Ohio, US</v>
      </c>
      <c r="C238" s="22" t="str">
        <f>IF(Table1[[#This Row],[WBZ-type]]="N/A","",Table1[[#This Row],[WBZ-type]])</f>
        <v>Riparian Wetland/Bank</v>
      </c>
      <c r="D238" s="22" t="str">
        <f>IF(Table1[[#This Row],[Nutrient]]="N/A","",Table1[[#This Row],[Nutrient]])</f>
        <v>total phosphorus</v>
      </c>
      <c r="E238" s="22">
        <f>IF(Table1[[#This Row],[Load (kg N, P/ha/yr)]]="N/A","",Table1[[#This Row],[Load (kg N, P/ha/yr)]])</f>
        <v>16.666666666666668</v>
      </c>
      <c r="F238" s="22">
        <f>IF(Table1[[#This Row],[Loss (kg N, P/ha/yr)]]="N/A","",Table1[[#This Row],[Loss (kg N, P/ha/yr)]])</f>
        <v>12.777777777777779</v>
      </c>
      <c r="G238" s="22">
        <f>IF(Table1[[#This Row],[Retention (kg N, P/ha/yr)]]="N/A","",Table1[[#This Row],[Retention (kg N, P/ha/yr)]])</f>
        <v>3.8888888888888893</v>
      </c>
      <c r="H238" s="22">
        <f>IF(Table1[[#This Row],[Efficiency (%)]]="N/A","",Table1[[#This Row],[Efficiency (%)]])</f>
        <v>23.333333333333332</v>
      </c>
      <c r="I238" s="22" t="str">
        <f>IF(Table1[[#This Row],[Organic/Mineral Soil]]="N/A","",Table1[[#This Row],[Organic/Mineral Soil]])</f>
        <v>Mineral</v>
      </c>
      <c r="J238" s="22" t="str">
        <f>IF(Table1[[#This Row],[Vegetation type]]="N/A","",Table1[[#This Row],[Vegetation type]])</f>
        <v>Herbaceous</v>
      </c>
      <c r="K238" s="22" t="str">
        <f>IF(Table1[[#This Row],[Reference]]="N/A","",Table1[[#This Row],[Reference]])</f>
        <v>Kovacic et al., 2000; Mitsch et al., 2014</v>
      </c>
      <c r="L238" s="22" t="str">
        <f>IF(Table1[[#This Row],[Main source/flow path in]]="N/A","",Table1[[#This Row],[Main source/flow path in]])</f>
        <v>Drain discharge from upland</v>
      </c>
      <c r="M238" s="22" t="str">
        <f>IF(Table1[[#This Row],[Main source/flow path in (simple)]]="N/A","",Table1[[#This Row],[Main source/flow path in (simple)]])</f>
        <v>SWU</v>
      </c>
      <c r="N238" s="22" t="str">
        <f>IF(Table1[[#This Row],[Main flow paths in buffer]]="N/A","",Table1[[#This Row],[Main flow paths in buffer]])</f>
        <v>Direct surface runoff and infiltration to groundwater</v>
      </c>
      <c r="O238" s="22" t="str">
        <f>IF(Table1[[#This Row],[Inflow=&gt;Outflow]]="N/A","",Table1[[#This Row],[Inflow=&gt;Outflow]])</f>
        <v>SWU=&gt;SR</v>
      </c>
      <c r="P238" s="22" t="str">
        <f>IF(Table1[[#This Row],[Width '[m']]]="N/A","",Table1[[#This Row],[Width '[m']]])</f>
        <v/>
      </c>
      <c r="Q238" s="22">
        <f>IF(Table1[[#This Row],[Area '[m²']]]="N/A","",Table1[[#This Row],[Area '[m²']]])</f>
        <v>6000</v>
      </c>
      <c r="R238" s="22">
        <f>IF(Table1[[#This Row],[Qin '[m³/yr']]]="N/A","",Table1[[#This Row],[Qin '[m³/yr']]])</f>
        <v>47233.333333333336</v>
      </c>
      <c r="S238" s="22">
        <f>IF(Table1[[#This Row],[Catchment area '[ha']]]="N/A","",Table1[[#This Row],[Catchment area '[ha']]])</f>
        <v>15</v>
      </c>
      <c r="T238" s="22">
        <f>IF(Table1[[#This Row],[HLR '[mm']]]="N/A","",Table1[[#This Row],[HLR '[mm']]])</f>
        <v>7872.2222222222226</v>
      </c>
    </row>
    <row r="239" spans="1:20" hidden="1" x14ac:dyDescent="0.3">
      <c r="A239" s="22" t="str">
        <f>IF(Table1[[#This Row],[Country]]="N/A","",Table1[[#This Row],[Country]])</f>
        <v>USA</v>
      </c>
      <c r="B239" s="22" t="str">
        <f>IF(Table1[[#This Row],[Study site]]="N/A","",Table1[[#This Row],[Study site]])</f>
        <v>Wetland B, Ohio, US</v>
      </c>
      <c r="C239" s="22" t="str">
        <f>IF(Table1[[#This Row],[WBZ-type]]="N/A","",Table1[[#This Row],[WBZ-type]])</f>
        <v>Riparian Wetland/Bank</v>
      </c>
      <c r="D239" s="22" t="str">
        <f>IF(Table1[[#This Row],[Nutrient]]="N/A","",Table1[[#This Row],[Nutrient]])</f>
        <v>nitrate</v>
      </c>
      <c r="E239" s="22">
        <f>IF(Table1[[#This Row],[Load (kg N, P/ha/yr)]]="N/A","",Table1[[#This Row],[Load (kg N, P/ha/yr)]])</f>
        <v>546.66666666666674</v>
      </c>
      <c r="F239" s="22">
        <f>IF(Table1[[#This Row],[Loss (kg N, P/ha/yr)]]="N/A","",Table1[[#This Row],[Loss (kg N, P/ha/yr)]])</f>
        <v>301.11111111111109</v>
      </c>
      <c r="G239" s="22">
        <f>IF(Table1[[#This Row],[Retention (kg N, P/ha/yr)]]="N/A","",Table1[[#This Row],[Retention (kg N, P/ha/yr)]])</f>
        <v>245.55555555555566</v>
      </c>
      <c r="H239" s="22">
        <f>IF(Table1[[#This Row],[Efficiency (%)]]="N/A","",Table1[[#This Row],[Efficiency (%)]])</f>
        <v>44.918699186991887</v>
      </c>
      <c r="I239" s="22" t="str">
        <f>IF(Table1[[#This Row],[Organic/Mineral Soil]]="N/A","",Table1[[#This Row],[Organic/Mineral Soil]])</f>
        <v>Mineral</v>
      </c>
      <c r="J239" s="22" t="str">
        <f>IF(Table1[[#This Row],[Vegetation type]]="N/A","",Table1[[#This Row],[Vegetation type]])</f>
        <v>Herbaceous</v>
      </c>
      <c r="K239" s="22" t="str">
        <f>IF(Table1[[#This Row],[Reference]]="N/A","",Table1[[#This Row],[Reference]])</f>
        <v>Kovacic et al., 2000; Mitsch et al., 2014</v>
      </c>
      <c r="L239" s="22" t="str">
        <f>IF(Table1[[#This Row],[Main source/flow path in]]="N/A","",Table1[[#This Row],[Main source/flow path in]])</f>
        <v>Drain discharge from upland</v>
      </c>
      <c r="M239" s="22" t="str">
        <f>IF(Table1[[#This Row],[Main source/flow path in (simple)]]="N/A","",Table1[[#This Row],[Main source/flow path in (simple)]])</f>
        <v>SWU</v>
      </c>
      <c r="N239" s="22" t="str">
        <f>IF(Table1[[#This Row],[Main flow paths in buffer]]="N/A","",Table1[[#This Row],[Main flow paths in buffer]])</f>
        <v>Direct surface runoff and infiltration to groundwater</v>
      </c>
      <c r="O239" s="22" t="str">
        <f>IF(Table1[[#This Row],[Inflow=&gt;Outflow]]="N/A","",Table1[[#This Row],[Inflow=&gt;Outflow]])</f>
        <v>SWU=&gt;SR</v>
      </c>
      <c r="P239" s="22" t="str">
        <f>IF(Table1[[#This Row],[Width '[m']]]="N/A","",Table1[[#This Row],[Width '[m']]])</f>
        <v/>
      </c>
      <c r="Q239" s="22">
        <f>IF(Table1[[#This Row],[Area '[m²']]]="N/A","",Table1[[#This Row],[Area '[m²']]])</f>
        <v>3000</v>
      </c>
      <c r="R239" s="22">
        <f>IF(Table1[[#This Row],[Qin '[m³/yr']]]="N/A","",Table1[[#This Row],[Qin '[m³/yr']]])</f>
        <v>15500</v>
      </c>
      <c r="S239" s="22">
        <f>IF(Table1[[#This Row],[Catchment area '[ha']]]="N/A","",Table1[[#This Row],[Catchment area '[ha']]])</f>
        <v>5</v>
      </c>
      <c r="T239" s="22">
        <f>IF(Table1[[#This Row],[HLR '[mm']]]="N/A","",Table1[[#This Row],[HLR '[mm']]])</f>
        <v>5166.666666666667</v>
      </c>
    </row>
    <row r="240" spans="1:20" hidden="1" x14ac:dyDescent="0.3">
      <c r="A240" s="22" t="str">
        <f>IF(Table1[[#This Row],[Country]]="N/A","",Table1[[#This Row],[Country]])</f>
        <v>USA</v>
      </c>
      <c r="B240" s="22" t="str">
        <f>IF(Table1[[#This Row],[Study site]]="N/A","",Table1[[#This Row],[Study site]])</f>
        <v>Wetland B, Ohio, US</v>
      </c>
      <c r="C240" s="22" t="str">
        <f>IF(Table1[[#This Row],[WBZ-type]]="N/A","",Table1[[#This Row],[WBZ-type]])</f>
        <v>Riparian Wetland/Bank</v>
      </c>
      <c r="D240" s="22" t="str">
        <f>IF(Table1[[#This Row],[Nutrient]]="N/A","",Table1[[#This Row],[Nutrient]])</f>
        <v>ammonium</v>
      </c>
      <c r="E240" s="22">
        <f>IF(Table1[[#This Row],[Load (kg N, P/ha/yr)]]="N/A","",Table1[[#This Row],[Load (kg N, P/ha/yr)]])</f>
        <v>5.6666666666666661</v>
      </c>
      <c r="F240" s="22">
        <f>IF(Table1[[#This Row],[Loss (kg N, P/ha/yr)]]="N/A","",Table1[[#This Row],[Loss (kg N, P/ha/yr)]])</f>
        <v>3.1111111111111107</v>
      </c>
      <c r="G240" s="22">
        <f>IF(Table1[[#This Row],[Retention (kg N, P/ha/yr)]]="N/A","",Table1[[#This Row],[Retention (kg N, P/ha/yr)]])</f>
        <v>2.5555555555555554</v>
      </c>
      <c r="H240" s="22">
        <f>IF(Table1[[#This Row],[Efficiency (%)]]="N/A","",Table1[[#This Row],[Efficiency (%)]])</f>
        <v>45.098039215686278</v>
      </c>
      <c r="I240" s="22" t="str">
        <f>IF(Table1[[#This Row],[Organic/Mineral Soil]]="N/A","",Table1[[#This Row],[Organic/Mineral Soil]])</f>
        <v>Mineral</v>
      </c>
      <c r="J240" s="22" t="str">
        <f>IF(Table1[[#This Row],[Vegetation type]]="N/A","",Table1[[#This Row],[Vegetation type]])</f>
        <v>Herbaceous</v>
      </c>
      <c r="K240" s="22" t="str">
        <f>IF(Table1[[#This Row],[Reference]]="N/A","",Table1[[#This Row],[Reference]])</f>
        <v>Kovacic et al., 2000; Mitsch et al., 2014</v>
      </c>
      <c r="L240" s="22" t="str">
        <f>IF(Table1[[#This Row],[Main source/flow path in]]="N/A","",Table1[[#This Row],[Main source/flow path in]])</f>
        <v>Drain discharge from upland</v>
      </c>
      <c r="M240" s="22" t="str">
        <f>IF(Table1[[#This Row],[Main source/flow path in (simple)]]="N/A","",Table1[[#This Row],[Main source/flow path in (simple)]])</f>
        <v>SWU</v>
      </c>
      <c r="N240" s="22" t="str">
        <f>IF(Table1[[#This Row],[Main flow paths in buffer]]="N/A","",Table1[[#This Row],[Main flow paths in buffer]])</f>
        <v>Direct surface runoff and infiltration to groundwater</v>
      </c>
      <c r="O240" s="22" t="str">
        <f>IF(Table1[[#This Row],[Inflow=&gt;Outflow]]="N/A","",Table1[[#This Row],[Inflow=&gt;Outflow]])</f>
        <v>SWU=&gt;SR</v>
      </c>
      <c r="P240" s="22" t="str">
        <f>IF(Table1[[#This Row],[Width '[m']]]="N/A","",Table1[[#This Row],[Width '[m']]])</f>
        <v/>
      </c>
      <c r="Q240" s="22">
        <f>IF(Table1[[#This Row],[Area '[m²']]]="N/A","",Table1[[#This Row],[Area '[m²']]])</f>
        <v>3000</v>
      </c>
      <c r="R240" s="22">
        <f>IF(Table1[[#This Row],[Qin '[m³/yr']]]="N/A","",Table1[[#This Row],[Qin '[m³/yr']]])</f>
        <v>15500</v>
      </c>
      <c r="S240" s="22">
        <f>IF(Table1[[#This Row],[Catchment area '[ha']]]="N/A","",Table1[[#This Row],[Catchment area '[ha']]])</f>
        <v>5</v>
      </c>
      <c r="T240" s="22">
        <f>IF(Table1[[#This Row],[HLR '[mm']]]="N/A","",Table1[[#This Row],[HLR '[mm']]])</f>
        <v>5166.666666666667</v>
      </c>
    </row>
    <row r="241" spans="1:20" hidden="1" x14ac:dyDescent="0.3">
      <c r="A241" s="22" t="str">
        <f>IF(Table1[[#This Row],[Country]]="N/A","",Table1[[#This Row],[Country]])</f>
        <v>USA</v>
      </c>
      <c r="B241" s="22" t="str">
        <f>IF(Table1[[#This Row],[Study site]]="N/A","",Table1[[#This Row],[Study site]])</f>
        <v>Wetland B, Ohio, US</v>
      </c>
      <c r="C241" s="22" t="str">
        <f>IF(Table1[[#This Row],[WBZ-type]]="N/A","",Table1[[#This Row],[WBZ-type]])</f>
        <v>Riparian Wetland/Bank</v>
      </c>
      <c r="D241" s="22" t="str">
        <f>IF(Table1[[#This Row],[Nutrient]]="N/A","",Table1[[#This Row],[Nutrient]])</f>
        <v>dissolved organic nitrogen</v>
      </c>
      <c r="E241" s="22">
        <f>IF(Table1[[#This Row],[Load (kg N, P/ha/yr)]]="N/A","",Table1[[#This Row],[Load (kg N, P/ha/yr)]])</f>
        <v>0</v>
      </c>
      <c r="F241" s="22">
        <f>IF(Table1[[#This Row],[Loss (kg N, P/ha/yr)]]="N/A","",Table1[[#This Row],[Loss (kg N, P/ha/yr)]])</f>
        <v>6.4444444444444446</v>
      </c>
      <c r="G241" s="22">
        <f>IF(Table1[[#This Row],[Retention (kg N, P/ha/yr)]]="N/A","",Table1[[#This Row],[Retention (kg N, P/ha/yr)]])</f>
        <v>-6.4444444444444446</v>
      </c>
      <c r="H241" s="22" t="str">
        <f>IF(Table1[[#This Row],[Efficiency (%)]]="N/A","",Table1[[#This Row],[Efficiency (%)]])</f>
        <v>-</v>
      </c>
      <c r="I241" s="22" t="str">
        <f>IF(Table1[[#This Row],[Organic/Mineral Soil]]="N/A","",Table1[[#This Row],[Organic/Mineral Soil]])</f>
        <v>Mineral</v>
      </c>
      <c r="J241" s="22" t="str">
        <f>IF(Table1[[#This Row],[Vegetation type]]="N/A","",Table1[[#This Row],[Vegetation type]])</f>
        <v>Herbaceous</v>
      </c>
      <c r="K241" s="22" t="str">
        <f>IF(Table1[[#This Row],[Reference]]="N/A","",Table1[[#This Row],[Reference]])</f>
        <v>Kovacic et al., 2000; Mitsch et al., 2014</v>
      </c>
      <c r="L241" s="22" t="str">
        <f>IF(Table1[[#This Row],[Main source/flow path in]]="N/A","",Table1[[#This Row],[Main source/flow path in]])</f>
        <v>Drain discharge from upland</v>
      </c>
      <c r="M241" s="22" t="str">
        <f>IF(Table1[[#This Row],[Main source/flow path in (simple)]]="N/A","",Table1[[#This Row],[Main source/flow path in (simple)]])</f>
        <v>SWU</v>
      </c>
      <c r="N241" s="22" t="str">
        <f>IF(Table1[[#This Row],[Main flow paths in buffer]]="N/A","",Table1[[#This Row],[Main flow paths in buffer]])</f>
        <v>Direct surface runoff and infiltration to groundwater</v>
      </c>
      <c r="O241" s="22" t="str">
        <f>IF(Table1[[#This Row],[Inflow=&gt;Outflow]]="N/A","",Table1[[#This Row],[Inflow=&gt;Outflow]])</f>
        <v>SWU=&gt;SR</v>
      </c>
      <c r="P241" s="22" t="str">
        <f>IF(Table1[[#This Row],[Width '[m']]]="N/A","",Table1[[#This Row],[Width '[m']]])</f>
        <v/>
      </c>
      <c r="Q241" s="22">
        <f>IF(Table1[[#This Row],[Area '[m²']]]="N/A","",Table1[[#This Row],[Area '[m²']]])</f>
        <v>3000</v>
      </c>
      <c r="R241" s="22">
        <f>IF(Table1[[#This Row],[Qin '[m³/yr']]]="N/A","",Table1[[#This Row],[Qin '[m³/yr']]])</f>
        <v>15500</v>
      </c>
      <c r="S241" s="22">
        <f>IF(Table1[[#This Row],[Catchment area '[ha']]]="N/A","",Table1[[#This Row],[Catchment area '[ha']]])</f>
        <v>5</v>
      </c>
      <c r="T241" s="22">
        <f>IF(Table1[[#This Row],[HLR '[mm']]]="N/A","",Table1[[#This Row],[HLR '[mm']]])</f>
        <v>5166.666666666667</v>
      </c>
    </row>
    <row r="242" spans="1:20" x14ac:dyDescent="0.3">
      <c r="A242" s="22" t="str">
        <f>IF(Table1[[#This Row],[Country]]="N/A","",Table1[[#This Row],[Country]])</f>
        <v>USA</v>
      </c>
      <c r="B242" s="22" t="str">
        <f>IF(Table1[[#This Row],[Study site]]="N/A","",Table1[[#This Row],[Study site]])</f>
        <v>Wetland B, Ohio, US</v>
      </c>
      <c r="C242" s="22" t="str">
        <f>IF(Table1[[#This Row],[WBZ-type]]="N/A","",Table1[[#This Row],[WBZ-type]])</f>
        <v>Riparian Wetland/Bank</v>
      </c>
      <c r="D242" s="22" t="str">
        <f>IF(Table1[[#This Row],[Nutrient]]="N/A","",Table1[[#This Row],[Nutrient]])</f>
        <v>total nitrogen</v>
      </c>
      <c r="E242" s="22">
        <f>IF(Table1[[#This Row],[Load (kg N, P/ha/yr)]]="N/A","",Table1[[#This Row],[Load (kg N, P/ha/yr)]])</f>
        <v>552.22222222222217</v>
      </c>
      <c r="F242" s="22">
        <f>IF(Table1[[#This Row],[Loss (kg N, P/ha/yr)]]="N/A","",Table1[[#This Row],[Loss (kg N, P/ha/yr)]])</f>
        <v>310</v>
      </c>
      <c r="G242" s="22">
        <f>IF(Table1[[#This Row],[Retention (kg N, P/ha/yr)]]="N/A","",Table1[[#This Row],[Retention (kg N, P/ha/yr)]])</f>
        <v>242.22222222222217</v>
      </c>
      <c r="H242" s="22">
        <f>IF(Table1[[#This Row],[Efficiency (%)]]="N/A","",Table1[[#This Row],[Efficiency (%)]])</f>
        <v>43.86317907444667</v>
      </c>
      <c r="I242" s="22" t="str">
        <f>IF(Table1[[#This Row],[Organic/Mineral Soil]]="N/A","",Table1[[#This Row],[Organic/Mineral Soil]])</f>
        <v>Mineral</v>
      </c>
      <c r="J242" s="22" t="str">
        <f>IF(Table1[[#This Row],[Vegetation type]]="N/A","",Table1[[#This Row],[Vegetation type]])</f>
        <v>Herbaceous</v>
      </c>
      <c r="K242" s="22" t="str">
        <f>IF(Table1[[#This Row],[Reference]]="N/A","",Table1[[#This Row],[Reference]])</f>
        <v>Kovacic et al., 2000; Mitsch et al., 2014</v>
      </c>
      <c r="L242" s="22" t="str">
        <f>IF(Table1[[#This Row],[Main source/flow path in]]="N/A","",Table1[[#This Row],[Main source/flow path in]])</f>
        <v>Drain discharge from upland</v>
      </c>
      <c r="M242" s="22" t="str">
        <f>IF(Table1[[#This Row],[Main source/flow path in (simple)]]="N/A","",Table1[[#This Row],[Main source/flow path in (simple)]])</f>
        <v>SWU</v>
      </c>
      <c r="N242" s="22" t="str">
        <f>IF(Table1[[#This Row],[Main flow paths in buffer]]="N/A","",Table1[[#This Row],[Main flow paths in buffer]])</f>
        <v>Direct surface runoff and infiltration to groundwater</v>
      </c>
      <c r="O242" s="22" t="str">
        <f>IF(Table1[[#This Row],[Inflow=&gt;Outflow]]="N/A","",Table1[[#This Row],[Inflow=&gt;Outflow]])</f>
        <v>SWU=&gt;SR</v>
      </c>
      <c r="P242" s="22" t="str">
        <f>IF(Table1[[#This Row],[Width '[m']]]="N/A","",Table1[[#This Row],[Width '[m']]])</f>
        <v/>
      </c>
      <c r="Q242" s="22">
        <f>IF(Table1[[#This Row],[Area '[m²']]]="N/A","",Table1[[#This Row],[Area '[m²']]])</f>
        <v>3000</v>
      </c>
      <c r="R242" s="22">
        <f>IF(Table1[[#This Row],[Qin '[m³/yr']]]="N/A","",Table1[[#This Row],[Qin '[m³/yr']]])</f>
        <v>15500</v>
      </c>
      <c r="S242" s="22">
        <f>IF(Table1[[#This Row],[Catchment area '[ha']]]="N/A","",Table1[[#This Row],[Catchment area '[ha']]])</f>
        <v>5</v>
      </c>
      <c r="T242" s="22">
        <f>IF(Table1[[#This Row],[HLR '[mm']]]="N/A","",Table1[[#This Row],[HLR '[mm']]])</f>
        <v>5166.666666666667</v>
      </c>
    </row>
    <row r="243" spans="1:20" hidden="1" x14ac:dyDescent="0.3">
      <c r="A243" s="22" t="str">
        <f>IF(Table1[[#This Row],[Country]]="N/A","",Table1[[#This Row],[Country]])</f>
        <v>USA</v>
      </c>
      <c r="B243" s="22" t="str">
        <f>IF(Table1[[#This Row],[Study site]]="N/A","",Table1[[#This Row],[Study site]])</f>
        <v>Wetland B, Ohio, US</v>
      </c>
      <c r="C243" s="22" t="str">
        <f>IF(Table1[[#This Row],[WBZ-type]]="N/A","",Table1[[#This Row],[WBZ-type]])</f>
        <v>Riparian Wetland/Bank</v>
      </c>
      <c r="D243" s="22" t="str">
        <f>IF(Table1[[#This Row],[Nutrient]]="N/A","",Table1[[#This Row],[Nutrient]])</f>
        <v>SRP</v>
      </c>
      <c r="E243" s="22">
        <f>IF(Table1[[#This Row],[Load (kg N, P/ha/yr)]]="N/A","",Table1[[#This Row],[Load (kg N, P/ha/yr)]])</f>
        <v>6.6666666666666661</v>
      </c>
      <c r="F243" s="22">
        <f>IF(Table1[[#This Row],[Loss (kg N, P/ha/yr)]]="N/A","",Table1[[#This Row],[Loss (kg N, P/ha/yr)]])</f>
        <v>4.2222222222222223</v>
      </c>
      <c r="G243" s="22">
        <f>IF(Table1[[#This Row],[Retention (kg N, P/ha/yr)]]="N/A","",Table1[[#This Row],[Retention (kg N, P/ha/yr)]])</f>
        <v>2.4444444444444438</v>
      </c>
      <c r="H243" s="22">
        <f>IF(Table1[[#This Row],[Efficiency (%)]]="N/A","",Table1[[#This Row],[Efficiency (%)]])</f>
        <v>36.666666666666657</v>
      </c>
      <c r="I243" s="22" t="str">
        <f>IF(Table1[[#This Row],[Organic/Mineral Soil]]="N/A","",Table1[[#This Row],[Organic/Mineral Soil]])</f>
        <v>Mineral</v>
      </c>
      <c r="J243" s="22" t="str">
        <f>IF(Table1[[#This Row],[Vegetation type]]="N/A","",Table1[[#This Row],[Vegetation type]])</f>
        <v>Herbaceous</v>
      </c>
      <c r="K243" s="22" t="str">
        <f>IF(Table1[[#This Row],[Reference]]="N/A","",Table1[[#This Row],[Reference]])</f>
        <v>Kovacic et al., 2000; Mitsch et al., 2014</v>
      </c>
      <c r="L243" s="22" t="str">
        <f>IF(Table1[[#This Row],[Main source/flow path in]]="N/A","",Table1[[#This Row],[Main source/flow path in]])</f>
        <v>Drain discharge from upland</v>
      </c>
      <c r="M243" s="22" t="str">
        <f>IF(Table1[[#This Row],[Main source/flow path in (simple)]]="N/A","",Table1[[#This Row],[Main source/flow path in (simple)]])</f>
        <v>SWU</v>
      </c>
      <c r="N243" s="22" t="str">
        <f>IF(Table1[[#This Row],[Main flow paths in buffer]]="N/A","",Table1[[#This Row],[Main flow paths in buffer]])</f>
        <v>Direct surface runoff and infiltration to groundwater</v>
      </c>
      <c r="O243" s="22" t="str">
        <f>IF(Table1[[#This Row],[Inflow=&gt;Outflow]]="N/A","",Table1[[#This Row],[Inflow=&gt;Outflow]])</f>
        <v>SWU=&gt;SR</v>
      </c>
      <c r="P243" s="22" t="str">
        <f>IF(Table1[[#This Row],[Width '[m']]]="N/A","",Table1[[#This Row],[Width '[m']]])</f>
        <v/>
      </c>
      <c r="Q243" s="22">
        <f>IF(Table1[[#This Row],[Area '[m²']]]="N/A","",Table1[[#This Row],[Area '[m²']]])</f>
        <v>3000</v>
      </c>
      <c r="R243" s="22">
        <f>IF(Table1[[#This Row],[Qin '[m³/yr']]]="N/A","",Table1[[#This Row],[Qin '[m³/yr']]])</f>
        <v>15500</v>
      </c>
      <c r="S243" s="22">
        <f>IF(Table1[[#This Row],[Catchment area '[ha']]]="N/A","",Table1[[#This Row],[Catchment area '[ha']]])</f>
        <v>5</v>
      </c>
      <c r="T243" s="22">
        <f>IF(Table1[[#This Row],[HLR '[mm']]]="N/A","",Table1[[#This Row],[HLR '[mm']]])</f>
        <v>5166.666666666667</v>
      </c>
    </row>
    <row r="244" spans="1:20" hidden="1" x14ac:dyDescent="0.3">
      <c r="A244" s="22" t="str">
        <f>IF(Table1[[#This Row],[Country]]="N/A","",Table1[[#This Row],[Country]])</f>
        <v>USA</v>
      </c>
      <c r="B244" s="22" t="str">
        <f>IF(Table1[[#This Row],[Study site]]="N/A","",Table1[[#This Row],[Study site]])</f>
        <v>Wetland B, Ohio, US</v>
      </c>
      <c r="C244" s="22" t="str">
        <f>IF(Table1[[#This Row],[WBZ-type]]="N/A","",Table1[[#This Row],[WBZ-type]])</f>
        <v>Riparian Wetland/Bank</v>
      </c>
      <c r="D244" s="22" t="str">
        <f>IF(Table1[[#This Row],[Nutrient]]="N/A","",Table1[[#This Row],[Nutrient]])</f>
        <v>total phosphorus</v>
      </c>
      <c r="E244" s="22">
        <f>IF(Table1[[#This Row],[Load (kg N, P/ha/yr)]]="N/A","",Table1[[#This Row],[Load (kg N, P/ha/yr)]])</f>
        <v>6.6666666666666661</v>
      </c>
      <c r="F244" s="22">
        <f>IF(Table1[[#This Row],[Loss (kg N, P/ha/yr)]]="N/A","",Table1[[#This Row],[Loss (kg N, P/ha/yr)]])</f>
        <v>4.8888888888888893</v>
      </c>
      <c r="G244" s="22">
        <f>IF(Table1[[#This Row],[Retention (kg N, P/ha/yr)]]="N/A","",Table1[[#This Row],[Retention (kg N, P/ha/yr)]])</f>
        <v>1.7777777777777768</v>
      </c>
      <c r="H244" s="22">
        <f>IF(Table1[[#This Row],[Efficiency (%)]]="N/A","",Table1[[#This Row],[Efficiency (%)]])</f>
        <v>26.666666666666654</v>
      </c>
      <c r="I244" s="22" t="str">
        <f>IF(Table1[[#This Row],[Organic/Mineral Soil]]="N/A","",Table1[[#This Row],[Organic/Mineral Soil]])</f>
        <v>Mineral</v>
      </c>
      <c r="J244" s="22" t="str">
        <f>IF(Table1[[#This Row],[Vegetation type]]="N/A","",Table1[[#This Row],[Vegetation type]])</f>
        <v>Herbaceous</v>
      </c>
      <c r="K244" s="22" t="str">
        <f>IF(Table1[[#This Row],[Reference]]="N/A","",Table1[[#This Row],[Reference]])</f>
        <v>Kovacic et al., 2000; Mitsch et al., 2014</v>
      </c>
      <c r="L244" s="22" t="str">
        <f>IF(Table1[[#This Row],[Main source/flow path in]]="N/A","",Table1[[#This Row],[Main source/flow path in]])</f>
        <v>Drain discharge from upland</v>
      </c>
      <c r="M244" s="22" t="str">
        <f>IF(Table1[[#This Row],[Main source/flow path in (simple)]]="N/A","",Table1[[#This Row],[Main source/flow path in (simple)]])</f>
        <v>SWU</v>
      </c>
      <c r="N244" s="22" t="str">
        <f>IF(Table1[[#This Row],[Main flow paths in buffer]]="N/A","",Table1[[#This Row],[Main flow paths in buffer]])</f>
        <v>Direct surface runoff and infiltration to groundwater</v>
      </c>
      <c r="O244" s="22" t="str">
        <f>IF(Table1[[#This Row],[Inflow=&gt;Outflow]]="N/A","",Table1[[#This Row],[Inflow=&gt;Outflow]])</f>
        <v>SWU=&gt;SR</v>
      </c>
      <c r="P244" s="22" t="str">
        <f>IF(Table1[[#This Row],[Width '[m']]]="N/A","",Table1[[#This Row],[Width '[m']]])</f>
        <v/>
      </c>
      <c r="Q244" s="22">
        <f>IF(Table1[[#This Row],[Area '[m²']]]="N/A","",Table1[[#This Row],[Area '[m²']]])</f>
        <v>3000</v>
      </c>
      <c r="R244" s="22">
        <f>IF(Table1[[#This Row],[Qin '[m³/yr']]]="N/A","",Table1[[#This Row],[Qin '[m³/yr']]])</f>
        <v>15500</v>
      </c>
      <c r="S244" s="22">
        <f>IF(Table1[[#This Row],[Catchment area '[ha']]]="N/A","",Table1[[#This Row],[Catchment area '[ha']]])</f>
        <v>5</v>
      </c>
      <c r="T244" s="22">
        <f>IF(Table1[[#This Row],[HLR '[mm']]]="N/A","",Table1[[#This Row],[HLR '[mm']]])</f>
        <v>5166.666666666667</v>
      </c>
    </row>
    <row r="245" spans="1:20" hidden="1" x14ac:dyDescent="0.3">
      <c r="A245" s="22" t="str">
        <f>IF(Table1[[#This Row],[Country]]="N/A","",Table1[[#This Row],[Country]])</f>
        <v>USA</v>
      </c>
      <c r="B245" s="22" t="str">
        <f>IF(Table1[[#This Row],[Study site]]="N/A","",Table1[[#This Row],[Study site]])</f>
        <v>Wetland D, Ohio, US</v>
      </c>
      <c r="C245" s="22" t="str">
        <f>IF(Table1[[#This Row],[WBZ-type]]="N/A","",Table1[[#This Row],[WBZ-type]])</f>
        <v>Riparian Wetland/Bank</v>
      </c>
      <c r="D245" s="22" t="str">
        <f>IF(Table1[[#This Row],[Nutrient]]="N/A","",Table1[[#This Row],[Nutrient]])</f>
        <v>nitrate</v>
      </c>
      <c r="E245" s="22">
        <f>IF(Table1[[#This Row],[Load (kg N, P/ha/yr)]]="N/A","",Table1[[#This Row],[Load (kg N, P/ha/yr)]])</f>
        <v>867.91666666666674</v>
      </c>
      <c r="F245" s="22">
        <f>IF(Table1[[#This Row],[Loss (kg N, P/ha/yr)]]="N/A","",Table1[[#This Row],[Loss (kg N, P/ha/yr)]])</f>
        <v>570</v>
      </c>
      <c r="G245" s="22">
        <f>IF(Table1[[#This Row],[Retention (kg N, P/ha/yr)]]="N/A","",Table1[[#This Row],[Retention (kg N, P/ha/yr)]])</f>
        <v>297.91666666666674</v>
      </c>
      <c r="H245" s="22">
        <f>IF(Table1[[#This Row],[Efficiency (%)]]="N/A","",Table1[[#This Row],[Efficiency (%)]])</f>
        <v>34.325492078732609</v>
      </c>
      <c r="I245" s="22" t="str">
        <f>IF(Table1[[#This Row],[Organic/Mineral Soil]]="N/A","",Table1[[#This Row],[Organic/Mineral Soil]])</f>
        <v>Mineral</v>
      </c>
      <c r="J245" s="22" t="str">
        <f>IF(Table1[[#This Row],[Vegetation type]]="N/A","",Table1[[#This Row],[Vegetation type]])</f>
        <v>Herbaceous</v>
      </c>
      <c r="K245" s="22" t="str">
        <f>IF(Table1[[#This Row],[Reference]]="N/A","",Table1[[#This Row],[Reference]])</f>
        <v>Kovacic et al., 2000; Mitsch et al., 2014</v>
      </c>
      <c r="L245" s="22" t="str">
        <f>IF(Table1[[#This Row],[Main source/flow path in]]="N/A","",Table1[[#This Row],[Main source/flow path in]])</f>
        <v>Drain discharge from upland</v>
      </c>
      <c r="M245" s="22" t="str">
        <f>IF(Table1[[#This Row],[Main source/flow path in (simple)]]="N/A","",Table1[[#This Row],[Main source/flow path in (simple)]])</f>
        <v>SWU</v>
      </c>
      <c r="N245" s="22" t="str">
        <f>IF(Table1[[#This Row],[Main flow paths in buffer]]="N/A","",Table1[[#This Row],[Main flow paths in buffer]])</f>
        <v>Direct surface runoff and infiltration to groundwater</v>
      </c>
      <c r="O245" s="22" t="str">
        <f>IF(Table1[[#This Row],[Inflow=&gt;Outflow]]="N/A","",Table1[[#This Row],[Inflow=&gt;Outflow]])</f>
        <v>SWU=&gt;SR</v>
      </c>
      <c r="P245" s="22" t="str">
        <f>IF(Table1[[#This Row],[Width '[m']]]="N/A","",Table1[[#This Row],[Width '[m']]])</f>
        <v/>
      </c>
      <c r="Q245" s="22">
        <f>IF(Table1[[#This Row],[Area '[m²']]]="N/A","",Table1[[#This Row],[Area '[m²']]])</f>
        <v>8000</v>
      </c>
      <c r="R245" s="22">
        <f>IF(Table1[[#This Row],[Qin '[m³/yr']]]="N/A","",Table1[[#This Row],[Qin '[m³/yr']]])</f>
        <v>49033.333333333336</v>
      </c>
      <c r="S245" s="22">
        <f>IF(Table1[[#This Row],[Catchment area '[ha']]]="N/A","",Table1[[#This Row],[Catchment area '[ha']]])</f>
        <v>25</v>
      </c>
      <c r="T245" s="22">
        <f>IF(Table1[[#This Row],[HLR '[mm']]]="N/A","",Table1[[#This Row],[HLR '[mm']]])</f>
        <v>6129.166666666667</v>
      </c>
    </row>
    <row r="246" spans="1:20" hidden="1" x14ac:dyDescent="0.3">
      <c r="A246" s="22" t="str">
        <f>IF(Table1[[#This Row],[Country]]="N/A","",Table1[[#This Row],[Country]])</f>
        <v>USA</v>
      </c>
      <c r="B246" s="22" t="str">
        <f>IF(Table1[[#This Row],[Study site]]="N/A","",Table1[[#This Row],[Study site]])</f>
        <v>Wetland D, Ohio, US</v>
      </c>
      <c r="C246" s="22" t="str">
        <f>IF(Table1[[#This Row],[WBZ-type]]="N/A","",Table1[[#This Row],[WBZ-type]])</f>
        <v>Riparian Wetland/Bank</v>
      </c>
      <c r="D246" s="22" t="str">
        <f>IF(Table1[[#This Row],[Nutrient]]="N/A","",Table1[[#This Row],[Nutrient]])</f>
        <v>ammonium</v>
      </c>
      <c r="E246" s="22">
        <f>IF(Table1[[#This Row],[Load (kg N, P/ha/yr)]]="N/A","",Table1[[#This Row],[Load (kg N, P/ha/yr)]])</f>
        <v>17.666666666666664</v>
      </c>
      <c r="F246" s="22">
        <f>IF(Table1[[#This Row],[Loss (kg N, P/ha/yr)]]="N/A","",Table1[[#This Row],[Loss (kg N, P/ha/yr)]])</f>
        <v>10.25</v>
      </c>
      <c r="G246" s="22">
        <f>IF(Table1[[#This Row],[Retention (kg N, P/ha/yr)]]="N/A","",Table1[[#This Row],[Retention (kg N, P/ha/yr)]])</f>
        <v>7.4166666666666643</v>
      </c>
      <c r="H246" s="22">
        <f>IF(Table1[[#This Row],[Efficiency (%)]]="N/A","",Table1[[#This Row],[Efficiency (%)]])</f>
        <v>41.981132075471692</v>
      </c>
      <c r="I246" s="22" t="str">
        <f>IF(Table1[[#This Row],[Organic/Mineral Soil]]="N/A","",Table1[[#This Row],[Organic/Mineral Soil]])</f>
        <v>Mineral</v>
      </c>
      <c r="J246" s="22" t="str">
        <f>IF(Table1[[#This Row],[Vegetation type]]="N/A","",Table1[[#This Row],[Vegetation type]])</f>
        <v>Herbaceous</v>
      </c>
      <c r="K246" s="22" t="str">
        <f>IF(Table1[[#This Row],[Reference]]="N/A","",Table1[[#This Row],[Reference]])</f>
        <v>Kovacic et al., 2000; Mitsch et al., 2014</v>
      </c>
      <c r="L246" s="22" t="str">
        <f>IF(Table1[[#This Row],[Main source/flow path in]]="N/A","",Table1[[#This Row],[Main source/flow path in]])</f>
        <v>Drain discharge from upland</v>
      </c>
      <c r="M246" s="22" t="str">
        <f>IF(Table1[[#This Row],[Main source/flow path in (simple)]]="N/A","",Table1[[#This Row],[Main source/flow path in (simple)]])</f>
        <v>SWU</v>
      </c>
      <c r="N246" s="22" t="str">
        <f>IF(Table1[[#This Row],[Main flow paths in buffer]]="N/A","",Table1[[#This Row],[Main flow paths in buffer]])</f>
        <v>Direct surface runoff and infiltration to groundwater</v>
      </c>
      <c r="O246" s="22" t="str">
        <f>IF(Table1[[#This Row],[Inflow=&gt;Outflow]]="N/A","",Table1[[#This Row],[Inflow=&gt;Outflow]])</f>
        <v>SWU=&gt;SR</v>
      </c>
      <c r="P246" s="22" t="str">
        <f>IF(Table1[[#This Row],[Width '[m']]]="N/A","",Table1[[#This Row],[Width '[m']]])</f>
        <v/>
      </c>
      <c r="Q246" s="22">
        <f>IF(Table1[[#This Row],[Area '[m²']]]="N/A","",Table1[[#This Row],[Area '[m²']]])</f>
        <v>8000</v>
      </c>
      <c r="R246" s="22">
        <f>IF(Table1[[#This Row],[Qin '[m³/yr']]]="N/A","",Table1[[#This Row],[Qin '[m³/yr']]])</f>
        <v>49033.333333333336</v>
      </c>
      <c r="S246" s="22">
        <f>IF(Table1[[#This Row],[Catchment area '[ha']]]="N/A","",Table1[[#This Row],[Catchment area '[ha']]])</f>
        <v>25</v>
      </c>
      <c r="T246" s="22">
        <f>IF(Table1[[#This Row],[HLR '[mm']]]="N/A","",Table1[[#This Row],[HLR '[mm']]])</f>
        <v>6129.166666666667</v>
      </c>
    </row>
    <row r="247" spans="1:20" hidden="1" x14ac:dyDescent="0.3">
      <c r="A247" s="22" t="str">
        <f>IF(Table1[[#This Row],[Country]]="N/A","",Table1[[#This Row],[Country]])</f>
        <v>USA</v>
      </c>
      <c r="B247" s="22" t="str">
        <f>IF(Table1[[#This Row],[Study site]]="N/A","",Table1[[#This Row],[Study site]])</f>
        <v>Wetland D, Ohio, US</v>
      </c>
      <c r="C247" s="22" t="str">
        <f>IF(Table1[[#This Row],[WBZ-type]]="N/A","",Table1[[#This Row],[WBZ-type]])</f>
        <v>Riparian Wetland/Bank</v>
      </c>
      <c r="D247" s="22" t="str">
        <f>IF(Table1[[#This Row],[Nutrient]]="N/A","",Table1[[#This Row],[Nutrient]])</f>
        <v>dissolved organic nitrogen</v>
      </c>
      <c r="E247" s="22">
        <f>IF(Table1[[#This Row],[Load (kg N, P/ha/yr)]]="N/A","",Table1[[#This Row],[Load (kg N, P/ha/yr)]])</f>
        <v>0</v>
      </c>
      <c r="F247" s="22">
        <f>IF(Table1[[#This Row],[Loss (kg N, P/ha/yr)]]="N/A","",Table1[[#This Row],[Loss (kg N, P/ha/yr)]])</f>
        <v>28.75</v>
      </c>
      <c r="G247" s="22">
        <f>IF(Table1[[#This Row],[Retention (kg N, P/ha/yr)]]="N/A","",Table1[[#This Row],[Retention (kg N, P/ha/yr)]])</f>
        <v>-28.75</v>
      </c>
      <c r="H247" s="22" t="str">
        <f>IF(Table1[[#This Row],[Efficiency (%)]]="N/A","",Table1[[#This Row],[Efficiency (%)]])</f>
        <v>-</v>
      </c>
      <c r="I247" s="22" t="str">
        <f>IF(Table1[[#This Row],[Organic/Mineral Soil]]="N/A","",Table1[[#This Row],[Organic/Mineral Soil]])</f>
        <v>Mineral</v>
      </c>
      <c r="J247" s="22" t="str">
        <f>IF(Table1[[#This Row],[Vegetation type]]="N/A","",Table1[[#This Row],[Vegetation type]])</f>
        <v>Herbaceous</v>
      </c>
      <c r="K247" s="22" t="str">
        <f>IF(Table1[[#This Row],[Reference]]="N/A","",Table1[[#This Row],[Reference]])</f>
        <v>Kovacic et al., 2000; Mitsch et al., 2014</v>
      </c>
      <c r="L247" s="22" t="str">
        <f>IF(Table1[[#This Row],[Main source/flow path in]]="N/A","",Table1[[#This Row],[Main source/flow path in]])</f>
        <v>Drain discharge from upland</v>
      </c>
      <c r="M247" s="22" t="str">
        <f>IF(Table1[[#This Row],[Main source/flow path in (simple)]]="N/A","",Table1[[#This Row],[Main source/flow path in (simple)]])</f>
        <v>SWU</v>
      </c>
      <c r="N247" s="22" t="str">
        <f>IF(Table1[[#This Row],[Main flow paths in buffer]]="N/A","",Table1[[#This Row],[Main flow paths in buffer]])</f>
        <v>Direct surface runoff and infiltration to groundwater</v>
      </c>
      <c r="O247" s="22" t="str">
        <f>IF(Table1[[#This Row],[Inflow=&gt;Outflow]]="N/A","",Table1[[#This Row],[Inflow=&gt;Outflow]])</f>
        <v>SWU=&gt;SR</v>
      </c>
      <c r="P247" s="22" t="str">
        <f>IF(Table1[[#This Row],[Width '[m']]]="N/A","",Table1[[#This Row],[Width '[m']]])</f>
        <v/>
      </c>
      <c r="Q247" s="22">
        <f>IF(Table1[[#This Row],[Area '[m²']]]="N/A","",Table1[[#This Row],[Area '[m²']]])</f>
        <v>8000</v>
      </c>
      <c r="R247" s="22">
        <f>IF(Table1[[#This Row],[Qin '[m³/yr']]]="N/A","",Table1[[#This Row],[Qin '[m³/yr']]])</f>
        <v>49033.333333333336</v>
      </c>
      <c r="S247" s="22">
        <f>IF(Table1[[#This Row],[Catchment area '[ha']]]="N/A","",Table1[[#This Row],[Catchment area '[ha']]])</f>
        <v>25</v>
      </c>
      <c r="T247" s="22">
        <f>IF(Table1[[#This Row],[HLR '[mm']]]="N/A","",Table1[[#This Row],[HLR '[mm']]])</f>
        <v>6129.166666666667</v>
      </c>
    </row>
    <row r="248" spans="1:20" x14ac:dyDescent="0.3">
      <c r="A248" s="22" t="str">
        <f>IF(Table1[[#This Row],[Country]]="N/A","",Table1[[#This Row],[Country]])</f>
        <v>USA</v>
      </c>
      <c r="B248" s="22" t="str">
        <f>IF(Table1[[#This Row],[Study site]]="N/A","",Table1[[#This Row],[Study site]])</f>
        <v>Wetland D, Ohio, US</v>
      </c>
      <c r="C248" s="22" t="str">
        <f>IF(Table1[[#This Row],[WBZ-type]]="N/A","",Table1[[#This Row],[WBZ-type]])</f>
        <v>Riparian Wetland/Bank</v>
      </c>
      <c r="D248" s="22" t="str">
        <f>IF(Table1[[#This Row],[Nutrient]]="N/A","",Table1[[#This Row],[Nutrient]])</f>
        <v>total nitrogen</v>
      </c>
      <c r="E248" s="22">
        <f>IF(Table1[[#This Row],[Load (kg N, P/ha/yr)]]="N/A","",Table1[[#This Row],[Load (kg N, P/ha/yr)]])</f>
        <v>885.83333333333337</v>
      </c>
      <c r="F248" s="22">
        <f>IF(Table1[[#This Row],[Loss (kg N, P/ha/yr)]]="N/A","",Table1[[#This Row],[Loss (kg N, P/ha/yr)]])</f>
        <v>608.75</v>
      </c>
      <c r="G248" s="22">
        <f>IF(Table1[[#This Row],[Retention (kg N, P/ha/yr)]]="N/A","",Table1[[#This Row],[Retention (kg N, P/ha/yr)]])</f>
        <v>277.08333333333337</v>
      </c>
      <c r="H248" s="22">
        <f>IF(Table1[[#This Row],[Efficiency (%)]]="N/A","",Table1[[#This Row],[Efficiency (%)]])</f>
        <v>31.279397930385706</v>
      </c>
      <c r="I248" s="22" t="str">
        <f>IF(Table1[[#This Row],[Organic/Mineral Soil]]="N/A","",Table1[[#This Row],[Organic/Mineral Soil]])</f>
        <v>Mineral</v>
      </c>
      <c r="J248" s="22" t="str">
        <f>IF(Table1[[#This Row],[Vegetation type]]="N/A","",Table1[[#This Row],[Vegetation type]])</f>
        <v>Herbaceous</v>
      </c>
      <c r="K248" s="22" t="str">
        <f>IF(Table1[[#This Row],[Reference]]="N/A","",Table1[[#This Row],[Reference]])</f>
        <v>Kovacic et al., 2000; Mitsch et al., 2014</v>
      </c>
      <c r="L248" s="22" t="str">
        <f>IF(Table1[[#This Row],[Main source/flow path in]]="N/A","",Table1[[#This Row],[Main source/flow path in]])</f>
        <v>Drain discharge from upland</v>
      </c>
      <c r="M248" s="22" t="str">
        <f>IF(Table1[[#This Row],[Main source/flow path in (simple)]]="N/A","",Table1[[#This Row],[Main source/flow path in (simple)]])</f>
        <v>SWU</v>
      </c>
      <c r="N248" s="22" t="str">
        <f>IF(Table1[[#This Row],[Main flow paths in buffer]]="N/A","",Table1[[#This Row],[Main flow paths in buffer]])</f>
        <v>Direct surface runoff and infiltration to groundwater</v>
      </c>
      <c r="O248" s="22" t="str">
        <f>IF(Table1[[#This Row],[Inflow=&gt;Outflow]]="N/A","",Table1[[#This Row],[Inflow=&gt;Outflow]])</f>
        <v>SWU=&gt;SR</v>
      </c>
      <c r="P248" s="22" t="str">
        <f>IF(Table1[[#This Row],[Width '[m']]]="N/A","",Table1[[#This Row],[Width '[m']]])</f>
        <v/>
      </c>
      <c r="Q248" s="22">
        <f>IF(Table1[[#This Row],[Area '[m²']]]="N/A","",Table1[[#This Row],[Area '[m²']]])</f>
        <v>8000</v>
      </c>
      <c r="R248" s="22">
        <f>IF(Table1[[#This Row],[Qin '[m³/yr']]]="N/A","",Table1[[#This Row],[Qin '[m³/yr']]])</f>
        <v>49033.333333333336</v>
      </c>
      <c r="S248" s="22">
        <f>IF(Table1[[#This Row],[Catchment area '[ha']]]="N/A","",Table1[[#This Row],[Catchment area '[ha']]])</f>
        <v>25</v>
      </c>
      <c r="T248" s="22">
        <f>IF(Table1[[#This Row],[HLR '[mm']]]="N/A","",Table1[[#This Row],[HLR '[mm']]])</f>
        <v>6129.166666666667</v>
      </c>
    </row>
    <row r="249" spans="1:20" hidden="1" x14ac:dyDescent="0.3">
      <c r="A249" s="22" t="str">
        <f>IF(Table1[[#This Row],[Country]]="N/A","",Table1[[#This Row],[Country]])</f>
        <v>USA</v>
      </c>
      <c r="B249" s="22" t="str">
        <f>IF(Table1[[#This Row],[Study site]]="N/A","",Table1[[#This Row],[Study site]])</f>
        <v>Wetland D, Ohio, US</v>
      </c>
      <c r="C249" s="22" t="str">
        <f>IF(Table1[[#This Row],[WBZ-type]]="N/A","",Table1[[#This Row],[WBZ-type]])</f>
        <v>Riparian Wetland/Bank</v>
      </c>
      <c r="D249" s="22" t="str">
        <f>IF(Table1[[#This Row],[Nutrient]]="N/A","",Table1[[#This Row],[Nutrient]])</f>
        <v>SRP</v>
      </c>
      <c r="E249" s="22">
        <f>IF(Table1[[#This Row],[Load (kg N, P/ha/yr)]]="N/A","",Table1[[#This Row],[Load (kg N, P/ha/yr)]])</f>
        <v>11.25</v>
      </c>
      <c r="F249" s="22">
        <f>IF(Table1[[#This Row],[Loss (kg N, P/ha/yr)]]="N/A","",Table1[[#This Row],[Loss (kg N, P/ha/yr)]])</f>
        <v>10.416666666666666</v>
      </c>
      <c r="G249" s="22">
        <f>IF(Table1[[#This Row],[Retention (kg N, P/ha/yr)]]="N/A","",Table1[[#This Row],[Retention (kg N, P/ha/yr)]])</f>
        <v>0.83333333333333393</v>
      </c>
      <c r="H249" s="22">
        <f>IF(Table1[[#This Row],[Efficiency (%)]]="N/A","",Table1[[#This Row],[Efficiency (%)]])</f>
        <v>7.4074074074074128</v>
      </c>
      <c r="I249" s="22" t="str">
        <f>IF(Table1[[#This Row],[Organic/Mineral Soil]]="N/A","",Table1[[#This Row],[Organic/Mineral Soil]])</f>
        <v>Mineral</v>
      </c>
      <c r="J249" s="22" t="str">
        <f>IF(Table1[[#This Row],[Vegetation type]]="N/A","",Table1[[#This Row],[Vegetation type]])</f>
        <v>Herbaceous</v>
      </c>
      <c r="K249" s="22" t="str">
        <f>IF(Table1[[#This Row],[Reference]]="N/A","",Table1[[#This Row],[Reference]])</f>
        <v>Kovacic et al., 2000; Mitsch et al., 2014</v>
      </c>
      <c r="L249" s="22" t="str">
        <f>IF(Table1[[#This Row],[Main source/flow path in]]="N/A","",Table1[[#This Row],[Main source/flow path in]])</f>
        <v>Drain discharge from upland</v>
      </c>
      <c r="M249" s="22" t="str">
        <f>IF(Table1[[#This Row],[Main source/flow path in (simple)]]="N/A","",Table1[[#This Row],[Main source/flow path in (simple)]])</f>
        <v>SWU</v>
      </c>
      <c r="N249" s="22" t="str">
        <f>IF(Table1[[#This Row],[Main flow paths in buffer]]="N/A","",Table1[[#This Row],[Main flow paths in buffer]])</f>
        <v>Direct surface runoff and infiltration to groundwater</v>
      </c>
      <c r="O249" s="22" t="str">
        <f>IF(Table1[[#This Row],[Inflow=&gt;Outflow]]="N/A","",Table1[[#This Row],[Inflow=&gt;Outflow]])</f>
        <v>SWU=&gt;SR</v>
      </c>
      <c r="P249" s="22" t="str">
        <f>IF(Table1[[#This Row],[Width '[m']]]="N/A","",Table1[[#This Row],[Width '[m']]])</f>
        <v/>
      </c>
      <c r="Q249" s="22">
        <f>IF(Table1[[#This Row],[Area '[m²']]]="N/A","",Table1[[#This Row],[Area '[m²']]])</f>
        <v>8000</v>
      </c>
      <c r="R249" s="22">
        <f>IF(Table1[[#This Row],[Qin '[m³/yr']]]="N/A","",Table1[[#This Row],[Qin '[m³/yr']]])</f>
        <v>49033.333333333336</v>
      </c>
      <c r="S249" s="22">
        <f>IF(Table1[[#This Row],[Catchment area '[ha']]]="N/A","",Table1[[#This Row],[Catchment area '[ha']]])</f>
        <v>25</v>
      </c>
      <c r="T249" s="22">
        <f>IF(Table1[[#This Row],[HLR '[mm']]]="N/A","",Table1[[#This Row],[HLR '[mm']]])</f>
        <v>6129.166666666667</v>
      </c>
    </row>
    <row r="250" spans="1:20" hidden="1" x14ac:dyDescent="0.3">
      <c r="A250" s="22" t="str">
        <f>IF(Table1[[#This Row],[Country]]="N/A","",Table1[[#This Row],[Country]])</f>
        <v>USA</v>
      </c>
      <c r="B250" s="22" t="str">
        <f>IF(Table1[[#This Row],[Study site]]="N/A","",Table1[[#This Row],[Study site]])</f>
        <v>Wetland D, Ohio, US</v>
      </c>
      <c r="C250" s="22" t="str">
        <f>IF(Table1[[#This Row],[WBZ-type]]="N/A","",Table1[[#This Row],[WBZ-type]])</f>
        <v>Riparian Wetland/Bank</v>
      </c>
      <c r="D250" s="22" t="str">
        <f>IF(Table1[[#This Row],[Nutrient]]="N/A","",Table1[[#This Row],[Nutrient]])</f>
        <v>total phosphorus</v>
      </c>
      <c r="E250" s="22">
        <f>IF(Table1[[#This Row],[Load (kg N, P/ha/yr)]]="N/A","",Table1[[#This Row],[Load (kg N, P/ha/yr)]])</f>
        <v>11.500000000000002</v>
      </c>
      <c r="F250" s="22">
        <f>IF(Table1[[#This Row],[Loss (kg N, P/ha/yr)]]="N/A","",Table1[[#This Row],[Loss (kg N, P/ha/yr)]])</f>
        <v>14.458333333333334</v>
      </c>
      <c r="G250" s="22">
        <f>IF(Table1[[#This Row],[Retention (kg N, P/ha/yr)]]="N/A","",Table1[[#This Row],[Retention (kg N, P/ha/yr)]])</f>
        <v>-2.9583333333333321</v>
      </c>
      <c r="H250" s="22">
        <f>IF(Table1[[#This Row],[Efficiency (%)]]="N/A","",Table1[[#This Row],[Efficiency (%)]])</f>
        <v>-25.724637681159408</v>
      </c>
      <c r="I250" s="22" t="str">
        <f>IF(Table1[[#This Row],[Organic/Mineral Soil]]="N/A","",Table1[[#This Row],[Organic/Mineral Soil]])</f>
        <v>Mineral</v>
      </c>
      <c r="J250" s="22" t="str">
        <f>IF(Table1[[#This Row],[Vegetation type]]="N/A","",Table1[[#This Row],[Vegetation type]])</f>
        <v>Herbaceous</v>
      </c>
      <c r="K250" s="22" t="str">
        <f>IF(Table1[[#This Row],[Reference]]="N/A","",Table1[[#This Row],[Reference]])</f>
        <v>Kovacic et al., 2000; Mitsch et al., 2014</v>
      </c>
      <c r="L250" s="22" t="str">
        <f>IF(Table1[[#This Row],[Main source/flow path in]]="N/A","",Table1[[#This Row],[Main source/flow path in]])</f>
        <v>Drain discharge from upland</v>
      </c>
      <c r="M250" s="22" t="str">
        <f>IF(Table1[[#This Row],[Main source/flow path in (simple)]]="N/A","",Table1[[#This Row],[Main source/flow path in (simple)]])</f>
        <v>SWU</v>
      </c>
      <c r="N250" s="22" t="str">
        <f>IF(Table1[[#This Row],[Main flow paths in buffer]]="N/A","",Table1[[#This Row],[Main flow paths in buffer]])</f>
        <v>Direct surface runoff and infiltration to groundwater</v>
      </c>
      <c r="O250" s="22" t="str">
        <f>IF(Table1[[#This Row],[Inflow=&gt;Outflow]]="N/A","",Table1[[#This Row],[Inflow=&gt;Outflow]])</f>
        <v>SWU=&gt;SR</v>
      </c>
      <c r="P250" s="22" t="str">
        <f>IF(Table1[[#This Row],[Width '[m']]]="N/A","",Table1[[#This Row],[Width '[m']]])</f>
        <v/>
      </c>
      <c r="Q250" s="22">
        <f>IF(Table1[[#This Row],[Area '[m²']]]="N/A","",Table1[[#This Row],[Area '[m²']]])</f>
        <v>8000</v>
      </c>
      <c r="R250" s="22">
        <f>IF(Table1[[#This Row],[Qin '[m³/yr']]]="N/A","",Table1[[#This Row],[Qin '[m³/yr']]])</f>
        <v>49033.333333333336</v>
      </c>
      <c r="S250" s="22">
        <f>IF(Table1[[#This Row],[Catchment area '[ha']]]="N/A","",Table1[[#This Row],[Catchment area '[ha']]])</f>
        <v>25</v>
      </c>
      <c r="T250" s="22">
        <f>IF(Table1[[#This Row],[HLR '[mm']]]="N/A","",Table1[[#This Row],[HLR '[mm']]])</f>
        <v>6129.166666666667</v>
      </c>
    </row>
    <row r="251" spans="1:20" hidden="1" x14ac:dyDescent="0.3">
      <c r="A251" s="22" t="str">
        <f>IF(Table1[[#This Row],[Country]]="N/A","",Table1[[#This Row],[Country]])</f>
        <v>USA</v>
      </c>
      <c r="B251" s="22" t="str">
        <f>IF(Table1[[#This Row],[Study site]]="N/A","",Table1[[#This Row],[Study site]])</f>
        <v>Wisconsin, US</v>
      </c>
      <c r="C251" s="22" t="str">
        <f>IF(Table1[[#This Row],[WBZ-type]]="N/A","",Table1[[#This Row],[WBZ-type]])</f>
        <v>Rewetted Fen</v>
      </c>
      <c r="D251" s="22" t="str">
        <f>IF(Table1[[#This Row],[Nutrient]]="N/A","",Table1[[#This Row],[Nutrient]])</f>
        <v>total phosphorus</v>
      </c>
      <c r="E251" s="22">
        <f>IF(Table1[[#This Row],[Load (kg N, P/ha/yr)]]="N/A","",Table1[[#This Row],[Load (kg N, P/ha/yr)]])</f>
        <v>14.91</v>
      </c>
      <c r="F251" s="22">
        <f>IF(Table1[[#This Row],[Loss (kg N, P/ha/yr)]]="N/A","",Table1[[#This Row],[Loss (kg N, P/ha/yr)]])</f>
        <v>13.83</v>
      </c>
      <c r="G251" s="22">
        <f>IF(Table1[[#This Row],[Retention (kg N, P/ha/yr)]]="N/A","",Table1[[#This Row],[Retention (kg N, P/ha/yr)]])</f>
        <v>1.08</v>
      </c>
      <c r="H251" s="22">
        <f>IF(Table1[[#This Row],[Efficiency (%)]]="N/A","",Table1[[#This Row],[Efficiency (%)]])</f>
        <v>7</v>
      </c>
      <c r="I251" s="22" t="str">
        <f>IF(Table1[[#This Row],[Organic/Mineral Soil]]="N/A","",Table1[[#This Row],[Organic/Mineral Soil]])</f>
        <v>Organic</v>
      </c>
      <c r="J251" s="22" t="str">
        <f>IF(Table1[[#This Row],[Vegetation type]]="N/A","",Table1[[#This Row],[Vegetation type]])</f>
        <v>Herbaceous</v>
      </c>
      <c r="K251" s="22" t="str">
        <f>IF(Table1[[#This Row],[Reference]]="N/A","",Table1[[#This Row],[Reference]])</f>
        <v>Hoffmann et al., 2009; Novitzki 1978</v>
      </c>
      <c r="L251" s="22" t="str">
        <f>IF(Table1[[#This Row],[Main source/flow path in]]="N/A","",Table1[[#This Row],[Main source/flow path in]])</f>
        <v>Groundwater</v>
      </c>
      <c r="M251" s="22" t="str">
        <f>IF(Table1[[#This Row],[Main source/flow path in (simple)]]="N/A","",Table1[[#This Row],[Main source/flow path in (simple)]])</f>
        <v>GW</v>
      </c>
      <c r="N251" s="22" t="str">
        <f>IF(Table1[[#This Row],[Main flow paths in buffer]]="N/A","",Table1[[#This Row],[Main flow paths in buffer]])</f>
        <v>Exfiltrating and pumping to hatchery =&gt; surface runoff</v>
      </c>
      <c r="O251" s="22" t="str">
        <f>IF(Table1[[#This Row],[Inflow=&gt;Outflow]]="N/A","",Table1[[#This Row],[Inflow=&gt;Outflow]])</f>
        <v>GW=&gt;SR</v>
      </c>
      <c r="P251" s="22">
        <f>IF(Table1[[#This Row],[Width '[m']]]="N/A","",Table1[[#This Row],[Width '[m']]])</f>
        <v>400</v>
      </c>
      <c r="Q251" s="22">
        <f>IF(Table1[[#This Row],[Area '[m²']]]="N/A","",Table1[[#This Row],[Area '[m²']]])</f>
        <v>485623</v>
      </c>
      <c r="R251" s="22">
        <f>IF(Table1[[#This Row],[Qin '[m³/yr']]]="N/A","",Table1[[#This Row],[Qin '[m³/yr']]])</f>
        <v>5427322.648</v>
      </c>
      <c r="S251" s="22">
        <f>IF(Table1[[#This Row],[Catchment area '[ha']]]="N/A","",Table1[[#This Row],[Catchment area '[ha']]])</f>
        <v>234.7</v>
      </c>
      <c r="T251" s="22">
        <f>IF(Table1[[#This Row],[HLR '[mm']]]="N/A","",Table1[[#This Row],[HLR '[mm']]])</f>
        <v>11176</v>
      </c>
    </row>
    <row r="252" spans="1:20" x14ac:dyDescent="0.3">
      <c r="A252" s="22" t="str">
        <f>IF(Table1[[#This Row],[Country]]="N/A","",Table1[[#This Row],[Country]])</f>
        <v>USA</v>
      </c>
      <c r="B252" s="22" t="str">
        <f>IF(Table1[[#This Row],[Study site]]="N/A","",Table1[[#This Row],[Study site]])</f>
        <v>Wisconsin, US</v>
      </c>
      <c r="C252" s="22" t="str">
        <f>IF(Table1[[#This Row],[WBZ-type]]="N/A","",Table1[[#This Row],[WBZ-type]])</f>
        <v>Rewetted Fen</v>
      </c>
      <c r="D252" s="22" t="str">
        <f>IF(Table1[[#This Row],[Nutrient]]="N/A","",Table1[[#This Row],[Nutrient]])</f>
        <v>total nitrogen</v>
      </c>
      <c r="E252" s="22">
        <f>IF(Table1[[#This Row],[Load (kg N, P/ha/yr)]]="N/A","",Table1[[#This Row],[Load (kg N, P/ha/yr)]])</f>
        <v>704</v>
      </c>
      <c r="F252" s="22">
        <f>IF(Table1[[#This Row],[Loss (kg N, P/ha/yr)]]="N/A","",Table1[[#This Row],[Loss (kg N, P/ha/yr)]])</f>
        <v>556.16</v>
      </c>
      <c r="G252" s="22">
        <f>IF(Table1[[#This Row],[Retention (kg N, P/ha/yr)]]="N/A","",Table1[[#This Row],[Retention (kg N, P/ha/yr)]])</f>
        <v>147.84</v>
      </c>
      <c r="H252" s="22">
        <f>IF(Table1[[#This Row],[Efficiency (%)]]="N/A","",Table1[[#This Row],[Efficiency (%)]])</f>
        <v>21</v>
      </c>
      <c r="I252" s="22" t="str">
        <f>IF(Table1[[#This Row],[Organic/Mineral Soil]]="N/A","",Table1[[#This Row],[Organic/Mineral Soil]])</f>
        <v>Organic</v>
      </c>
      <c r="J252" s="22" t="str">
        <f>IF(Table1[[#This Row],[Vegetation type]]="N/A","",Table1[[#This Row],[Vegetation type]])</f>
        <v>Herbaceous</v>
      </c>
      <c r="K252" s="22" t="str">
        <f>IF(Table1[[#This Row],[Reference]]="N/A","",Table1[[#This Row],[Reference]])</f>
        <v>Hoffmann et al., 2009; Novitzki 1978</v>
      </c>
      <c r="L252" s="22" t="str">
        <f>IF(Table1[[#This Row],[Main source/flow path in]]="N/A","",Table1[[#This Row],[Main source/flow path in]])</f>
        <v>Groundwater</v>
      </c>
      <c r="M252" s="22" t="str">
        <f>IF(Table1[[#This Row],[Main source/flow path in (simple)]]="N/A","",Table1[[#This Row],[Main source/flow path in (simple)]])</f>
        <v>GW</v>
      </c>
      <c r="N252" s="22" t="str">
        <f>IF(Table1[[#This Row],[Main flow paths in buffer]]="N/A","",Table1[[#This Row],[Main flow paths in buffer]])</f>
        <v>Exfiltrating and pumping to hatchery =&gt; surface runoff</v>
      </c>
      <c r="O252" s="22" t="str">
        <f>IF(Table1[[#This Row],[Inflow=&gt;Outflow]]="N/A","",Table1[[#This Row],[Inflow=&gt;Outflow]])</f>
        <v>GW=&gt;SR</v>
      </c>
      <c r="P252" s="22">
        <f>IF(Table1[[#This Row],[Width '[m']]]="N/A","",Table1[[#This Row],[Width '[m']]])</f>
        <v>400</v>
      </c>
      <c r="Q252" s="22">
        <f>IF(Table1[[#This Row],[Area '[m²']]]="N/A","",Table1[[#This Row],[Area '[m²']]])</f>
        <v>485623</v>
      </c>
      <c r="R252" s="22">
        <f>IF(Table1[[#This Row],[Qin '[m³/yr']]]="N/A","",Table1[[#This Row],[Qin '[m³/yr']]])</f>
        <v>5427322.648</v>
      </c>
      <c r="S252" s="22">
        <f>IF(Table1[[#This Row],[Catchment area '[ha']]]="N/A","",Table1[[#This Row],[Catchment area '[ha']]])</f>
        <v>234.7</v>
      </c>
      <c r="T252" s="22">
        <f>IF(Table1[[#This Row],[HLR '[mm']]]="N/A","",Table1[[#This Row],[HLR '[mm']]])</f>
        <v>11176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2"/>
  <sheetViews>
    <sheetView workbookViewId="0">
      <selection activeCell="D1" sqref="D1"/>
    </sheetView>
  </sheetViews>
  <sheetFormatPr defaultColWidth="45.44140625" defaultRowHeight="14.4" x14ac:dyDescent="0.3"/>
  <cols>
    <col min="1" max="1" width="12.44140625" bestFit="1" customWidth="1"/>
    <col min="2" max="2" width="37" bestFit="1" customWidth="1"/>
    <col min="3" max="3" width="21.77734375" bestFit="1" customWidth="1"/>
    <col min="4" max="4" width="24.6640625" bestFit="1" customWidth="1"/>
    <col min="5" max="5" width="20.21875" customWidth="1"/>
    <col min="6" max="6" width="19.6640625" customWidth="1"/>
    <col min="7" max="7" width="24.33203125" customWidth="1"/>
    <col min="8" max="8" width="14.21875" customWidth="1"/>
    <col min="9" max="9" width="20.109375" customWidth="1"/>
    <col min="10" max="10" width="19" bestFit="1" customWidth="1"/>
    <col min="11" max="11" width="57.109375" bestFit="1" customWidth="1"/>
    <col min="12" max="12" width="45.6640625" bestFit="1" customWidth="1"/>
    <col min="13" max="13" width="31.77734375" bestFit="1" customWidth="1"/>
    <col min="14" max="14" width="59.44140625" bestFit="1" customWidth="1"/>
    <col min="15" max="15" width="17" customWidth="1"/>
    <col min="16" max="16" width="11.44140625" customWidth="1"/>
    <col min="17" max="17" width="10.88671875" customWidth="1"/>
    <col min="18" max="18" width="12.44140625" customWidth="1"/>
    <col min="19" max="19" width="20.109375" customWidth="1"/>
    <col min="20" max="20" width="11.21875" customWidth="1"/>
  </cols>
  <sheetData>
    <row r="1" spans="1:20" s="13" customFormat="1" x14ac:dyDescent="0.3">
      <c r="A1" s="24" t="s">
        <v>0</v>
      </c>
      <c r="B1" s="25" t="s">
        <v>81</v>
      </c>
      <c r="C1" s="25" t="s">
        <v>136</v>
      </c>
      <c r="D1" s="25" t="s">
        <v>2</v>
      </c>
      <c r="E1" s="25" t="s">
        <v>193</v>
      </c>
      <c r="F1" s="25" t="s">
        <v>194</v>
      </c>
      <c r="G1" s="25" t="s">
        <v>195</v>
      </c>
      <c r="H1" s="26" t="s">
        <v>3</v>
      </c>
      <c r="I1" s="25" t="s">
        <v>86</v>
      </c>
      <c r="J1" s="25" t="s">
        <v>87</v>
      </c>
      <c r="K1" s="25" t="s">
        <v>1</v>
      </c>
      <c r="L1" s="27" t="s">
        <v>98</v>
      </c>
      <c r="M1" s="27" t="s">
        <v>103</v>
      </c>
      <c r="N1" s="27" t="s">
        <v>114</v>
      </c>
      <c r="O1" s="27" t="s">
        <v>120</v>
      </c>
      <c r="P1" s="28" t="s">
        <v>99</v>
      </c>
      <c r="Q1" s="28" t="s">
        <v>93</v>
      </c>
      <c r="R1" s="28" t="s">
        <v>94</v>
      </c>
      <c r="S1" s="28" t="s">
        <v>105</v>
      </c>
      <c r="T1" s="29" t="s">
        <v>92</v>
      </c>
    </row>
    <row r="2" spans="1:20" x14ac:dyDescent="0.3">
      <c r="A2" s="22" t="s">
        <v>30</v>
      </c>
      <c r="B2" s="1" t="s">
        <v>197</v>
      </c>
      <c r="C2" s="1" t="s">
        <v>134</v>
      </c>
      <c r="D2" s="1" t="s">
        <v>83</v>
      </c>
      <c r="E2" s="6"/>
      <c r="F2" s="6"/>
      <c r="G2" s="6"/>
      <c r="H2" s="7">
        <v>32</v>
      </c>
      <c r="I2" s="1" t="s">
        <v>13</v>
      </c>
      <c r="J2" s="1" t="s">
        <v>10</v>
      </c>
      <c r="K2" s="1" t="s">
        <v>228</v>
      </c>
      <c r="L2" s="2" t="s">
        <v>121</v>
      </c>
      <c r="M2" s="3" t="s">
        <v>102</v>
      </c>
      <c r="N2" s="2" t="s">
        <v>122</v>
      </c>
      <c r="O2" s="2" t="s">
        <v>123</v>
      </c>
      <c r="P2" s="4">
        <v>2</v>
      </c>
      <c r="Q2" s="4">
        <f>1.2*P2</f>
        <v>2.4</v>
      </c>
      <c r="R2" s="4">
        <f>(2925+2285+2760)/(57+64+59)*60*24*365/1000</f>
        <v>23272.400000000001</v>
      </c>
      <c r="S2" s="4" t="s">
        <v>96</v>
      </c>
      <c r="T2" s="23">
        <f>R2/Q2*1000</f>
        <v>9696833.333333334</v>
      </c>
    </row>
    <row r="3" spans="1:20" x14ac:dyDescent="0.3">
      <c r="A3" s="22" t="s">
        <v>30</v>
      </c>
      <c r="B3" s="1" t="s">
        <v>197</v>
      </c>
      <c r="C3" s="1" t="s">
        <v>134</v>
      </c>
      <c r="D3" s="1" t="s">
        <v>83</v>
      </c>
      <c r="E3" s="6"/>
      <c r="F3" s="6"/>
      <c r="G3" s="6"/>
      <c r="H3" s="7">
        <v>54</v>
      </c>
      <c r="I3" s="1" t="s">
        <v>13</v>
      </c>
      <c r="J3" s="1" t="s">
        <v>10</v>
      </c>
      <c r="K3" s="1" t="s">
        <v>228</v>
      </c>
      <c r="L3" s="2" t="s">
        <v>121</v>
      </c>
      <c r="M3" s="3" t="s">
        <v>102</v>
      </c>
      <c r="N3" s="2" t="s">
        <v>122</v>
      </c>
      <c r="O3" s="2" t="s">
        <v>123</v>
      </c>
      <c r="P3" s="4">
        <v>5</v>
      </c>
      <c r="Q3" s="4">
        <f>1.2*P3</f>
        <v>6</v>
      </c>
      <c r="R3" s="4">
        <f>(2745+3265+2960+4030+3680+4700+4240+4900+2835+2665+3310)/(64+63+64+101+78+96+90+90+56+54+68)*60*24*365/1000</f>
        <v>25087.194174757278</v>
      </c>
      <c r="S3" s="4" t="s">
        <v>96</v>
      </c>
      <c r="T3" s="23">
        <f>R3/Q3*1000</f>
        <v>4181199.0291262129</v>
      </c>
    </row>
    <row r="4" spans="1:20" x14ac:dyDescent="0.3">
      <c r="A4" s="22" t="s">
        <v>30</v>
      </c>
      <c r="B4" s="1" t="s">
        <v>197</v>
      </c>
      <c r="C4" s="1" t="s">
        <v>134</v>
      </c>
      <c r="D4" s="1" t="s">
        <v>83</v>
      </c>
      <c r="E4" s="6"/>
      <c r="F4" s="6"/>
      <c r="G4" s="6"/>
      <c r="H4" s="7">
        <v>67</v>
      </c>
      <c r="I4" s="1" t="s">
        <v>13</v>
      </c>
      <c r="J4" s="1" t="s">
        <v>10</v>
      </c>
      <c r="K4" s="1" t="s">
        <v>228</v>
      </c>
      <c r="L4" s="2" t="s">
        <v>121</v>
      </c>
      <c r="M4" s="3" t="s">
        <v>102</v>
      </c>
      <c r="N4" s="2" t="s">
        <v>122</v>
      </c>
      <c r="O4" s="2" t="s">
        <v>123</v>
      </c>
      <c r="P4" s="4">
        <v>10</v>
      </c>
      <c r="Q4" s="4">
        <f>1.2*P4</f>
        <v>12</v>
      </c>
      <c r="R4" s="4">
        <f>(3090+3125+3425)/(70+91+83)*60*24*365/1000</f>
        <v>20765.508196721315</v>
      </c>
      <c r="S4" s="4" t="s">
        <v>96</v>
      </c>
      <c r="T4" s="23">
        <f>R4/Q4*1000</f>
        <v>1730459.0163934429</v>
      </c>
    </row>
    <row r="5" spans="1:20" x14ac:dyDescent="0.3">
      <c r="A5" s="22" t="s">
        <v>30</v>
      </c>
      <c r="B5" s="1" t="s">
        <v>197</v>
      </c>
      <c r="C5" s="1" t="s">
        <v>134</v>
      </c>
      <c r="D5" s="1" t="s">
        <v>83</v>
      </c>
      <c r="E5" s="6"/>
      <c r="F5" s="6"/>
      <c r="G5" s="6"/>
      <c r="H5" s="7">
        <v>79</v>
      </c>
      <c r="I5" s="1" t="s">
        <v>13</v>
      </c>
      <c r="J5" s="1" t="s">
        <v>10</v>
      </c>
      <c r="K5" s="1" t="s">
        <v>228</v>
      </c>
      <c r="L5" s="2" t="s">
        <v>121</v>
      </c>
      <c r="M5" s="3" t="s">
        <v>102</v>
      </c>
      <c r="N5" s="2" t="s">
        <v>122</v>
      </c>
      <c r="O5" s="2" t="s">
        <v>123</v>
      </c>
      <c r="P5" s="4">
        <v>15</v>
      </c>
      <c r="Q5" s="4">
        <f>1.2*P5</f>
        <v>18</v>
      </c>
      <c r="R5" s="4">
        <f>(4400+4425+3970)/(79+83+76)*60*24*365/1000</f>
        <v>28256.521008403364</v>
      </c>
      <c r="S5" s="4" t="s">
        <v>96</v>
      </c>
      <c r="T5" s="23">
        <f>R5/Q5*1000</f>
        <v>1569806.7226890756</v>
      </c>
    </row>
    <row r="6" spans="1:20" x14ac:dyDescent="0.3">
      <c r="A6" s="22" t="s">
        <v>30</v>
      </c>
      <c r="B6" s="1" t="s">
        <v>196</v>
      </c>
      <c r="C6" s="1" t="s">
        <v>133</v>
      </c>
      <c r="D6" s="1" t="s">
        <v>84</v>
      </c>
      <c r="E6" s="6">
        <v>35.700000000000003</v>
      </c>
      <c r="F6" s="6">
        <v>27</v>
      </c>
      <c r="G6" s="6">
        <v>8.6999999999999993</v>
      </c>
      <c r="H6" s="7">
        <v>24</v>
      </c>
      <c r="I6" s="1" t="s">
        <v>77</v>
      </c>
      <c r="J6" s="1" t="s">
        <v>80</v>
      </c>
      <c r="K6" s="1" t="s">
        <v>74</v>
      </c>
      <c r="L6" s="2" t="s">
        <v>167</v>
      </c>
      <c r="M6" s="3" t="s">
        <v>107</v>
      </c>
      <c r="N6" s="2" t="s">
        <v>122</v>
      </c>
      <c r="O6" s="2" t="s">
        <v>119</v>
      </c>
      <c r="P6" s="4">
        <v>200</v>
      </c>
      <c r="Q6" s="4">
        <f>0.1*10000</f>
        <v>1000</v>
      </c>
      <c r="R6" s="4">
        <f>T6/1000*Q6</f>
        <v>34600</v>
      </c>
      <c r="S6" s="5">
        <v>6.6</v>
      </c>
      <c r="T6" s="23">
        <f>34.6*1000</f>
        <v>34600</v>
      </c>
    </row>
    <row r="7" spans="1:20" x14ac:dyDescent="0.3">
      <c r="A7" s="22" t="s">
        <v>30</v>
      </c>
      <c r="B7" s="1" t="s">
        <v>196</v>
      </c>
      <c r="C7" s="1" t="s">
        <v>133</v>
      </c>
      <c r="D7" s="1" t="s">
        <v>85</v>
      </c>
      <c r="E7" s="6">
        <v>3.93</v>
      </c>
      <c r="F7" s="6">
        <v>2.6</v>
      </c>
      <c r="G7" s="6">
        <v>1.33</v>
      </c>
      <c r="H7" s="7">
        <v>34</v>
      </c>
      <c r="I7" s="1" t="s">
        <v>77</v>
      </c>
      <c r="J7" s="1" t="s">
        <v>80</v>
      </c>
      <c r="K7" s="1" t="s">
        <v>74</v>
      </c>
      <c r="L7" s="2" t="s">
        <v>167</v>
      </c>
      <c r="M7" s="3" t="s">
        <v>107</v>
      </c>
      <c r="N7" s="2" t="s">
        <v>122</v>
      </c>
      <c r="O7" s="2" t="s">
        <v>119</v>
      </c>
      <c r="P7" s="4">
        <v>200</v>
      </c>
      <c r="Q7" s="4">
        <f>0.1*10000</f>
        <v>1000</v>
      </c>
      <c r="R7" s="4">
        <f>T7/1000*Q7</f>
        <v>34600</v>
      </c>
      <c r="S7" s="5">
        <v>6.6</v>
      </c>
      <c r="T7" s="23">
        <f>34.6*1000</f>
        <v>34600</v>
      </c>
    </row>
    <row r="8" spans="1:20" x14ac:dyDescent="0.3">
      <c r="A8" s="22" t="s">
        <v>30</v>
      </c>
      <c r="B8" s="1" t="s">
        <v>196</v>
      </c>
      <c r="C8" s="1" t="s">
        <v>133</v>
      </c>
      <c r="D8" s="1" t="s">
        <v>89</v>
      </c>
      <c r="E8" s="8">
        <v>65.36999999999999</v>
      </c>
      <c r="F8" s="8">
        <v>69.800000000000011</v>
      </c>
      <c r="G8" s="8">
        <v>-4.430000000000021</v>
      </c>
      <c r="H8" s="7">
        <v>-6.7768089337616981</v>
      </c>
      <c r="I8" s="1" t="s">
        <v>77</v>
      </c>
      <c r="J8" s="1" t="s">
        <v>80</v>
      </c>
      <c r="K8" s="1" t="s">
        <v>74</v>
      </c>
      <c r="L8" s="2" t="s">
        <v>167</v>
      </c>
      <c r="M8" s="3" t="s">
        <v>107</v>
      </c>
      <c r="N8" s="2" t="s">
        <v>122</v>
      </c>
      <c r="O8" s="2" t="s">
        <v>119</v>
      </c>
      <c r="P8" s="4">
        <v>200</v>
      </c>
      <c r="Q8" s="4">
        <f>0.1*10000</f>
        <v>1000</v>
      </c>
      <c r="R8" s="4">
        <f>T8/1000*Q8</f>
        <v>34600</v>
      </c>
      <c r="S8" s="5">
        <v>6.6</v>
      </c>
      <c r="T8" s="23">
        <f>34.6*1000</f>
        <v>34600</v>
      </c>
    </row>
    <row r="9" spans="1:20" x14ac:dyDescent="0.3">
      <c r="A9" s="22" t="s">
        <v>30</v>
      </c>
      <c r="B9" s="1" t="s">
        <v>196</v>
      </c>
      <c r="C9" s="1" t="s">
        <v>133</v>
      </c>
      <c r="D9" s="1" t="s">
        <v>82</v>
      </c>
      <c r="E9" s="6">
        <v>105</v>
      </c>
      <c r="F9" s="6">
        <v>99.4</v>
      </c>
      <c r="G9" s="6">
        <v>5.6</v>
      </c>
      <c r="H9" s="7">
        <v>5</v>
      </c>
      <c r="I9" s="1" t="s">
        <v>77</v>
      </c>
      <c r="J9" s="1" t="s">
        <v>80</v>
      </c>
      <c r="K9" s="1" t="s">
        <v>74</v>
      </c>
      <c r="L9" s="2" t="s">
        <v>167</v>
      </c>
      <c r="M9" s="3" t="s">
        <v>107</v>
      </c>
      <c r="N9" s="2" t="s">
        <v>122</v>
      </c>
      <c r="O9" s="2" t="s">
        <v>119</v>
      </c>
      <c r="P9" s="4">
        <v>200</v>
      </c>
      <c r="Q9" s="4">
        <f>0.1*10000</f>
        <v>1000</v>
      </c>
      <c r="R9" s="4">
        <f>T9/1000*Q9</f>
        <v>34600</v>
      </c>
      <c r="S9" s="5">
        <v>6.6</v>
      </c>
      <c r="T9" s="23">
        <f>34.6*1000</f>
        <v>34600</v>
      </c>
    </row>
    <row r="10" spans="1:20" x14ac:dyDescent="0.3">
      <c r="A10" s="22" t="s">
        <v>30</v>
      </c>
      <c r="B10" s="1" t="s">
        <v>196</v>
      </c>
      <c r="C10" s="1" t="s">
        <v>133</v>
      </c>
      <c r="D10" s="1" t="s">
        <v>83</v>
      </c>
      <c r="E10" s="6">
        <v>2.97</v>
      </c>
      <c r="F10" s="6">
        <v>2.4700000000000002</v>
      </c>
      <c r="G10" s="6">
        <v>0.51</v>
      </c>
      <c r="H10" s="7">
        <v>17</v>
      </c>
      <c r="I10" s="1" t="s">
        <v>77</v>
      </c>
      <c r="J10" s="1" t="s">
        <v>80</v>
      </c>
      <c r="K10" s="1" t="s">
        <v>74</v>
      </c>
      <c r="L10" s="2" t="s">
        <v>167</v>
      </c>
      <c r="M10" s="3" t="s">
        <v>107</v>
      </c>
      <c r="N10" s="2" t="s">
        <v>122</v>
      </c>
      <c r="O10" s="2" t="s">
        <v>119</v>
      </c>
      <c r="P10" s="4">
        <v>200</v>
      </c>
      <c r="Q10" s="4">
        <f>0.1*10000</f>
        <v>1000</v>
      </c>
      <c r="R10" s="4">
        <f>T10/1000*Q10</f>
        <v>34600</v>
      </c>
      <c r="S10" s="5">
        <v>6.6</v>
      </c>
      <c r="T10" s="23">
        <f>34.6*1000</f>
        <v>34600</v>
      </c>
    </row>
    <row r="11" spans="1:20" x14ac:dyDescent="0.3">
      <c r="A11" s="22" t="s">
        <v>4</v>
      </c>
      <c r="B11" s="1" t="s">
        <v>23</v>
      </c>
      <c r="C11" s="1" t="s">
        <v>133</v>
      </c>
      <c r="D11" s="1" t="s">
        <v>84</v>
      </c>
      <c r="E11" s="6">
        <v>91.578947368421055</v>
      </c>
      <c r="F11" s="6">
        <v>4.5789473684210549</v>
      </c>
      <c r="G11" s="6">
        <v>87</v>
      </c>
      <c r="H11" s="7">
        <v>95</v>
      </c>
      <c r="I11" s="1" t="s">
        <v>77</v>
      </c>
      <c r="J11" s="1" t="s">
        <v>80</v>
      </c>
      <c r="K11" s="1" t="s">
        <v>24</v>
      </c>
      <c r="L11" s="2" t="s">
        <v>108</v>
      </c>
      <c r="M11" s="3" t="s">
        <v>101</v>
      </c>
      <c r="N11" s="2" t="s">
        <v>108</v>
      </c>
      <c r="O11" s="2" t="s">
        <v>118</v>
      </c>
      <c r="P11" s="4">
        <v>80</v>
      </c>
      <c r="Q11" s="11">
        <v>630000</v>
      </c>
      <c r="R11" s="4">
        <f>6.43*100000*12</f>
        <v>7716000</v>
      </c>
      <c r="S11" s="11">
        <v>700</v>
      </c>
      <c r="T11" s="23">
        <f t="shared" ref="T11:T19" si="0">R11/Q11*1000</f>
        <v>12247.619047619046</v>
      </c>
    </row>
    <row r="12" spans="1:20" x14ac:dyDescent="0.3">
      <c r="A12" s="22" t="s">
        <v>4</v>
      </c>
      <c r="B12" s="1" t="s">
        <v>23</v>
      </c>
      <c r="C12" s="1" t="s">
        <v>133</v>
      </c>
      <c r="D12" s="1" t="s">
        <v>82</v>
      </c>
      <c r="E12" s="6"/>
      <c r="F12" s="6"/>
      <c r="G12" s="6">
        <v>141</v>
      </c>
      <c r="H12" s="7"/>
      <c r="I12" s="1" t="s">
        <v>77</v>
      </c>
      <c r="J12" s="1" t="s">
        <v>80</v>
      </c>
      <c r="K12" s="1" t="s">
        <v>24</v>
      </c>
      <c r="L12" s="2" t="s">
        <v>108</v>
      </c>
      <c r="M12" s="3" t="s">
        <v>101</v>
      </c>
      <c r="N12" s="2" t="s">
        <v>108</v>
      </c>
      <c r="O12" s="2" t="s">
        <v>118</v>
      </c>
      <c r="P12" s="4">
        <v>80</v>
      </c>
      <c r="Q12" s="11">
        <v>630000</v>
      </c>
      <c r="R12" s="4">
        <f>6.43*100000*12</f>
        <v>7716000</v>
      </c>
      <c r="S12" s="11">
        <v>700</v>
      </c>
      <c r="T12" s="23">
        <f t="shared" si="0"/>
        <v>12247.619047619046</v>
      </c>
    </row>
    <row r="13" spans="1:20" x14ac:dyDescent="0.3">
      <c r="A13" s="22" t="s">
        <v>4</v>
      </c>
      <c r="B13" s="1" t="s">
        <v>23</v>
      </c>
      <c r="C13" s="1" t="s">
        <v>133</v>
      </c>
      <c r="D13" s="1" t="s">
        <v>181</v>
      </c>
      <c r="E13" s="6"/>
      <c r="F13" s="6"/>
      <c r="G13" s="6">
        <v>-2.6</v>
      </c>
      <c r="H13" s="7"/>
      <c r="I13" s="1" t="s">
        <v>77</v>
      </c>
      <c r="J13" s="1" t="s">
        <v>80</v>
      </c>
      <c r="K13" s="1" t="s">
        <v>24</v>
      </c>
      <c r="L13" s="2" t="s">
        <v>108</v>
      </c>
      <c r="M13" s="3" t="s">
        <v>101</v>
      </c>
      <c r="N13" s="2" t="s">
        <v>108</v>
      </c>
      <c r="O13" s="2" t="s">
        <v>118</v>
      </c>
      <c r="P13" s="4">
        <v>80</v>
      </c>
      <c r="Q13" s="11">
        <v>630000</v>
      </c>
      <c r="R13" s="4">
        <f>6.43*100000*12</f>
        <v>7716000</v>
      </c>
      <c r="S13" s="11">
        <v>700</v>
      </c>
      <c r="T13" s="23">
        <f t="shared" si="0"/>
        <v>12247.619047619046</v>
      </c>
    </row>
    <row r="14" spans="1:20" x14ac:dyDescent="0.3">
      <c r="A14" s="22" t="s">
        <v>4</v>
      </c>
      <c r="B14" s="1" t="s">
        <v>25</v>
      </c>
      <c r="C14" s="1" t="s">
        <v>133</v>
      </c>
      <c r="D14" s="1" t="s">
        <v>89</v>
      </c>
      <c r="E14" s="8">
        <v>22.783456154885975</v>
      </c>
      <c r="F14" s="8">
        <v>19.013456154885983</v>
      </c>
      <c r="G14" s="8">
        <v>3.7699999999999925</v>
      </c>
      <c r="H14" s="7">
        <v>16.547094410834177</v>
      </c>
      <c r="I14" s="1" t="s">
        <v>77</v>
      </c>
      <c r="J14" s="1" t="s">
        <v>10</v>
      </c>
      <c r="K14" s="1" t="s">
        <v>24</v>
      </c>
      <c r="L14" s="2" t="s">
        <v>140</v>
      </c>
      <c r="M14" s="3" t="s">
        <v>107</v>
      </c>
      <c r="N14" s="12" t="s">
        <v>141</v>
      </c>
      <c r="O14" s="2" t="s">
        <v>119</v>
      </c>
      <c r="P14" s="4">
        <v>400</v>
      </c>
      <c r="Q14" s="11">
        <f t="shared" ref="Q14:Q19" si="1">34*10000</f>
        <v>340000</v>
      </c>
      <c r="R14" s="4">
        <f t="shared" ref="R14:R19" si="2">118569+806*365</f>
        <v>412759</v>
      </c>
      <c r="S14" s="11">
        <v>161</v>
      </c>
      <c r="T14" s="23">
        <f t="shared" si="0"/>
        <v>1213.9970588235294</v>
      </c>
    </row>
    <row r="15" spans="1:20" x14ac:dyDescent="0.3">
      <c r="A15" s="22" t="s">
        <v>4</v>
      </c>
      <c r="B15" s="1" t="s">
        <v>25</v>
      </c>
      <c r="C15" s="1" t="s">
        <v>133</v>
      </c>
      <c r="D15" s="1" t="s">
        <v>84</v>
      </c>
      <c r="E15" s="6">
        <v>54.736842105263158</v>
      </c>
      <c r="F15" s="6">
        <v>2.7368421052631575</v>
      </c>
      <c r="G15" s="6">
        <v>52</v>
      </c>
      <c r="H15" s="7">
        <v>95</v>
      </c>
      <c r="I15" s="1" t="s">
        <v>77</v>
      </c>
      <c r="J15" s="1" t="s">
        <v>10</v>
      </c>
      <c r="K15" s="1" t="s">
        <v>24</v>
      </c>
      <c r="L15" s="2" t="s">
        <v>140</v>
      </c>
      <c r="M15" s="3" t="s">
        <v>107</v>
      </c>
      <c r="N15" s="12" t="s">
        <v>141</v>
      </c>
      <c r="O15" s="2" t="s">
        <v>119</v>
      </c>
      <c r="P15" s="4">
        <v>400</v>
      </c>
      <c r="Q15" s="11">
        <f t="shared" si="1"/>
        <v>340000</v>
      </c>
      <c r="R15" s="4">
        <f t="shared" si="2"/>
        <v>412759</v>
      </c>
      <c r="S15" s="11">
        <v>161</v>
      </c>
      <c r="T15" s="23">
        <f t="shared" si="0"/>
        <v>1213.9970588235294</v>
      </c>
    </row>
    <row r="16" spans="1:20" x14ac:dyDescent="0.3">
      <c r="A16" s="22" t="s">
        <v>4</v>
      </c>
      <c r="B16" s="1" t="s">
        <v>25</v>
      </c>
      <c r="C16" s="1" t="s">
        <v>133</v>
      </c>
      <c r="D16" s="1" t="s">
        <v>85</v>
      </c>
      <c r="E16" s="6">
        <v>1.3529411764705881</v>
      </c>
      <c r="F16" s="6">
        <v>1.1229411764705881</v>
      </c>
      <c r="G16" s="6">
        <v>0.23</v>
      </c>
      <c r="H16" s="7">
        <v>17</v>
      </c>
      <c r="I16" s="1" t="s">
        <v>77</v>
      </c>
      <c r="J16" s="1" t="s">
        <v>10</v>
      </c>
      <c r="K16" s="1" t="s">
        <v>24</v>
      </c>
      <c r="L16" s="2" t="s">
        <v>140</v>
      </c>
      <c r="M16" s="3" t="s">
        <v>107</v>
      </c>
      <c r="N16" s="12" t="s">
        <v>141</v>
      </c>
      <c r="O16" s="2" t="s">
        <v>119</v>
      </c>
      <c r="P16" s="4">
        <v>400</v>
      </c>
      <c r="Q16" s="11">
        <f t="shared" si="1"/>
        <v>340000</v>
      </c>
      <c r="R16" s="4">
        <f t="shared" si="2"/>
        <v>412759</v>
      </c>
      <c r="S16" s="11">
        <v>161</v>
      </c>
      <c r="T16" s="23">
        <f t="shared" si="0"/>
        <v>1213.9970588235294</v>
      </c>
    </row>
    <row r="17" spans="1:20" x14ac:dyDescent="0.3">
      <c r="A17" s="22" t="s">
        <v>4</v>
      </c>
      <c r="B17" s="1" t="s">
        <v>25</v>
      </c>
      <c r="C17" s="1" t="s">
        <v>133</v>
      </c>
      <c r="D17" s="1" t="s">
        <v>82</v>
      </c>
      <c r="E17" s="6">
        <v>78.873239436619727</v>
      </c>
      <c r="F17" s="6">
        <v>22.873239436619727</v>
      </c>
      <c r="G17" s="6">
        <v>56</v>
      </c>
      <c r="H17" s="7">
        <v>71</v>
      </c>
      <c r="I17" s="1" t="s">
        <v>77</v>
      </c>
      <c r="J17" s="1" t="s">
        <v>10</v>
      </c>
      <c r="K17" s="1" t="s">
        <v>24</v>
      </c>
      <c r="L17" s="2" t="s">
        <v>140</v>
      </c>
      <c r="M17" s="3" t="s">
        <v>107</v>
      </c>
      <c r="N17" s="12" t="s">
        <v>141</v>
      </c>
      <c r="O17" s="2" t="s">
        <v>119</v>
      </c>
      <c r="P17" s="4">
        <v>400</v>
      </c>
      <c r="Q17" s="11">
        <f t="shared" si="1"/>
        <v>340000</v>
      </c>
      <c r="R17" s="4">
        <f t="shared" si="2"/>
        <v>412759</v>
      </c>
      <c r="S17" s="11">
        <v>161</v>
      </c>
      <c r="T17" s="23">
        <f t="shared" si="0"/>
        <v>1213.9970588235294</v>
      </c>
    </row>
    <row r="18" spans="1:20" x14ac:dyDescent="0.3">
      <c r="A18" s="22" t="s">
        <v>4</v>
      </c>
      <c r="B18" s="1" t="s">
        <v>25</v>
      </c>
      <c r="C18" s="1" t="s">
        <v>133</v>
      </c>
      <c r="D18" s="1" t="s">
        <v>181</v>
      </c>
      <c r="E18" s="6">
        <v>0.83333333333333326</v>
      </c>
      <c r="F18" s="6">
        <v>0.38333333333333325</v>
      </c>
      <c r="G18" s="6">
        <v>0.45</v>
      </c>
      <c r="H18" s="7">
        <v>54</v>
      </c>
      <c r="I18" s="1" t="s">
        <v>77</v>
      </c>
      <c r="J18" s="1" t="s">
        <v>10</v>
      </c>
      <c r="K18" s="1" t="s">
        <v>24</v>
      </c>
      <c r="L18" s="2" t="s">
        <v>140</v>
      </c>
      <c r="M18" s="3" t="s">
        <v>107</v>
      </c>
      <c r="N18" s="12" t="s">
        <v>141</v>
      </c>
      <c r="O18" s="2" t="s">
        <v>119</v>
      </c>
      <c r="P18" s="4">
        <v>400</v>
      </c>
      <c r="Q18" s="11">
        <f t="shared" si="1"/>
        <v>340000</v>
      </c>
      <c r="R18" s="4">
        <f t="shared" si="2"/>
        <v>412759</v>
      </c>
      <c r="S18" s="11">
        <v>161</v>
      </c>
      <c r="T18" s="23">
        <f t="shared" si="0"/>
        <v>1213.9970588235294</v>
      </c>
    </row>
    <row r="19" spans="1:20" x14ac:dyDescent="0.3">
      <c r="A19" s="22" t="s">
        <v>4</v>
      </c>
      <c r="B19" s="1" t="s">
        <v>25</v>
      </c>
      <c r="C19" s="1" t="s">
        <v>133</v>
      </c>
      <c r="D19" s="1" t="s">
        <v>83</v>
      </c>
      <c r="E19" s="6">
        <v>2.166666666666667</v>
      </c>
      <c r="F19" s="6">
        <v>2.0366666666666671</v>
      </c>
      <c r="G19" s="6">
        <v>0.13</v>
      </c>
      <c r="H19" s="7">
        <v>6</v>
      </c>
      <c r="I19" s="1" t="s">
        <v>77</v>
      </c>
      <c r="J19" s="1" t="s">
        <v>10</v>
      </c>
      <c r="K19" s="1" t="s">
        <v>212</v>
      </c>
      <c r="L19" s="2" t="s">
        <v>140</v>
      </c>
      <c r="M19" s="3" t="s">
        <v>107</v>
      </c>
      <c r="N19" s="12" t="s">
        <v>141</v>
      </c>
      <c r="O19" s="2" t="s">
        <v>119</v>
      </c>
      <c r="P19" s="4">
        <v>400</v>
      </c>
      <c r="Q19" s="11">
        <f t="shared" si="1"/>
        <v>340000</v>
      </c>
      <c r="R19" s="4">
        <f t="shared" si="2"/>
        <v>412759</v>
      </c>
      <c r="S19" s="11">
        <v>161</v>
      </c>
      <c r="T19" s="23">
        <f t="shared" si="0"/>
        <v>1213.9970588235294</v>
      </c>
    </row>
    <row r="20" spans="1:20" x14ac:dyDescent="0.3">
      <c r="A20" s="22" t="s">
        <v>4</v>
      </c>
      <c r="B20" s="1" t="s">
        <v>37</v>
      </c>
      <c r="C20" s="1" t="s">
        <v>135</v>
      </c>
      <c r="D20" s="1" t="s">
        <v>84</v>
      </c>
      <c r="E20" s="6">
        <v>138.5</v>
      </c>
      <c r="F20" s="6">
        <v>75</v>
      </c>
      <c r="G20" s="6">
        <v>63.5</v>
      </c>
      <c r="H20" s="7">
        <f>G20/E20*100</f>
        <v>45.848375451263543</v>
      </c>
      <c r="I20" s="1" t="s">
        <v>13</v>
      </c>
      <c r="J20" s="1" t="s">
        <v>80</v>
      </c>
      <c r="K20" s="1" t="s">
        <v>38</v>
      </c>
      <c r="L20" s="2" t="s">
        <v>104</v>
      </c>
      <c r="M20" s="3" t="s">
        <v>102</v>
      </c>
      <c r="N20" s="2" t="s">
        <v>122</v>
      </c>
      <c r="O20" s="2" t="s">
        <v>123</v>
      </c>
      <c r="P20" s="4" t="s">
        <v>96</v>
      </c>
      <c r="Q20" s="4">
        <v>6200</v>
      </c>
      <c r="R20" s="4">
        <f>T20/1000*Q20</f>
        <v>17614.2</v>
      </c>
      <c r="S20" s="5">
        <v>4.5</v>
      </c>
      <c r="T20" s="23">
        <f>AVERAGE(3735,1947)</f>
        <v>2841</v>
      </c>
    </row>
    <row r="21" spans="1:20" x14ac:dyDescent="0.3">
      <c r="A21" s="22" t="s">
        <v>4</v>
      </c>
      <c r="B21" s="1" t="s">
        <v>37</v>
      </c>
      <c r="C21" s="1" t="s">
        <v>135</v>
      </c>
      <c r="D21" s="1" t="s">
        <v>82</v>
      </c>
      <c r="E21" s="6">
        <v>159.5</v>
      </c>
      <c r="F21" s="6">
        <v>159.5</v>
      </c>
      <c r="G21" s="6">
        <v>74.5</v>
      </c>
      <c r="H21" s="7">
        <v>46.708463949843257</v>
      </c>
      <c r="I21" s="1" t="s">
        <v>13</v>
      </c>
      <c r="J21" s="1" t="s">
        <v>80</v>
      </c>
      <c r="K21" s="1" t="s">
        <v>38</v>
      </c>
      <c r="L21" s="2" t="s">
        <v>104</v>
      </c>
      <c r="M21" s="3" t="s">
        <v>102</v>
      </c>
      <c r="N21" s="2" t="s">
        <v>122</v>
      </c>
      <c r="O21" s="2" t="s">
        <v>123</v>
      </c>
      <c r="P21" s="4" t="s">
        <v>96</v>
      </c>
      <c r="Q21" s="4">
        <v>6200</v>
      </c>
      <c r="R21" s="4">
        <f>T21/1000*Q21</f>
        <v>17614.2</v>
      </c>
      <c r="S21" s="5">
        <v>4.5</v>
      </c>
      <c r="T21" s="23">
        <f>AVERAGE(3735,1947)</f>
        <v>2841</v>
      </c>
    </row>
    <row r="22" spans="1:20" x14ac:dyDescent="0.3">
      <c r="A22" s="22" t="s">
        <v>4</v>
      </c>
      <c r="B22" s="1" t="s">
        <v>37</v>
      </c>
      <c r="C22" s="1" t="s">
        <v>135</v>
      </c>
      <c r="D22" s="1" t="s">
        <v>181</v>
      </c>
      <c r="E22" s="6">
        <v>0.33499999999999996</v>
      </c>
      <c r="F22" s="6">
        <v>0.39</v>
      </c>
      <c r="G22" s="6">
        <v>-5.5E-2</v>
      </c>
      <c r="H22" s="7">
        <v>-16.417910447761198</v>
      </c>
      <c r="I22" s="1" t="s">
        <v>13</v>
      </c>
      <c r="J22" s="1" t="s">
        <v>80</v>
      </c>
      <c r="K22" s="1" t="s">
        <v>38</v>
      </c>
      <c r="L22" s="2" t="s">
        <v>104</v>
      </c>
      <c r="M22" s="3" t="s">
        <v>102</v>
      </c>
      <c r="N22" s="2" t="s">
        <v>122</v>
      </c>
      <c r="O22" s="2" t="s">
        <v>123</v>
      </c>
      <c r="P22" s="4" t="s">
        <v>96</v>
      </c>
      <c r="Q22" s="4">
        <v>6200</v>
      </c>
      <c r="R22" s="4">
        <f>T22/1000*Q22</f>
        <v>17614.2</v>
      </c>
      <c r="S22" s="5">
        <v>4.5</v>
      </c>
      <c r="T22" s="23">
        <f>AVERAGE(3735,1947)</f>
        <v>2841</v>
      </c>
    </row>
    <row r="23" spans="1:20" x14ac:dyDescent="0.3">
      <c r="A23" s="22" t="s">
        <v>4</v>
      </c>
      <c r="B23" s="1" t="s">
        <v>37</v>
      </c>
      <c r="C23" s="1" t="s">
        <v>135</v>
      </c>
      <c r="D23" s="1" t="s">
        <v>83</v>
      </c>
      <c r="E23" s="6">
        <v>0.93500000000000005</v>
      </c>
      <c r="F23" s="6">
        <v>0.97</v>
      </c>
      <c r="G23" s="6">
        <v>-3.4999999999999996E-2</v>
      </c>
      <c r="H23" s="7">
        <v>-3.7433155080213902</v>
      </c>
      <c r="I23" s="1" t="s">
        <v>13</v>
      </c>
      <c r="J23" s="1" t="s">
        <v>80</v>
      </c>
      <c r="K23" s="1" t="s">
        <v>38</v>
      </c>
      <c r="L23" s="2" t="s">
        <v>104</v>
      </c>
      <c r="M23" s="3" t="s">
        <v>102</v>
      </c>
      <c r="N23" s="2" t="s">
        <v>122</v>
      </c>
      <c r="O23" s="2" t="s">
        <v>123</v>
      </c>
      <c r="P23" s="4" t="s">
        <v>96</v>
      </c>
      <c r="Q23" s="4">
        <v>6200</v>
      </c>
      <c r="R23" s="4">
        <f>T23/1000*Q23</f>
        <v>17614.2</v>
      </c>
      <c r="S23" s="5">
        <v>4.5</v>
      </c>
      <c r="T23" s="23">
        <f>AVERAGE(3735,1947)</f>
        <v>2841</v>
      </c>
    </row>
    <row r="24" spans="1:20" x14ac:dyDescent="0.3">
      <c r="A24" s="22" t="s">
        <v>4</v>
      </c>
      <c r="B24" s="1" t="s">
        <v>154</v>
      </c>
      <c r="C24" s="1" t="s">
        <v>133</v>
      </c>
      <c r="D24" s="1" t="s">
        <v>82</v>
      </c>
      <c r="E24" s="6">
        <v>80.685862835029837</v>
      </c>
      <c r="F24" s="1">
        <v>49.1</v>
      </c>
      <c r="G24" s="6">
        <f t="shared" ref="G24:G39" si="3">E24-F24</f>
        <v>31.585862835029836</v>
      </c>
      <c r="H24" s="7">
        <v>39</v>
      </c>
      <c r="I24" s="1" t="s">
        <v>77</v>
      </c>
      <c r="J24" s="1" t="s">
        <v>10</v>
      </c>
      <c r="K24" s="1" t="s">
        <v>190</v>
      </c>
      <c r="L24" s="3" t="s">
        <v>126</v>
      </c>
      <c r="M24" s="3" t="s">
        <v>127</v>
      </c>
      <c r="N24" s="2" t="s">
        <v>128</v>
      </c>
      <c r="O24" s="3" t="s">
        <v>123</v>
      </c>
      <c r="P24" s="4">
        <v>115</v>
      </c>
      <c r="Q24" s="4">
        <f>1.151*10000</f>
        <v>11510</v>
      </c>
      <c r="R24" s="4">
        <f t="shared" ref="R24:R39" si="4">Q24*T24/10000</f>
        <v>1571.115</v>
      </c>
      <c r="S24" s="5">
        <v>3.9</v>
      </c>
      <c r="T24" s="23">
        <v>1365</v>
      </c>
    </row>
    <row r="25" spans="1:20" x14ac:dyDescent="0.3">
      <c r="A25" s="22" t="s">
        <v>4</v>
      </c>
      <c r="B25" s="1" t="s">
        <v>154</v>
      </c>
      <c r="C25" s="1" t="s">
        <v>133</v>
      </c>
      <c r="D25" s="1" t="s">
        <v>84</v>
      </c>
      <c r="E25" s="1">
        <v>68.400000000000006</v>
      </c>
      <c r="F25" s="1">
        <v>20.100000000000001</v>
      </c>
      <c r="G25" s="6">
        <f t="shared" si="3"/>
        <v>48.300000000000004</v>
      </c>
      <c r="H25" s="7">
        <v>71</v>
      </c>
      <c r="I25" s="1" t="s">
        <v>77</v>
      </c>
      <c r="J25" s="1" t="s">
        <v>10</v>
      </c>
      <c r="K25" s="1" t="s">
        <v>190</v>
      </c>
      <c r="L25" s="3" t="s">
        <v>126</v>
      </c>
      <c r="M25" s="3" t="s">
        <v>127</v>
      </c>
      <c r="N25" s="2" t="s">
        <v>128</v>
      </c>
      <c r="O25" s="3" t="s">
        <v>123</v>
      </c>
      <c r="P25" s="4">
        <v>115</v>
      </c>
      <c r="Q25" s="4">
        <f>1.151*10000</f>
        <v>11510</v>
      </c>
      <c r="R25" s="4">
        <f t="shared" si="4"/>
        <v>1571.115</v>
      </c>
      <c r="S25" s="5">
        <v>3.9</v>
      </c>
      <c r="T25" s="23">
        <v>1365</v>
      </c>
    </row>
    <row r="26" spans="1:20" x14ac:dyDescent="0.3">
      <c r="A26" s="22" t="s">
        <v>4</v>
      </c>
      <c r="B26" s="1" t="s">
        <v>154</v>
      </c>
      <c r="C26" s="1" t="s">
        <v>133</v>
      </c>
      <c r="D26" s="1" t="s">
        <v>85</v>
      </c>
      <c r="E26" s="1">
        <v>9.07</v>
      </c>
      <c r="F26" s="1">
        <v>4</v>
      </c>
      <c r="G26" s="6">
        <f t="shared" si="3"/>
        <v>5.07</v>
      </c>
      <c r="H26" s="7">
        <v>56</v>
      </c>
      <c r="I26" s="1" t="s">
        <v>77</v>
      </c>
      <c r="J26" s="1" t="s">
        <v>10</v>
      </c>
      <c r="K26" s="1" t="s">
        <v>190</v>
      </c>
      <c r="L26" s="3" t="s">
        <v>126</v>
      </c>
      <c r="M26" s="3" t="s">
        <v>127</v>
      </c>
      <c r="N26" s="2" t="s">
        <v>128</v>
      </c>
      <c r="O26" s="3" t="s">
        <v>123</v>
      </c>
      <c r="P26" s="4">
        <v>115</v>
      </c>
      <c r="Q26" s="4">
        <f>1.151*10000</f>
        <v>11510</v>
      </c>
      <c r="R26" s="4">
        <f t="shared" si="4"/>
        <v>1571.115</v>
      </c>
      <c r="S26" s="5">
        <v>3.9</v>
      </c>
      <c r="T26" s="23">
        <v>1365</v>
      </c>
    </row>
    <row r="27" spans="1:20" x14ac:dyDescent="0.3">
      <c r="A27" s="22" t="s">
        <v>4</v>
      </c>
      <c r="B27" s="1" t="s">
        <v>154</v>
      </c>
      <c r="C27" s="1" t="s">
        <v>133</v>
      </c>
      <c r="D27" s="1" t="s">
        <v>89</v>
      </c>
      <c r="E27" s="1">
        <v>3.24</v>
      </c>
      <c r="F27" s="1">
        <v>25</v>
      </c>
      <c r="G27" s="6">
        <f t="shared" si="3"/>
        <v>-21.759999999999998</v>
      </c>
      <c r="H27" s="7">
        <v>-674</v>
      </c>
      <c r="I27" s="1" t="s">
        <v>77</v>
      </c>
      <c r="J27" s="1" t="s">
        <v>10</v>
      </c>
      <c r="K27" s="1" t="s">
        <v>190</v>
      </c>
      <c r="L27" s="3" t="s">
        <v>126</v>
      </c>
      <c r="M27" s="3" t="s">
        <v>127</v>
      </c>
      <c r="N27" s="2" t="s">
        <v>128</v>
      </c>
      <c r="O27" s="3" t="s">
        <v>123</v>
      </c>
      <c r="P27" s="4">
        <v>115</v>
      </c>
      <c r="Q27" s="4">
        <f>1.151*10000</f>
        <v>11510</v>
      </c>
      <c r="R27" s="4">
        <f t="shared" si="4"/>
        <v>1571.115</v>
      </c>
      <c r="S27" s="5">
        <v>3.9</v>
      </c>
      <c r="T27" s="23">
        <v>1365</v>
      </c>
    </row>
    <row r="28" spans="1:20" x14ac:dyDescent="0.3">
      <c r="A28" s="22" t="s">
        <v>4</v>
      </c>
      <c r="B28" s="1" t="s">
        <v>155</v>
      </c>
      <c r="C28" s="1" t="s">
        <v>133</v>
      </c>
      <c r="D28" s="1" t="s">
        <v>82</v>
      </c>
      <c r="E28" s="1">
        <v>1170</v>
      </c>
      <c r="F28" s="1">
        <v>1157</v>
      </c>
      <c r="G28" s="6">
        <f t="shared" si="3"/>
        <v>13</v>
      </c>
      <c r="H28" s="7">
        <v>1</v>
      </c>
      <c r="I28" s="1" t="s">
        <v>77</v>
      </c>
      <c r="J28" s="1" t="s">
        <v>10</v>
      </c>
      <c r="K28" s="1" t="s">
        <v>190</v>
      </c>
      <c r="L28" s="3" t="s">
        <v>104</v>
      </c>
      <c r="M28" s="3" t="s">
        <v>102</v>
      </c>
      <c r="N28" s="2" t="s">
        <v>122</v>
      </c>
      <c r="O28" s="3" t="s">
        <v>123</v>
      </c>
      <c r="P28" s="4">
        <v>35</v>
      </c>
      <c r="Q28" s="4">
        <f>0.113*10000</f>
        <v>1130</v>
      </c>
      <c r="R28" s="4">
        <f t="shared" si="4"/>
        <v>1590.4749999999999</v>
      </c>
      <c r="S28" s="5">
        <v>7.6</v>
      </c>
      <c r="T28" s="23">
        <v>14075</v>
      </c>
    </row>
    <row r="29" spans="1:20" x14ac:dyDescent="0.3">
      <c r="A29" s="22" t="s">
        <v>4</v>
      </c>
      <c r="B29" s="1" t="s">
        <v>155</v>
      </c>
      <c r="C29" s="1" t="s">
        <v>133</v>
      </c>
      <c r="D29" s="1" t="s">
        <v>84</v>
      </c>
      <c r="E29" s="1">
        <v>1045</v>
      </c>
      <c r="F29" s="1">
        <v>786</v>
      </c>
      <c r="G29" s="6">
        <f t="shared" si="3"/>
        <v>259</v>
      </c>
      <c r="H29" s="7">
        <v>25</v>
      </c>
      <c r="I29" s="1" t="s">
        <v>77</v>
      </c>
      <c r="J29" s="1" t="s">
        <v>10</v>
      </c>
      <c r="K29" s="1" t="s">
        <v>190</v>
      </c>
      <c r="L29" s="3" t="s">
        <v>104</v>
      </c>
      <c r="M29" s="3" t="s">
        <v>102</v>
      </c>
      <c r="N29" s="2" t="s">
        <v>122</v>
      </c>
      <c r="O29" s="3" t="s">
        <v>123</v>
      </c>
      <c r="P29" s="4">
        <v>35</v>
      </c>
      <c r="Q29" s="4">
        <f>0.113*10000</f>
        <v>1130</v>
      </c>
      <c r="R29" s="4">
        <f t="shared" si="4"/>
        <v>1590.4749999999999</v>
      </c>
      <c r="S29" s="5">
        <v>7.6</v>
      </c>
      <c r="T29" s="23">
        <v>14075</v>
      </c>
    </row>
    <row r="30" spans="1:20" x14ac:dyDescent="0.3">
      <c r="A30" s="22" t="s">
        <v>4</v>
      </c>
      <c r="B30" s="1" t="s">
        <v>155</v>
      </c>
      <c r="C30" s="1" t="s">
        <v>133</v>
      </c>
      <c r="D30" s="1" t="s">
        <v>85</v>
      </c>
      <c r="E30" s="1">
        <v>12.3</v>
      </c>
      <c r="F30" s="1">
        <v>146</v>
      </c>
      <c r="G30" s="6">
        <f t="shared" si="3"/>
        <v>-133.69999999999999</v>
      </c>
      <c r="H30" s="7">
        <v>-1084</v>
      </c>
      <c r="I30" s="1" t="s">
        <v>77</v>
      </c>
      <c r="J30" s="1" t="s">
        <v>10</v>
      </c>
      <c r="K30" s="1" t="s">
        <v>190</v>
      </c>
      <c r="L30" s="3" t="s">
        <v>104</v>
      </c>
      <c r="M30" s="3" t="s">
        <v>102</v>
      </c>
      <c r="N30" s="2" t="s">
        <v>122</v>
      </c>
      <c r="O30" s="3" t="s">
        <v>123</v>
      </c>
      <c r="P30" s="4">
        <v>35</v>
      </c>
      <c r="Q30" s="4">
        <f>0.113*10000</f>
        <v>1130</v>
      </c>
      <c r="R30" s="4">
        <f t="shared" si="4"/>
        <v>1590.4749999999999</v>
      </c>
      <c r="S30" s="5">
        <v>7.6</v>
      </c>
      <c r="T30" s="23">
        <v>14075</v>
      </c>
    </row>
    <row r="31" spans="1:20" x14ac:dyDescent="0.3">
      <c r="A31" s="22" t="s">
        <v>4</v>
      </c>
      <c r="B31" s="1" t="s">
        <v>155</v>
      </c>
      <c r="C31" s="1" t="s">
        <v>133</v>
      </c>
      <c r="D31" s="1" t="s">
        <v>89</v>
      </c>
      <c r="E31" s="1">
        <v>111</v>
      </c>
      <c r="F31" s="1">
        <v>225</v>
      </c>
      <c r="G31" s="6">
        <f t="shared" si="3"/>
        <v>-114</v>
      </c>
      <c r="H31" s="7">
        <v>-102</v>
      </c>
      <c r="I31" s="1" t="s">
        <v>77</v>
      </c>
      <c r="J31" s="1" t="s">
        <v>10</v>
      </c>
      <c r="K31" s="1" t="s">
        <v>190</v>
      </c>
      <c r="L31" s="3" t="s">
        <v>104</v>
      </c>
      <c r="M31" s="3" t="s">
        <v>102</v>
      </c>
      <c r="N31" s="2" t="s">
        <v>122</v>
      </c>
      <c r="O31" s="3" t="s">
        <v>123</v>
      </c>
      <c r="P31" s="4">
        <v>35</v>
      </c>
      <c r="Q31" s="4">
        <f>0.113*10000</f>
        <v>1130</v>
      </c>
      <c r="R31" s="4">
        <f t="shared" si="4"/>
        <v>1590.4749999999999</v>
      </c>
      <c r="S31" s="5">
        <v>7.6</v>
      </c>
      <c r="T31" s="23">
        <v>14075</v>
      </c>
    </row>
    <row r="32" spans="1:20" x14ac:dyDescent="0.3">
      <c r="A32" s="22" t="s">
        <v>4</v>
      </c>
      <c r="B32" s="1" t="s">
        <v>156</v>
      </c>
      <c r="C32" s="1" t="s">
        <v>133</v>
      </c>
      <c r="D32" s="1" t="s">
        <v>82</v>
      </c>
      <c r="E32" s="1">
        <v>515</v>
      </c>
      <c r="F32" s="1">
        <v>227</v>
      </c>
      <c r="G32" s="6">
        <f t="shared" si="3"/>
        <v>288</v>
      </c>
      <c r="H32" s="7">
        <v>56</v>
      </c>
      <c r="I32" s="1" t="s">
        <v>77</v>
      </c>
      <c r="J32" s="1" t="s">
        <v>10</v>
      </c>
      <c r="K32" s="1" t="s">
        <v>190</v>
      </c>
      <c r="L32" s="3" t="s">
        <v>104</v>
      </c>
      <c r="M32" s="3" t="s">
        <v>102</v>
      </c>
      <c r="N32" s="2" t="s">
        <v>129</v>
      </c>
      <c r="O32" s="3" t="s">
        <v>123</v>
      </c>
      <c r="P32" s="4">
        <v>150</v>
      </c>
      <c r="Q32" s="4">
        <f>1.169*10000</f>
        <v>11690</v>
      </c>
      <c r="R32" s="4">
        <f t="shared" si="4"/>
        <v>5538.7219999999998</v>
      </c>
      <c r="S32" s="5">
        <v>13.7</v>
      </c>
      <c r="T32" s="23">
        <v>4738</v>
      </c>
    </row>
    <row r="33" spans="1:20" x14ac:dyDescent="0.3">
      <c r="A33" s="22" t="s">
        <v>4</v>
      </c>
      <c r="B33" s="1" t="s">
        <v>156</v>
      </c>
      <c r="C33" s="1" t="s">
        <v>133</v>
      </c>
      <c r="D33" s="1" t="s">
        <v>84</v>
      </c>
      <c r="E33" s="1">
        <v>397</v>
      </c>
      <c r="F33" s="1">
        <v>22.9</v>
      </c>
      <c r="G33" s="6">
        <f t="shared" si="3"/>
        <v>374.1</v>
      </c>
      <c r="H33" s="7">
        <v>94</v>
      </c>
      <c r="I33" s="1" t="s">
        <v>77</v>
      </c>
      <c r="J33" s="1" t="s">
        <v>10</v>
      </c>
      <c r="K33" s="1" t="s">
        <v>190</v>
      </c>
      <c r="L33" s="3" t="s">
        <v>104</v>
      </c>
      <c r="M33" s="3" t="s">
        <v>102</v>
      </c>
      <c r="N33" s="2" t="s">
        <v>129</v>
      </c>
      <c r="O33" s="3" t="s">
        <v>123</v>
      </c>
      <c r="P33" s="4">
        <v>150</v>
      </c>
      <c r="Q33" s="4">
        <f>1.169*10000</f>
        <v>11690</v>
      </c>
      <c r="R33" s="4">
        <f t="shared" si="4"/>
        <v>5538.7219999999998</v>
      </c>
      <c r="S33" s="5">
        <v>13.7</v>
      </c>
      <c r="T33" s="23">
        <v>4738</v>
      </c>
    </row>
    <row r="34" spans="1:20" x14ac:dyDescent="0.3">
      <c r="A34" s="22" t="s">
        <v>4</v>
      </c>
      <c r="B34" s="1" t="s">
        <v>156</v>
      </c>
      <c r="C34" s="1" t="s">
        <v>133</v>
      </c>
      <c r="D34" s="1" t="s">
        <v>85</v>
      </c>
      <c r="E34" s="1">
        <v>18.600000000000001</v>
      </c>
      <c r="F34" s="1">
        <v>5.69</v>
      </c>
      <c r="G34" s="6">
        <f t="shared" si="3"/>
        <v>12.91</v>
      </c>
      <c r="H34" s="7">
        <v>69</v>
      </c>
      <c r="I34" s="1" t="s">
        <v>77</v>
      </c>
      <c r="J34" s="1" t="s">
        <v>10</v>
      </c>
      <c r="K34" s="1" t="s">
        <v>190</v>
      </c>
      <c r="L34" s="3" t="s">
        <v>104</v>
      </c>
      <c r="M34" s="3" t="s">
        <v>102</v>
      </c>
      <c r="N34" s="2" t="s">
        <v>129</v>
      </c>
      <c r="O34" s="3" t="s">
        <v>123</v>
      </c>
      <c r="P34" s="4">
        <v>150</v>
      </c>
      <c r="Q34" s="4">
        <f>1.169*10000</f>
        <v>11690</v>
      </c>
      <c r="R34" s="4">
        <f t="shared" si="4"/>
        <v>5538.7219999999998</v>
      </c>
      <c r="S34" s="5">
        <v>13.7</v>
      </c>
      <c r="T34" s="23">
        <v>4738</v>
      </c>
    </row>
    <row r="35" spans="1:20" x14ac:dyDescent="0.3">
      <c r="A35" s="22" t="s">
        <v>4</v>
      </c>
      <c r="B35" s="1" t="s">
        <v>156</v>
      </c>
      <c r="C35" s="1" t="s">
        <v>133</v>
      </c>
      <c r="D35" s="1" t="s">
        <v>89</v>
      </c>
      <c r="E35" s="1">
        <v>99.4</v>
      </c>
      <c r="F35" s="1">
        <v>198</v>
      </c>
      <c r="G35" s="6">
        <f t="shared" si="3"/>
        <v>-98.6</v>
      </c>
      <c r="H35" s="7">
        <v>-99</v>
      </c>
      <c r="I35" s="1" t="s">
        <v>77</v>
      </c>
      <c r="J35" s="1" t="s">
        <v>10</v>
      </c>
      <c r="K35" s="1" t="s">
        <v>190</v>
      </c>
      <c r="L35" s="3" t="s">
        <v>104</v>
      </c>
      <c r="M35" s="3" t="s">
        <v>102</v>
      </c>
      <c r="N35" s="2" t="s">
        <v>129</v>
      </c>
      <c r="O35" s="3" t="s">
        <v>123</v>
      </c>
      <c r="P35" s="4">
        <v>150</v>
      </c>
      <c r="Q35" s="4">
        <f>1.169*10000</f>
        <v>11690</v>
      </c>
      <c r="R35" s="4">
        <f t="shared" si="4"/>
        <v>5538.7219999999998</v>
      </c>
      <c r="S35" s="5">
        <v>13.7</v>
      </c>
      <c r="T35" s="23">
        <v>4738</v>
      </c>
    </row>
    <row r="36" spans="1:20" x14ac:dyDescent="0.3">
      <c r="A36" s="22" t="s">
        <v>4</v>
      </c>
      <c r="B36" s="1" t="s">
        <v>157</v>
      </c>
      <c r="C36" s="1" t="s">
        <v>133</v>
      </c>
      <c r="D36" s="1" t="s">
        <v>82</v>
      </c>
      <c r="E36" s="1">
        <v>445</v>
      </c>
      <c r="F36" s="1">
        <v>267</v>
      </c>
      <c r="G36" s="6">
        <f t="shared" si="3"/>
        <v>178</v>
      </c>
      <c r="H36" s="7">
        <f>G36/E36*100</f>
        <v>40</v>
      </c>
      <c r="I36" s="1" t="s">
        <v>77</v>
      </c>
      <c r="J36" s="1" t="s">
        <v>10</v>
      </c>
      <c r="K36" s="1" t="s">
        <v>190</v>
      </c>
      <c r="L36" s="3" t="s">
        <v>104</v>
      </c>
      <c r="M36" s="3" t="s">
        <v>102</v>
      </c>
      <c r="N36" s="2" t="s">
        <v>129</v>
      </c>
      <c r="O36" s="3" t="s">
        <v>123</v>
      </c>
      <c r="P36" s="4">
        <v>80</v>
      </c>
      <c r="Q36" s="4">
        <f>0.4768*10000</f>
        <v>4768</v>
      </c>
      <c r="R36" s="4">
        <f t="shared" si="4"/>
        <v>2508.4448000000002</v>
      </c>
      <c r="S36" s="5">
        <v>6.9</v>
      </c>
      <c r="T36" s="23">
        <v>5261</v>
      </c>
    </row>
    <row r="37" spans="1:20" x14ac:dyDescent="0.3">
      <c r="A37" s="22" t="s">
        <v>4</v>
      </c>
      <c r="B37" s="1" t="s">
        <v>157</v>
      </c>
      <c r="C37" s="1" t="s">
        <v>133</v>
      </c>
      <c r="D37" s="1" t="s">
        <v>84</v>
      </c>
      <c r="E37" s="1">
        <v>282</v>
      </c>
      <c r="F37" s="1">
        <v>21.8</v>
      </c>
      <c r="G37" s="6">
        <f t="shared" si="3"/>
        <v>260.2</v>
      </c>
      <c r="H37" s="7">
        <f>G37/E37*100</f>
        <v>92.269503546099287</v>
      </c>
      <c r="I37" s="1" t="s">
        <v>77</v>
      </c>
      <c r="J37" s="1" t="s">
        <v>10</v>
      </c>
      <c r="K37" s="1" t="s">
        <v>190</v>
      </c>
      <c r="L37" s="3" t="s">
        <v>104</v>
      </c>
      <c r="M37" s="3" t="s">
        <v>102</v>
      </c>
      <c r="N37" s="2" t="s">
        <v>129</v>
      </c>
      <c r="O37" s="3" t="s">
        <v>123</v>
      </c>
      <c r="P37" s="4">
        <v>80</v>
      </c>
      <c r="Q37" s="4">
        <f>0.4768*10000</f>
        <v>4768</v>
      </c>
      <c r="R37" s="4">
        <f t="shared" si="4"/>
        <v>2508.4448000000002</v>
      </c>
      <c r="S37" s="5">
        <v>6.9</v>
      </c>
      <c r="T37" s="23">
        <v>5261</v>
      </c>
    </row>
    <row r="38" spans="1:20" x14ac:dyDescent="0.3">
      <c r="A38" s="22" t="s">
        <v>4</v>
      </c>
      <c r="B38" s="1" t="s">
        <v>157</v>
      </c>
      <c r="C38" s="1" t="s">
        <v>133</v>
      </c>
      <c r="D38" s="1" t="s">
        <v>85</v>
      </c>
      <c r="E38" s="1">
        <v>12</v>
      </c>
      <c r="F38" s="1">
        <v>49.8</v>
      </c>
      <c r="G38" s="6">
        <f t="shared" si="3"/>
        <v>-37.799999999999997</v>
      </c>
      <c r="H38" s="7">
        <v>-316</v>
      </c>
      <c r="I38" s="1" t="s">
        <v>77</v>
      </c>
      <c r="J38" s="1" t="s">
        <v>10</v>
      </c>
      <c r="K38" s="1" t="s">
        <v>190</v>
      </c>
      <c r="L38" s="3" t="s">
        <v>104</v>
      </c>
      <c r="M38" s="3" t="s">
        <v>102</v>
      </c>
      <c r="N38" s="2" t="s">
        <v>129</v>
      </c>
      <c r="O38" s="3" t="s">
        <v>123</v>
      </c>
      <c r="P38" s="4">
        <v>80</v>
      </c>
      <c r="Q38" s="4">
        <f>0.4768*10000</f>
        <v>4768</v>
      </c>
      <c r="R38" s="4">
        <f t="shared" si="4"/>
        <v>2508.4448000000002</v>
      </c>
      <c r="S38" s="5">
        <v>6.9</v>
      </c>
      <c r="T38" s="23">
        <v>5261</v>
      </c>
    </row>
    <row r="39" spans="1:20" x14ac:dyDescent="0.3">
      <c r="A39" s="22" t="s">
        <v>4</v>
      </c>
      <c r="B39" s="1" t="s">
        <v>157</v>
      </c>
      <c r="C39" s="1" t="s">
        <v>133</v>
      </c>
      <c r="D39" s="1" t="s">
        <v>89</v>
      </c>
      <c r="E39" s="1">
        <v>150</v>
      </c>
      <c r="F39" s="1">
        <v>195</v>
      </c>
      <c r="G39" s="6">
        <f t="shared" si="3"/>
        <v>-45</v>
      </c>
      <c r="H39" s="7">
        <v>-30</v>
      </c>
      <c r="I39" s="1" t="s">
        <v>77</v>
      </c>
      <c r="J39" s="1" t="s">
        <v>10</v>
      </c>
      <c r="K39" s="1" t="s">
        <v>190</v>
      </c>
      <c r="L39" s="3" t="s">
        <v>104</v>
      </c>
      <c r="M39" s="3" t="s">
        <v>102</v>
      </c>
      <c r="N39" s="2" t="s">
        <v>129</v>
      </c>
      <c r="O39" s="3" t="s">
        <v>123</v>
      </c>
      <c r="P39" s="4">
        <v>80</v>
      </c>
      <c r="Q39" s="4">
        <f>0.4768*10000</f>
        <v>4768</v>
      </c>
      <c r="R39" s="4">
        <f t="shared" si="4"/>
        <v>2508.4448000000002</v>
      </c>
      <c r="S39" s="5">
        <v>6.9</v>
      </c>
      <c r="T39" s="23">
        <v>5261</v>
      </c>
    </row>
    <row r="40" spans="1:20" x14ac:dyDescent="0.3">
      <c r="A40" s="22" t="s">
        <v>4</v>
      </c>
      <c r="B40" s="1" t="s">
        <v>151</v>
      </c>
      <c r="C40" s="1" t="s">
        <v>133</v>
      </c>
      <c r="D40" s="1" t="s">
        <v>83</v>
      </c>
      <c r="E40" s="6">
        <f>100/H40*G40</f>
        <v>28.82352941176471</v>
      </c>
      <c r="F40" s="6">
        <f>E40-G40</f>
        <v>19.023529411764709</v>
      </c>
      <c r="G40" s="6">
        <f>AVERAGE(-0.4,20)</f>
        <v>9.8000000000000007</v>
      </c>
      <c r="H40" s="7">
        <f>AVERAGE(-7,75)</f>
        <v>34</v>
      </c>
      <c r="I40" s="1" t="s">
        <v>77</v>
      </c>
      <c r="J40" s="1" t="s">
        <v>80</v>
      </c>
      <c r="K40" s="1" t="s">
        <v>191</v>
      </c>
      <c r="L40" s="2" t="s">
        <v>145</v>
      </c>
      <c r="M40" s="3" t="s">
        <v>107</v>
      </c>
      <c r="N40" s="2" t="s">
        <v>122</v>
      </c>
      <c r="O40" s="2" t="s">
        <v>119</v>
      </c>
      <c r="P40" s="4" t="s">
        <v>96</v>
      </c>
      <c r="Q40" s="4">
        <f>27*10000</f>
        <v>270000</v>
      </c>
      <c r="R40" s="4" t="s">
        <v>96</v>
      </c>
      <c r="S40" s="4" t="s">
        <v>96</v>
      </c>
      <c r="T40" s="23" t="s">
        <v>96</v>
      </c>
    </row>
    <row r="41" spans="1:20" x14ac:dyDescent="0.3">
      <c r="A41" s="22" t="s">
        <v>4</v>
      </c>
      <c r="B41" s="1" t="s">
        <v>151</v>
      </c>
      <c r="C41" s="1" t="s">
        <v>133</v>
      </c>
      <c r="D41" s="1" t="s">
        <v>82</v>
      </c>
      <c r="E41" s="6"/>
      <c r="F41" s="6"/>
      <c r="G41" s="6">
        <v>83</v>
      </c>
      <c r="H41" s="7"/>
      <c r="I41" s="1" t="s">
        <v>77</v>
      </c>
      <c r="J41" s="1" t="s">
        <v>80</v>
      </c>
      <c r="K41" s="1" t="s">
        <v>41</v>
      </c>
      <c r="L41" s="2" t="s">
        <v>145</v>
      </c>
      <c r="M41" s="3" t="s">
        <v>107</v>
      </c>
      <c r="N41" s="2" t="s">
        <v>122</v>
      </c>
      <c r="O41" s="2" t="s">
        <v>119</v>
      </c>
      <c r="P41" s="4" t="s">
        <v>96</v>
      </c>
      <c r="Q41" s="4">
        <f>27*10000</f>
        <v>270000</v>
      </c>
      <c r="R41" s="4" t="s">
        <v>96</v>
      </c>
      <c r="S41" s="4" t="s">
        <v>96</v>
      </c>
      <c r="T41" s="23" t="s">
        <v>96</v>
      </c>
    </row>
    <row r="42" spans="1:20" x14ac:dyDescent="0.3">
      <c r="A42" s="22" t="s">
        <v>4</v>
      </c>
      <c r="B42" s="1" t="s">
        <v>198</v>
      </c>
      <c r="C42" s="1" t="s">
        <v>133</v>
      </c>
      <c r="D42" s="1" t="s">
        <v>82</v>
      </c>
      <c r="E42" s="1">
        <v>230</v>
      </c>
      <c r="F42" s="6">
        <f>E42-G42</f>
        <v>140.07</v>
      </c>
      <c r="G42" s="6">
        <f>H42/100*E42</f>
        <v>89.93</v>
      </c>
      <c r="H42" s="7">
        <v>39.1</v>
      </c>
      <c r="I42" s="1" t="s">
        <v>77</v>
      </c>
      <c r="J42" s="1" t="s">
        <v>80</v>
      </c>
      <c r="K42" s="1" t="s">
        <v>40</v>
      </c>
      <c r="L42" s="2" t="s">
        <v>104</v>
      </c>
      <c r="M42" s="3" t="s">
        <v>102</v>
      </c>
      <c r="N42" s="2" t="s">
        <v>122</v>
      </c>
      <c r="O42" s="2" t="s">
        <v>123</v>
      </c>
      <c r="P42" s="4" t="s">
        <v>96</v>
      </c>
      <c r="Q42" s="4">
        <f>39*10000</f>
        <v>390000</v>
      </c>
      <c r="R42" s="4" t="s">
        <v>96</v>
      </c>
      <c r="S42" s="4">
        <v>284</v>
      </c>
      <c r="T42" s="23" t="s">
        <v>96</v>
      </c>
    </row>
    <row r="43" spans="1:20" x14ac:dyDescent="0.3">
      <c r="A43" s="22" t="s">
        <v>4</v>
      </c>
      <c r="B43" s="1" t="s">
        <v>198</v>
      </c>
      <c r="C43" s="1" t="s">
        <v>133</v>
      </c>
      <c r="D43" s="1" t="s">
        <v>82</v>
      </c>
      <c r="E43" s="1">
        <v>2210</v>
      </c>
      <c r="F43" s="7">
        <v>2165.8000000000002</v>
      </c>
      <c r="G43" s="7">
        <v>44.2</v>
      </c>
      <c r="H43" s="7">
        <v>2</v>
      </c>
      <c r="I43" s="1" t="s">
        <v>77</v>
      </c>
      <c r="J43" s="1" t="s">
        <v>80</v>
      </c>
      <c r="K43" s="1" t="s">
        <v>76</v>
      </c>
      <c r="L43" s="9" t="s">
        <v>168</v>
      </c>
      <c r="M43" s="3" t="s">
        <v>107</v>
      </c>
      <c r="N43" s="2" t="s">
        <v>122</v>
      </c>
      <c r="O43" s="9" t="s">
        <v>119</v>
      </c>
      <c r="P43" s="4"/>
      <c r="Q43" s="4">
        <f>20*10000</f>
        <v>200000</v>
      </c>
      <c r="R43" s="4">
        <f t="shared" ref="R43:R50" si="5">T43/1000*Q43</f>
        <v>4925000</v>
      </c>
      <c r="S43" s="4">
        <v>229</v>
      </c>
      <c r="T43" s="23">
        <v>24625</v>
      </c>
    </row>
    <row r="44" spans="1:20" x14ac:dyDescent="0.3">
      <c r="A44" s="22" t="s">
        <v>4</v>
      </c>
      <c r="B44" s="1" t="s">
        <v>198</v>
      </c>
      <c r="C44" s="1" t="s">
        <v>133</v>
      </c>
      <c r="D44" s="1" t="s">
        <v>83</v>
      </c>
      <c r="E44" s="1">
        <v>23.1</v>
      </c>
      <c r="F44" s="7">
        <v>25.872</v>
      </c>
      <c r="G44" s="6">
        <v>-2.7720000000000002</v>
      </c>
      <c r="H44" s="7">
        <v>-12</v>
      </c>
      <c r="I44" s="1" t="s">
        <v>77</v>
      </c>
      <c r="J44" s="1" t="s">
        <v>80</v>
      </c>
      <c r="K44" s="1" t="s">
        <v>76</v>
      </c>
      <c r="L44" s="9" t="s">
        <v>168</v>
      </c>
      <c r="M44" s="3" t="s">
        <v>107</v>
      </c>
      <c r="N44" s="2" t="s">
        <v>122</v>
      </c>
      <c r="O44" s="9" t="s">
        <v>119</v>
      </c>
      <c r="P44" s="4"/>
      <c r="Q44" s="4">
        <f>20*10000</f>
        <v>200000</v>
      </c>
      <c r="R44" s="4">
        <f t="shared" si="5"/>
        <v>4925000</v>
      </c>
      <c r="S44" s="4">
        <v>229</v>
      </c>
      <c r="T44" s="23">
        <v>24625</v>
      </c>
    </row>
    <row r="45" spans="1:20" x14ac:dyDescent="0.3">
      <c r="A45" s="22" t="s">
        <v>4</v>
      </c>
      <c r="B45" s="1" t="s">
        <v>198</v>
      </c>
      <c r="C45" s="1" t="s">
        <v>133</v>
      </c>
      <c r="D45" s="1" t="s">
        <v>84</v>
      </c>
      <c r="E45" s="7">
        <v>2000</v>
      </c>
      <c r="F45" s="1"/>
      <c r="G45" s="8">
        <v>56</v>
      </c>
      <c r="H45" s="7">
        <v>2.8000000000000003</v>
      </c>
      <c r="I45" s="1" t="s">
        <v>77</v>
      </c>
      <c r="J45" s="1" t="s">
        <v>80</v>
      </c>
      <c r="K45" s="1" t="s">
        <v>76</v>
      </c>
      <c r="L45" s="9" t="s">
        <v>168</v>
      </c>
      <c r="M45" s="3" t="s">
        <v>107</v>
      </c>
      <c r="N45" s="2" t="s">
        <v>122</v>
      </c>
      <c r="O45" s="9" t="s">
        <v>119</v>
      </c>
      <c r="P45" s="4"/>
      <c r="Q45" s="4">
        <f>20*10000</f>
        <v>200000</v>
      </c>
      <c r="R45" s="4">
        <f t="shared" si="5"/>
        <v>4925000</v>
      </c>
      <c r="S45" s="4">
        <v>229</v>
      </c>
      <c r="T45" s="23">
        <v>24625</v>
      </c>
    </row>
    <row r="46" spans="1:20" x14ac:dyDescent="0.3">
      <c r="A46" s="22" t="s">
        <v>4</v>
      </c>
      <c r="B46" s="1" t="s">
        <v>198</v>
      </c>
      <c r="C46" s="1" t="s">
        <v>133</v>
      </c>
      <c r="D46" s="1" t="s">
        <v>181</v>
      </c>
      <c r="E46" s="6">
        <v>10.747028862478778</v>
      </c>
      <c r="F46" s="1"/>
      <c r="G46" s="10">
        <v>6.33</v>
      </c>
      <c r="H46" s="7">
        <v>58.9</v>
      </c>
      <c r="I46" s="1" t="s">
        <v>77</v>
      </c>
      <c r="J46" s="1" t="s">
        <v>80</v>
      </c>
      <c r="K46" s="1" t="s">
        <v>76</v>
      </c>
      <c r="L46" s="9" t="s">
        <v>168</v>
      </c>
      <c r="M46" s="3" t="s">
        <v>107</v>
      </c>
      <c r="N46" s="2" t="s">
        <v>122</v>
      </c>
      <c r="O46" s="9" t="s">
        <v>119</v>
      </c>
      <c r="P46" s="4"/>
      <c r="Q46" s="4">
        <f>20*10000</f>
        <v>200000</v>
      </c>
      <c r="R46" s="4">
        <f t="shared" si="5"/>
        <v>4925000</v>
      </c>
      <c r="S46" s="4">
        <v>229</v>
      </c>
      <c r="T46" s="23">
        <v>24625</v>
      </c>
    </row>
    <row r="47" spans="1:20" x14ac:dyDescent="0.3">
      <c r="A47" s="22" t="s">
        <v>4</v>
      </c>
      <c r="B47" s="1" t="s">
        <v>199</v>
      </c>
      <c r="C47" s="1" t="s">
        <v>133</v>
      </c>
      <c r="D47" s="1" t="s">
        <v>82</v>
      </c>
      <c r="E47" s="1">
        <v>243.7</v>
      </c>
      <c r="F47" s="7">
        <v>146.21999999999997</v>
      </c>
      <c r="G47" s="7">
        <v>97.48</v>
      </c>
      <c r="H47" s="7">
        <v>40</v>
      </c>
      <c r="I47" s="1" t="s">
        <v>77</v>
      </c>
      <c r="J47" s="1" t="s">
        <v>80</v>
      </c>
      <c r="K47" s="1" t="s">
        <v>76</v>
      </c>
      <c r="L47" s="9" t="s">
        <v>168</v>
      </c>
      <c r="M47" s="3" t="s">
        <v>107</v>
      </c>
      <c r="N47" s="2" t="s">
        <v>122</v>
      </c>
      <c r="O47" s="9" t="s">
        <v>119</v>
      </c>
      <c r="P47" s="4"/>
      <c r="Q47" s="4">
        <f>25.4*10000</f>
        <v>254000</v>
      </c>
      <c r="R47" s="4">
        <f t="shared" si="5"/>
        <v>1404620</v>
      </c>
      <c r="S47" s="4">
        <v>245</v>
      </c>
      <c r="T47" s="23">
        <v>5530</v>
      </c>
    </row>
    <row r="48" spans="1:20" x14ac:dyDescent="0.3">
      <c r="A48" s="22" t="s">
        <v>4</v>
      </c>
      <c r="B48" s="1" t="s">
        <v>199</v>
      </c>
      <c r="C48" s="1" t="s">
        <v>133</v>
      </c>
      <c r="D48" s="1" t="s">
        <v>83</v>
      </c>
      <c r="E48" s="1">
        <v>13.2</v>
      </c>
      <c r="F48" s="7">
        <v>13.2</v>
      </c>
      <c r="G48" s="6">
        <v>0</v>
      </c>
      <c r="H48" s="7">
        <v>0</v>
      </c>
      <c r="I48" s="1" t="s">
        <v>77</v>
      </c>
      <c r="J48" s="1" t="s">
        <v>80</v>
      </c>
      <c r="K48" s="1" t="s">
        <v>76</v>
      </c>
      <c r="L48" s="9" t="s">
        <v>168</v>
      </c>
      <c r="M48" s="3" t="s">
        <v>107</v>
      </c>
      <c r="N48" s="2" t="s">
        <v>122</v>
      </c>
      <c r="O48" s="9" t="s">
        <v>119</v>
      </c>
      <c r="P48" s="4"/>
      <c r="Q48" s="4">
        <f>25.4*10000</f>
        <v>254000</v>
      </c>
      <c r="R48" s="4">
        <f t="shared" si="5"/>
        <v>1404620</v>
      </c>
      <c r="S48" s="4">
        <v>245</v>
      </c>
      <c r="T48" s="23">
        <v>5530</v>
      </c>
    </row>
    <row r="49" spans="1:20" x14ac:dyDescent="0.3">
      <c r="A49" s="22" t="s">
        <v>4</v>
      </c>
      <c r="B49" s="1" t="s">
        <v>199</v>
      </c>
      <c r="C49" s="1" t="s">
        <v>133</v>
      </c>
      <c r="D49" s="1" t="s">
        <v>84</v>
      </c>
      <c r="E49" s="7">
        <v>178.64702076872402</v>
      </c>
      <c r="F49" s="1"/>
      <c r="G49" s="8">
        <v>87.521429999999995</v>
      </c>
      <c r="H49" s="7">
        <v>48.991261999999999</v>
      </c>
      <c r="I49" s="1" t="s">
        <v>77</v>
      </c>
      <c r="J49" s="1" t="s">
        <v>80</v>
      </c>
      <c r="K49" s="1" t="s">
        <v>76</v>
      </c>
      <c r="L49" s="9" t="s">
        <v>168</v>
      </c>
      <c r="M49" s="3" t="s">
        <v>107</v>
      </c>
      <c r="N49" s="2" t="s">
        <v>122</v>
      </c>
      <c r="O49" s="9" t="s">
        <v>119</v>
      </c>
      <c r="P49" s="4"/>
      <c r="Q49" s="4">
        <f>25.4*10000</f>
        <v>254000</v>
      </c>
      <c r="R49" s="4">
        <f t="shared" si="5"/>
        <v>1404620</v>
      </c>
      <c r="S49" s="4">
        <v>245</v>
      </c>
      <c r="T49" s="23">
        <v>5530</v>
      </c>
    </row>
    <row r="50" spans="1:20" x14ac:dyDescent="0.3">
      <c r="A50" s="22" t="s">
        <v>4</v>
      </c>
      <c r="B50" s="1" t="s">
        <v>199</v>
      </c>
      <c r="C50" s="1" t="s">
        <v>133</v>
      </c>
      <c r="D50" s="1" t="s">
        <v>181</v>
      </c>
      <c r="E50" s="6">
        <v>6.6613441069859913</v>
      </c>
      <c r="F50" s="1"/>
      <c r="G50" s="10">
        <v>-1.0745221</v>
      </c>
      <c r="H50" s="7">
        <v>-16.130710000000001</v>
      </c>
      <c r="I50" s="1" t="s">
        <v>77</v>
      </c>
      <c r="J50" s="1" t="s">
        <v>80</v>
      </c>
      <c r="K50" s="1" t="s">
        <v>76</v>
      </c>
      <c r="L50" s="9" t="s">
        <v>168</v>
      </c>
      <c r="M50" s="3" t="s">
        <v>107</v>
      </c>
      <c r="N50" s="2" t="s">
        <v>122</v>
      </c>
      <c r="O50" s="9" t="s">
        <v>119</v>
      </c>
      <c r="P50" s="4"/>
      <c r="Q50" s="4">
        <f>25.4*10000</f>
        <v>254000</v>
      </c>
      <c r="R50" s="4">
        <f t="shared" si="5"/>
        <v>1404620</v>
      </c>
      <c r="S50" s="4">
        <v>245</v>
      </c>
      <c r="T50" s="23">
        <v>5530</v>
      </c>
    </row>
    <row r="51" spans="1:20" x14ac:dyDescent="0.3">
      <c r="A51" s="22" t="s">
        <v>4</v>
      </c>
      <c r="B51" s="1" t="s">
        <v>150</v>
      </c>
      <c r="C51" s="1" t="s">
        <v>135</v>
      </c>
      <c r="D51" s="1" t="s">
        <v>83</v>
      </c>
      <c r="E51" s="6">
        <f>100/H51*G51</f>
        <v>28.571428571428569</v>
      </c>
      <c r="F51" s="6">
        <f>E51-G51</f>
        <v>16.571428571428569</v>
      </c>
      <c r="G51" s="6">
        <v>12</v>
      </c>
      <c r="H51" s="7">
        <v>42</v>
      </c>
      <c r="I51" s="1" t="s">
        <v>77</v>
      </c>
      <c r="J51" s="1" t="s">
        <v>80</v>
      </c>
      <c r="K51" s="1" t="s">
        <v>191</v>
      </c>
      <c r="L51" s="2" t="s">
        <v>145</v>
      </c>
      <c r="M51" s="3" t="s">
        <v>107</v>
      </c>
      <c r="N51" s="2" t="s">
        <v>122</v>
      </c>
      <c r="O51" s="2" t="s">
        <v>119</v>
      </c>
      <c r="P51" s="4" t="s">
        <v>96</v>
      </c>
      <c r="Q51" s="4">
        <f>31*10000</f>
        <v>310000</v>
      </c>
      <c r="R51" s="4" t="s">
        <v>96</v>
      </c>
      <c r="S51" s="4" t="s">
        <v>96</v>
      </c>
      <c r="T51" s="23" t="s">
        <v>96</v>
      </c>
    </row>
    <row r="52" spans="1:20" x14ac:dyDescent="0.3">
      <c r="A52" s="22" t="s">
        <v>4</v>
      </c>
      <c r="B52" s="1" t="s">
        <v>150</v>
      </c>
      <c r="C52" s="1" t="s">
        <v>135</v>
      </c>
      <c r="D52" s="1" t="s">
        <v>82</v>
      </c>
      <c r="E52" s="6"/>
      <c r="F52" s="6"/>
      <c r="G52" s="6">
        <v>170</v>
      </c>
      <c r="H52" s="7"/>
      <c r="I52" s="1" t="s">
        <v>77</v>
      </c>
      <c r="J52" s="1" t="s">
        <v>80</v>
      </c>
      <c r="K52" s="1" t="s">
        <v>41</v>
      </c>
      <c r="L52" s="2" t="s">
        <v>145</v>
      </c>
      <c r="M52" s="3" t="s">
        <v>107</v>
      </c>
      <c r="N52" s="2" t="s">
        <v>122</v>
      </c>
      <c r="O52" s="2" t="s">
        <v>119</v>
      </c>
      <c r="P52" s="4" t="s">
        <v>96</v>
      </c>
      <c r="Q52" s="4">
        <f>31*10000</f>
        <v>310000</v>
      </c>
      <c r="R52" s="4" t="s">
        <v>96</v>
      </c>
      <c r="S52" s="4" t="s">
        <v>96</v>
      </c>
      <c r="T52" s="23" t="s">
        <v>96</v>
      </c>
    </row>
    <row r="53" spans="1:20" x14ac:dyDescent="0.3">
      <c r="A53" s="22" t="s">
        <v>4</v>
      </c>
      <c r="B53" s="1" t="s">
        <v>206</v>
      </c>
      <c r="C53" s="1" t="s">
        <v>133</v>
      </c>
      <c r="D53" s="1" t="s">
        <v>82</v>
      </c>
      <c r="E53" s="1">
        <v>310</v>
      </c>
      <c r="F53" s="6">
        <f>E53-G53</f>
        <v>89.9</v>
      </c>
      <c r="G53" s="6">
        <f>H53/100*E53</f>
        <v>220.1</v>
      </c>
      <c r="H53" s="7">
        <v>71</v>
      </c>
      <c r="I53" s="1" t="s">
        <v>77</v>
      </c>
      <c r="J53" s="1" t="s">
        <v>80</v>
      </c>
      <c r="K53" s="1" t="s">
        <v>40</v>
      </c>
      <c r="L53" s="2" t="s">
        <v>104</v>
      </c>
      <c r="M53" s="3" t="s">
        <v>102</v>
      </c>
      <c r="N53" s="2" t="s">
        <v>122</v>
      </c>
      <c r="O53" s="2" t="s">
        <v>123</v>
      </c>
      <c r="P53" s="4" t="s">
        <v>96</v>
      </c>
      <c r="Q53" s="4">
        <f>15*10000</f>
        <v>150000</v>
      </c>
      <c r="R53" s="4" t="s">
        <v>96</v>
      </c>
      <c r="S53" s="4">
        <v>240</v>
      </c>
      <c r="T53" s="23" t="s">
        <v>96</v>
      </c>
    </row>
    <row r="54" spans="1:20" x14ac:dyDescent="0.3">
      <c r="A54" s="22" t="s">
        <v>4</v>
      </c>
      <c r="B54" s="1" t="s">
        <v>207</v>
      </c>
      <c r="C54" s="1" t="s">
        <v>133</v>
      </c>
      <c r="D54" s="1" t="s">
        <v>82</v>
      </c>
      <c r="E54" s="1">
        <v>39</v>
      </c>
      <c r="F54" s="6">
        <f>E54-G54</f>
        <v>24.999000000000002</v>
      </c>
      <c r="G54" s="6">
        <f>H54/100*E54</f>
        <v>14.000999999999999</v>
      </c>
      <c r="H54" s="7">
        <v>35.9</v>
      </c>
      <c r="I54" s="1" t="s">
        <v>77</v>
      </c>
      <c r="J54" s="1" t="s">
        <v>80</v>
      </c>
      <c r="K54" s="1" t="s">
        <v>40</v>
      </c>
      <c r="L54" s="2" t="s">
        <v>104</v>
      </c>
      <c r="M54" s="3" t="s">
        <v>102</v>
      </c>
      <c r="N54" s="2" t="s">
        <v>122</v>
      </c>
      <c r="O54" s="2" t="s">
        <v>123</v>
      </c>
      <c r="P54" s="4" t="s">
        <v>96</v>
      </c>
      <c r="Q54" s="4">
        <f>28*10000</f>
        <v>280000</v>
      </c>
      <c r="R54" s="4" t="s">
        <v>96</v>
      </c>
      <c r="S54" s="4">
        <v>86</v>
      </c>
      <c r="T54" s="23" t="s">
        <v>96</v>
      </c>
    </row>
    <row r="55" spans="1:20" x14ac:dyDescent="0.3">
      <c r="A55" s="22" t="s">
        <v>4</v>
      </c>
      <c r="B55" s="1" t="s">
        <v>208</v>
      </c>
      <c r="C55" s="1" t="s">
        <v>133</v>
      </c>
      <c r="D55" s="1" t="s">
        <v>82</v>
      </c>
      <c r="E55" s="6">
        <v>674</v>
      </c>
      <c r="F55" s="6">
        <v>337</v>
      </c>
      <c r="G55" s="6">
        <v>337</v>
      </c>
      <c r="H55" s="7">
        <v>50</v>
      </c>
      <c r="I55" s="1" t="s">
        <v>77</v>
      </c>
      <c r="J55" s="1" t="s">
        <v>80</v>
      </c>
      <c r="K55" s="1" t="s">
        <v>24</v>
      </c>
      <c r="L55" s="2" t="s">
        <v>142</v>
      </c>
      <c r="M55" s="3" t="s">
        <v>107</v>
      </c>
      <c r="N55" s="12" t="s">
        <v>141</v>
      </c>
      <c r="O55" s="2" t="s">
        <v>119</v>
      </c>
      <c r="P55" s="4">
        <v>250</v>
      </c>
      <c r="Q55" s="11">
        <v>650000</v>
      </c>
      <c r="R55" s="4" t="s">
        <v>96</v>
      </c>
      <c r="S55" s="11">
        <v>195</v>
      </c>
      <c r="T55" s="23" t="s">
        <v>96</v>
      </c>
    </row>
    <row r="56" spans="1:20" x14ac:dyDescent="0.3">
      <c r="A56" s="22" t="s">
        <v>4</v>
      </c>
      <c r="B56" s="1" t="s">
        <v>208</v>
      </c>
      <c r="C56" s="1" t="s">
        <v>133</v>
      </c>
      <c r="D56" s="1" t="s">
        <v>83</v>
      </c>
      <c r="E56" s="6">
        <v>13.566666666666668</v>
      </c>
      <c r="F56" s="6">
        <v>5.4266666666666676</v>
      </c>
      <c r="G56" s="6">
        <v>8.14</v>
      </c>
      <c r="H56" s="7">
        <v>60</v>
      </c>
      <c r="I56" s="1" t="s">
        <v>77</v>
      </c>
      <c r="J56" s="1" t="s">
        <v>80</v>
      </c>
      <c r="K56" s="1" t="s">
        <v>213</v>
      </c>
      <c r="L56" s="2" t="s">
        <v>142</v>
      </c>
      <c r="M56" s="3" t="s">
        <v>107</v>
      </c>
      <c r="N56" s="12" t="s">
        <v>141</v>
      </c>
      <c r="O56" s="2" t="s">
        <v>119</v>
      </c>
      <c r="P56" s="4">
        <v>250</v>
      </c>
      <c r="Q56" s="11">
        <v>650000</v>
      </c>
      <c r="R56" s="4" t="s">
        <v>96</v>
      </c>
      <c r="S56" s="11">
        <v>195</v>
      </c>
      <c r="T56" s="23" t="s">
        <v>96</v>
      </c>
    </row>
    <row r="57" spans="1:20" x14ac:dyDescent="0.3">
      <c r="A57" s="22" t="s">
        <v>4</v>
      </c>
      <c r="B57" s="1" t="s">
        <v>208</v>
      </c>
      <c r="C57" s="1" t="s">
        <v>133</v>
      </c>
      <c r="D57" s="1" t="s">
        <v>82</v>
      </c>
      <c r="E57" s="1">
        <v>668</v>
      </c>
      <c r="F57" s="6">
        <f>E57-G57</f>
        <v>331.32799999999997</v>
      </c>
      <c r="G57" s="6">
        <f>H57/100*E57</f>
        <v>336.67200000000003</v>
      </c>
      <c r="H57" s="7">
        <v>50.4</v>
      </c>
      <c r="I57" s="1" t="s">
        <v>77</v>
      </c>
      <c r="J57" s="1" t="s">
        <v>80</v>
      </c>
      <c r="K57" s="1" t="s">
        <v>40</v>
      </c>
      <c r="L57" s="2" t="s">
        <v>139</v>
      </c>
      <c r="M57" s="3" t="s">
        <v>107</v>
      </c>
      <c r="N57" s="2" t="s">
        <v>122</v>
      </c>
      <c r="O57" s="2" t="s">
        <v>119</v>
      </c>
      <c r="P57" s="4" t="s">
        <v>96</v>
      </c>
      <c r="Q57" s="4">
        <f>65*10000</f>
        <v>650000</v>
      </c>
      <c r="R57" s="4" t="s">
        <v>96</v>
      </c>
      <c r="S57" s="4">
        <v>2140</v>
      </c>
      <c r="T57" s="23" t="s">
        <v>96</v>
      </c>
    </row>
    <row r="58" spans="1:20" x14ac:dyDescent="0.3">
      <c r="A58" s="22" t="s">
        <v>4</v>
      </c>
      <c r="B58" s="1" t="s">
        <v>153</v>
      </c>
      <c r="C58" s="1" t="s">
        <v>133</v>
      </c>
      <c r="D58" s="1" t="s">
        <v>84</v>
      </c>
      <c r="E58" s="6">
        <v>682.55000000000007</v>
      </c>
      <c r="F58" s="6">
        <v>191.11400000000003</v>
      </c>
      <c r="G58" s="6">
        <v>491.43600000000004</v>
      </c>
      <c r="H58" s="7">
        <v>72</v>
      </c>
      <c r="I58" s="1" t="s">
        <v>77</v>
      </c>
      <c r="J58" s="1" t="s">
        <v>80</v>
      </c>
      <c r="K58" s="1" t="s">
        <v>29</v>
      </c>
      <c r="L58" s="2" t="s">
        <v>104</v>
      </c>
      <c r="M58" s="3" t="s">
        <v>102</v>
      </c>
      <c r="N58" s="2" t="s">
        <v>95</v>
      </c>
      <c r="O58" s="2" t="s">
        <v>117</v>
      </c>
      <c r="P58" s="4">
        <v>30</v>
      </c>
      <c r="Q58" s="4">
        <v>1370</v>
      </c>
      <c r="R58" s="4">
        <f>Q58*T58/1000</f>
        <v>24502.45</v>
      </c>
      <c r="S58" s="4" t="s">
        <v>96</v>
      </c>
      <c r="T58" s="23">
        <f>49*365</f>
        <v>17885</v>
      </c>
    </row>
    <row r="59" spans="1:20" x14ac:dyDescent="0.3">
      <c r="A59" s="22" t="s">
        <v>4</v>
      </c>
      <c r="B59" s="1" t="s">
        <v>153</v>
      </c>
      <c r="C59" s="1" t="s">
        <v>133</v>
      </c>
      <c r="D59" s="1" t="s">
        <v>181</v>
      </c>
      <c r="E59" s="6">
        <v>3.33</v>
      </c>
      <c r="F59" s="6">
        <v>4.33</v>
      </c>
      <c r="G59" s="6">
        <v>-1</v>
      </c>
      <c r="H59" s="7">
        <v>-30</v>
      </c>
      <c r="I59" s="1" t="s">
        <v>77</v>
      </c>
      <c r="J59" s="1" t="s">
        <v>80</v>
      </c>
      <c r="K59" s="1" t="s">
        <v>29</v>
      </c>
      <c r="L59" s="2" t="s">
        <v>104</v>
      </c>
      <c r="M59" s="3" t="s">
        <v>102</v>
      </c>
      <c r="N59" s="2" t="s">
        <v>95</v>
      </c>
      <c r="O59" s="2" t="s">
        <v>117</v>
      </c>
      <c r="P59" s="4">
        <v>30</v>
      </c>
      <c r="Q59" s="4">
        <v>1370</v>
      </c>
      <c r="R59" s="4">
        <f>Q59*T59/1000</f>
        <v>24502.45</v>
      </c>
      <c r="S59" s="4" t="s">
        <v>96</v>
      </c>
      <c r="T59" s="23">
        <f>49*365</f>
        <v>17885</v>
      </c>
    </row>
    <row r="60" spans="1:20" x14ac:dyDescent="0.3">
      <c r="A60" s="22" t="s">
        <v>4</v>
      </c>
      <c r="B60" s="1" t="s">
        <v>153</v>
      </c>
      <c r="C60" s="1" t="s">
        <v>133</v>
      </c>
      <c r="D60" s="1" t="s">
        <v>83</v>
      </c>
      <c r="E60" s="6">
        <v>7</v>
      </c>
      <c r="F60" s="6">
        <v>6.93</v>
      </c>
      <c r="G60" s="6">
        <v>7.0000000000000007E-2</v>
      </c>
      <c r="H60" s="7">
        <v>1</v>
      </c>
      <c r="I60" s="1" t="s">
        <v>77</v>
      </c>
      <c r="J60" s="1" t="s">
        <v>80</v>
      </c>
      <c r="K60" s="1" t="s">
        <v>29</v>
      </c>
      <c r="L60" s="2" t="s">
        <v>104</v>
      </c>
      <c r="M60" s="3" t="s">
        <v>102</v>
      </c>
      <c r="N60" s="2" t="s">
        <v>95</v>
      </c>
      <c r="O60" s="2" t="s">
        <v>117</v>
      </c>
      <c r="P60" s="4">
        <v>30</v>
      </c>
      <c r="Q60" s="4">
        <v>1370</v>
      </c>
      <c r="R60" s="4">
        <f>Q60*T60/1000</f>
        <v>24502.45</v>
      </c>
      <c r="S60" s="4" t="s">
        <v>96</v>
      </c>
      <c r="T60" s="23">
        <f>49*365</f>
        <v>17885</v>
      </c>
    </row>
    <row r="61" spans="1:20" x14ac:dyDescent="0.3">
      <c r="A61" s="22" t="s">
        <v>4</v>
      </c>
      <c r="B61" s="1" t="s">
        <v>209</v>
      </c>
      <c r="C61" s="1" t="s">
        <v>133</v>
      </c>
      <c r="D61" s="1" t="s">
        <v>82</v>
      </c>
      <c r="E61" s="1">
        <v>297</v>
      </c>
      <c r="F61" s="6">
        <f>E61-G61</f>
        <v>106.029</v>
      </c>
      <c r="G61" s="6">
        <f>H61/100*E61</f>
        <v>190.971</v>
      </c>
      <c r="H61" s="7">
        <v>64.3</v>
      </c>
      <c r="I61" s="1" t="s">
        <v>77</v>
      </c>
      <c r="J61" s="1" t="s">
        <v>80</v>
      </c>
      <c r="K61" s="1" t="s">
        <v>40</v>
      </c>
      <c r="L61" s="2" t="s">
        <v>104</v>
      </c>
      <c r="M61" s="3" t="s">
        <v>102</v>
      </c>
      <c r="N61" s="2" t="s">
        <v>122</v>
      </c>
      <c r="O61" s="2" t="s">
        <v>123</v>
      </c>
      <c r="P61" s="4" t="s">
        <v>96</v>
      </c>
      <c r="Q61" s="4">
        <f>84*10000</f>
        <v>840000</v>
      </c>
      <c r="R61" s="4" t="s">
        <v>96</v>
      </c>
      <c r="S61" s="4">
        <v>916</v>
      </c>
      <c r="T61" s="23" t="s">
        <v>96</v>
      </c>
    </row>
    <row r="62" spans="1:20" x14ac:dyDescent="0.3">
      <c r="A62" s="22" t="s">
        <v>4</v>
      </c>
      <c r="B62" s="1" t="s">
        <v>200</v>
      </c>
      <c r="C62" s="1" t="s">
        <v>284</v>
      </c>
      <c r="D62" s="1" t="s">
        <v>82</v>
      </c>
      <c r="E62" s="1">
        <v>2631.3</v>
      </c>
      <c r="F62" s="7">
        <v>2323.4379000000004</v>
      </c>
      <c r="G62" s="7">
        <v>307.8621</v>
      </c>
      <c r="H62" s="7">
        <v>11.7</v>
      </c>
      <c r="I62" s="1" t="s">
        <v>77</v>
      </c>
      <c r="J62" s="1" t="s">
        <v>80</v>
      </c>
      <c r="K62" s="1" t="s">
        <v>76</v>
      </c>
      <c r="L62" s="9" t="s">
        <v>168</v>
      </c>
      <c r="M62" s="3" t="s">
        <v>107</v>
      </c>
      <c r="N62" s="2" t="s">
        <v>122</v>
      </c>
      <c r="O62" s="9" t="s">
        <v>119</v>
      </c>
      <c r="P62" s="4"/>
      <c r="Q62" s="4">
        <f>40*10000</f>
        <v>400000</v>
      </c>
      <c r="R62" s="4">
        <f>T62/1000*Q62</f>
        <v>22652000</v>
      </c>
      <c r="S62" s="4">
        <v>5721</v>
      </c>
      <c r="T62" s="23">
        <v>56630</v>
      </c>
    </row>
    <row r="63" spans="1:20" x14ac:dyDescent="0.3">
      <c r="A63" s="22" t="s">
        <v>4</v>
      </c>
      <c r="B63" s="1" t="s">
        <v>200</v>
      </c>
      <c r="C63" s="1" t="s">
        <v>284</v>
      </c>
      <c r="D63" s="1" t="s">
        <v>83</v>
      </c>
      <c r="E63" s="1">
        <v>50</v>
      </c>
      <c r="F63" s="7">
        <v>43.5</v>
      </c>
      <c r="G63" s="6">
        <v>6.5</v>
      </c>
      <c r="H63" s="7">
        <v>13</v>
      </c>
      <c r="I63" s="1" t="s">
        <v>77</v>
      </c>
      <c r="J63" s="1" t="s">
        <v>80</v>
      </c>
      <c r="K63" s="1" t="s">
        <v>76</v>
      </c>
      <c r="L63" s="9" t="s">
        <v>168</v>
      </c>
      <c r="M63" s="3" t="s">
        <v>107</v>
      </c>
      <c r="N63" s="2" t="s">
        <v>122</v>
      </c>
      <c r="O63" s="9" t="s">
        <v>119</v>
      </c>
      <c r="P63" s="4"/>
      <c r="Q63" s="4">
        <f>40*10000</f>
        <v>400000</v>
      </c>
      <c r="R63" s="4">
        <f>T63/1000*Q63</f>
        <v>22652000</v>
      </c>
      <c r="S63" s="4">
        <v>5721</v>
      </c>
      <c r="T63" s="23">
        <v>56630</v>
      </c>
    </row>
    <row r="64" spans="1:20" x14ac:dyDescent="0.3">
      <c r="A64" s="22" t="s">
        <v>4</v>
      </c>
      <c r="B64" s="1" t="s">
        <v>200</v>
      </c>
      <c r="C64" s="1" t="s">
        <v>284</v>
      </c>
      <c r="D64" s="1" t="s">
        <v>84</v>
      </c>
      <c r="E64" s="7">
        <v>2379.0626935917812</v>
      </c>
      <c r="F64" s="1"/>
      <c r="G64" s="8">
        <v>304.03924000000001</v>
      </c>
      <c r="H64" s="7">
        <v>12.779790999999999</v>
      </c>
      <c r="I64" s="1" t="s">
        <v>77</v>
      </c>
      <c r="J64" s="1" t="s">
        <v>80</v>
      </c>
      <c r="K64" s="1" t="s">
        <v>76</v>
      </c>
      <c r="L64" s="9" t="s">
        <v>168</v>
      </c>
      <c r="M64" s="3" t="s">
        <v>107</v>
      </c>
      <c r="N64" s="2" t="s">
        <v>122</v>
      </c>
      <c r="O64" s="9" t="s">
        <v>119</v>
      </c>
      <c r="P64" s="4"/>
      <c r="Q64" s="4">
        <f>40*10000</f>
        <v>400000</v>
      </c>
      <c r="R64" s="4">
        <f>T64/1000*Q64</f>
        <v>22652000</v>
      </c>
      <c r="S64" s="4">
        <v>5721</v>
      </c>
      <c r="T64" s="23">
        <v>56630</v>
      </c>
    </row>
    <row r="65" spans="1:20" x14ac:dyDescent="0.3">
      <c r="A65" s="22" t="s">
        <v>4</v>
      </c>
      <c r="B65" s="1" t="s">
        <v>200</v>
      </c>
      <c r="C65" s="1" t="s">
        <v>284</v>
      </c>
      <c r="D65" s="1" t="s">
        <v>181</v>
      </c>
      <c r="E65" s="6">
        <v>15.686550956402336</v>
      </c>
      <c r="F65" s="1"/>
      <c r="G65" s="10">
        <v>3.1895416999999999</v>
      </c>
      <c r="H65" s="7">
        <v>20.33297</v>
      </c>
      <c r="I65" s="1" t="s">
        <v>77</v>
      </c>
      <c r="J65" s="1" t="s">
        <v>80</v>
      </c>
      <c r="K65" s="1" t="s">
        <v>76</v>
      </c>
      <c r="L65" s="9" t="s">
        <v>168</v>
      </c>
      <c r="M65" s="3" t="s">
        <v>107</v>
      </c>
      <c r="N65" s="2" t="s">
        <v>122</v>
      </c>
      <c r="O65" s="9" t="s">
        <v>119</v>
      </c>
      <c r="P65" s="4"/>
      <c r="Q65" s="4">
        <f>40*10000</f>
        <v>400000</v>
      </c>
      <c r="R65" s="4">
        <f>T65/1000*Q65</f>
        <v>22652000</v>
      </c>
      <c r="S65" s="4">
        <v>5721</v>
      </c>
      <c r="T65" s="23">
        <v>56630</v>
      </c>
    </row>
    <row r="66" spans="1:20" x14ac:dyDescent="0.3">
      <c r="A66" s="22" t="s">
        <v>4</v>
      </c>
      <c r="B66" s="1" t="s">
        <v>152</v>
      </c>
      <c r="C66" s="1" t="s">
        <v>133</v>
      </c>
      <c r="D66" s="1" t="s">
        <v>83</v>
      </c>
      <c r="E66" s="6">
        <f>100/H66*G66</f>
        <v>8.1818181818181834</v>
      </c>
      <c r="F66" s="6">
        <f>E66-G66</f>
        <v>7.2818181818181831</v>
      </c>
      <c r="G66" s="6">
        <v>0.9</v>
      </c>
      <c r="H66" s="7">
        <v>11</v>
      </c>
      <c r="I66" s="1" t="s">
        <v>77</v>
      </c>
      <c r="J66" s="1" t="s">
        <v>80</v>
      </c>
      <c r="K66" s="1" t="s">
        <v>191</v>
      </c>
      <c r="L66" s="2" t="s">
        <v>145</v>
      </c>
      <c r="M66" s="3" t="s">
        <v>107</v>
      </c>
      <c r="N66" s="2" t="s">
        <v>122</v>
      </c>
      <c r="O66" s="2" t="s">
        <v>119</v>
      </c>
      <c r="P66" s="4" t="s">
        <v>96</v>
      </c>
      <c r="Q66" s="4">
        <f>64*10000</f>
        <v>640000</v>
      </c>
      <c r="R66" s="4" t="s">
        <v>96</v>
      </c>
      <c r="S66" s="4" t="s">
        <v>96</v>
      </c>
      <c r="T66" s="23" t="s">
        <v>96</v>
      </c>
    </row>
    <row r="67" spans="1:20" x14ac:dyDescent="0.3">
      <c r="A67" s="22" t="s">
        <v>4</v>
      </c>
      <c r="B67" s="1" t="s">
        <v>152</v>
      </c>
      <c r="C67" s="1" t="s">
        <v>133</v>
      </c>
      <c r="D67" s="1" t="s">
        <v>82</v>
      </c>
      <c r="E67" s="6"/>
      <c r="F67" s="6"/>
      <c r="G67" s="6">
        <v>163</v>
      </c>
      <c r="H67" s="7"/>
      <c r="I67" s="1" t="s">
        <v>77</v>
      </c>
      <c r="J67" s="1" t="s">
        <v>80</v>
      </c>
      <c r="K67" s="1" t="s">
        <v>41</v>
      </c>
      <c r="L67" s="2" t="s">
        <v>145</v>
      </c>
      <c r="M67" s="3" t="s">
        <v>107</v>
      </c>
      <c r="N67" s="2" t="s">
        <v>122</v>
      </c>
      <c r="O67" s="2" t="s">
        <v>119</v>
      </c>
      <c r="P67" s="4" t="s">
        <v>96</v>
      </c>
      <c r="Q67" s="4">
        <f>64*10000</f>
        <v>640000</v>
      </c>
      <c r="R67" s="4" t="s">
        <v>96</v>
      </c>
      <c r="S67" s="4" t="s">
        <v>96</v>
      </c>
      <c r="T67" s="23" t="s">
        <v>96</v>
      </c>
    </row>
    <row r="68" spans="1:20" x14ac:dyDescent="0.3">
      <c r="A68" s="22" t="s">
        <v>4</v>
      </c>
      <c r="B68" s="1" t="s">
        <v>169</v>
      </c>
      <c r="C68" s="1" t="s">
        <v>133</v>
      </c>
      <c r="D68" s="1" t="s">
        <v>84</v>
      </c>
      <c r="E68" s="6">
        <v>709.02</v>
      </c>
      <c r="F68" s="6">
        <v>319.02</v>
      </c>
      <c r="G68" s="6">
        <v>390</v>
      </c>
      <c r="H68" s="7">
        <v>55</v>
      </c>
      <c r="I68" s="1" t="s">
        <v>77</v>
      </c>
      <c r="J68" s="1" t="s">
        <v>10</v>
      </c>
      <c r="K68" s="1" t="s">
        <v>97</v>
      </c>
      <c r="L68" s="2" t="s">
        <v>91</v>
      </c>
      <c r="M68" s="3" t="s">
        <v>101</v>
      </c>
      <c r="N68" s="2" t="s">
        <v>112</v>
      </c>
      <c r="O68" s="2" t="s">
        <v>116</v>
      </c>
      <c r="P68" s="4">
        <v>16</v>
      </c>
      <c r="Q68" s="4">
        <v>1600</v>
      </c>
      <c r="R68" s="4">
        <v>8260</v>
      </c>
      <c r="S68" s="4" t="s">
        <v>96</v>
      </c>
      <c r="T68" s="23">
        <f>R68/Q68*1000</f>
        <v>5162.5</v>
      </c>
    </row>
    <row r="69" spans="1:20" x14ac:dyDescent="0.3">
      <c r="A69" s="22" t="s">
        <v>4</v>
      </c>
      <c r="B69" s="1" t="s">
        <v>201</v>
      </c>
      <c r="C69" s="1" t="s">
        <v>133</v>
      </c>
      <c r="D69" s="1" t="s">
        <v>82</v>
      </c>
      <c r="E69" s="1">
        <v>421.7</v>
      </c>
      <c r="F69" s="7">
        <v>245.42939999999999</v>
      </c>
      <c r="G69" s="7">
        <v>176.2706</v>
      </c>
      <c r="H69" s="7">
        <v>41.8</v>
      </c>
      <c r="I69" s="1" t="s">
        <v>77</v>
      </c>
      <c r="J69" s="1" t="s">
        <v>80</v>
      </c>
      <c r="K69" s="1" t="s">
        <v>76</v>
      </c>
      <c r="L69" s="9" t="s">
        <v>168</v>
      </c>
      <c r="M69" s="3" t="s">
        <v>107</v>
      </c>
      <c r="N69" s="2" t="s">
        <v>122</v>
      </c>
      <c r="O69" s="9" t="s">
        <v>119</v>
      </c>
      <c r="P69" s="4"/>
      <c r="Q69" s="4">
        <f>5.8*10000</f>
        <v>58000</v>
      </c>
      <c r="R69" s="4">
        <f t="shared" ref="R69:R76" si="6">T69/1000*Q69</f>
        <v>461680</v>
      </c>
      <c r="S69" s="4">
        <v>114</v>
      </c>
      <c r="T69" s="23">
        <v>7960</v>
      </c>
    </row>
    <row r="70" spans="1:20" x14ac:dyDescent="0.3">
      <c r="A70" s="22" t="s">
        <v>4</v>
      </c>
      <c r="B70" s="1" t="s">
        <v>201</v>
      </c>
      <c r="C70" s="1" t="s">
        <v>133</v>
      </c>
      <c r="D70" s="1" t="s">
        <v>83</v>
      </c>
      <c r="E70" s="1">
        <v>11.5</v>
      </c>
      <c r="F70" s="7">
        <v>12.074999999999999</v>
      </c>
      <c r="G70" s="6">
        <v>-0.57500000000000007</v>
      </c>
      <c r="H70" s="7">
        <v>-5</v>
      </c>
      <c r="I70" s="1" t="s">
        <v>77</v>
      </c>
      <c r="J70" s="1" t="s">
        <v>80</v>
      </c>
      <c r="K70" s="1" t="s">
        <v>76</v>
      </c>
      <c r="L70" s="9" t="s">
        <v>168</v>
      </c>
      <c r="M70" s="3" t="s">
        <v>107</v>
      </c>
      <c r="N70" s="2" t="s">
        <v>122</v>
      </c>
      <c r="O70" s="9" t="s">
        <v>119</v>
      </c>
      <c r="P70" s="4"/>
      <c r="Q70" s="4">
        <f>5.8*10000</f>
        <v>58000</v>
      </c>
      <c r="R70" s="4">
        <f t="shared" si="6"/>
        <v>461680</v>
      </c>
      <c r="S70" s="4">
        <v>114</v>
      </c>
      <c r="T70" s="23">
        <v>7960</v>
      </c>
    </row>
    <row r="71" spans="1:20" x14ac:dyDescent="0.3">
      <c r="A71" s="22" t="s">
        <v>4</v>
      </c>
      <c r="B71" s="1" t="s">
        <v>201</v>
      </c>
      <c r="C71" s="1" t="s">
        <v>133</v>
      </c>
      <c r="D71" s="1" t="s">
        <v>84</v>
      </c>
      <c r="E71" s="7">
        <v>372.94009390488242</v>
      </c>
      <c r="F71" s="1"/>
      <c r="G71" s="8">
        <v>203.19213999999999</v>
      </c>
      <c r="H71" s="7">
        <v>54.483855000000005</v>
      </c>
      <c r="I71" s="1" t="s">
        <v>77</v>
      </c>
      <c r="J71" s="1" t="s">
        <v>80</v>
      </c>
      <c r="K71" s="1" t="s">
        <v>76</v>
      </c>
      <c r="L71" s="9" t="s">
        <v>168</v>
      </c>
      <c r="M71" s="3" t="s">
        <v>107</v>
      </c>
      <c r="N71" s="2" t="s">
        <v>122</v>
      </c>
      <c r="O71" s="9" t="s">
        <v>119</v>
      </c>
      <c r="P71" s="4"/>
      <c r="Q71" s="4">
        <f>5.8*10000</f>
        <v>58000</v>
      </c>
      <c r="R71" s="4">
        <f t="shared" si="6"/>
        <v>461680</v>
      </c>
      <c r="S71" s="4">
        <v>114</v>
      </c>
      <c r="T71" s="23">
        <v>7960</v>
      </c>
    </row>
    <row r="72" spans="1:20" x14ac:dyDescent="0.3">
      <c r="A72" s="22" t="s">
        <v>4</v>
      </c>
      <c r="B72" s="1" t="s">
        <v>201</v>
      </c>
      <c r="C72" s="1" t="s">
        <v>133</v>
      </c>
      <c r="D72" s="1" t="s">
        <v>181</v>
      </c>
      <c r="E72" s="6">
        <v>6.0370268599299317</v>
      </c>
      <c r="F72" s="1"/>
      <c r="G72" s="10">
        <v>-2.1618726000000001</v>
      </c>
      <c r="H72" s="7">
        <v>-35.810220000000001</v>
      </c>
      <c r="I72" s="1" t="s">
        <v>77</v>
      </c>
      <c r="J72" s="1" t="s">
        <v>80</v>
      </c>
      <c r="K72" s="1" t="s">
        <v>76</v>
      </c>
      <c r="L72" s="9" t="s">
        <v>168</v>
      </c>
      <c r="M72" s="3" t="s">
        <v>107</v>
      </c>
      <c r="N72" s="2" t="s">
        <v>122</v>
      </c>
      <c r="O72" s="9" t="s">
        <v>119</v>
      </c>
      <c r="P72" s="4"/>
      <c r="Q72" s="4">
        <f>5.8*10000</f>
        <v>58000</v>
      </c>
      <c r="R72" s="4">
        <f t="shared" si="6"/>
        <v>461680</v>
      </c>
      <c r="S72" s="4">
        <v>114</v>
      </c>
      <c r="T72" s="23">
        <v>7960</v>
      </c>
    </row>
    <row r="73" spans="1:20" x14ac:dyDescent="0.3">
      <c r="A73" s="22" t="s">
        <v>4</v>
      </c>
      <c r="B73" s="1" t="s">
        <v>202</v>
      </c>
      <c r="C73" s="1" t="s">
        <v>135</v>
      </c>
      <c r="D73" s="1" t="s">
        <v>82</v>
      </c>
      <c r="E73" s="1">
        <v>496.3</v>
      </c>
      <c r="F73" s="7">
        <v>304.72820000000002</v>
      </c>
      <c r="G73" s="7">
        <v>191.5718</v>
      </c>
      <c r="H73" s="7">
        <v>38.6</v>
      </c>
      <c r="I73" s="1" t="s">
        <v>13</v>
      </c>
      <c r="J73" s="1" t="s">
        <v>80</v>
      </c>
      <c r="K73" s="1" t="s">
        <v>76</v>
      </c>
      <c r="L73" s="9" t="s">
        <v>168</v>
      </c>
      <c r="M73" s="3" t="s">
        <v>107</v>
      </c>
      <c r="N73" s="2" t="s">
        <v>122</v>
      </c>
      <c r="O73" s="9" t="s">
        <v>119</v>
      </c>
      <c r="P73" s="4"/>
      <c r="Q73" s="4">
        <f>31*10000</f>
        <v>310000</v>
      </c>
      <c r="R73" s="4">
        <f t="shared" si="6"/>
        <v>1726700</v>
      </c>
      <c r="S73" s="4">
        <v>565</v>
      </c>
      <c r="T73" s="23">
        <v>5570</v>
      </c>
    </row>
    <row r="74" spans="1:20" x14ac:dyDescent="0.3">
      <c r="A74" s="22" t="s">
        <v>4</v>
      </c>
      <c r="B74" s="1" t="s">
        <v>202</v>
      </c>
      <c r="C74" s="1" t="s">
        <v>135</v>
      </c>
      <c r="D74" s="1" t="s">
        <v>83</v>
      </c>
      <c r="E74" s="1">
        <v>6.2</v>
      </c>
      <c r="F74" s="7">
        <v>6.82</v>
      </c>
      <c r="G74" s="6">
        <v>-0.62000000000000011</v>
      </c>
      <c r="H74" s="7">
        <v>-10</v>
      </c>
      <c r="I74" s="1" t="s">
        <v>13</v>
      </c>
      <c r="J74" s="1" t="s">
        <v>80</v>
      </c>
      <c r="K74" s="1" t="s">
        <v>76</v>
      </c>
      <c r="L74" s="9" t="s">
        <v>168</v>
      </c>
      <c r="M74" s="3" t="s">
        <v>107</v>
      </c>
      <c r="N74" s="2" t="s">
        <v>122</v>
      </c>
      <c r="O74" s="9" t="s">
        <v>119</v>
      </c>
      <c r="P74" s="4"/>
      <c r="Q74" s="4">
        <f>31*10000</f>
        <v>310000</v>
      </c>
      <c r="R74" s="4">
        <f t="shared" si="6"/>
        <v>1726700</v>
      </c>
      <c r="S74" s="4">
        <v>565</v>
      </c>
      <c r="T74" s="23">
        <v>5570</v>
      </c>
    </row>
    <row r="75" spans="1:20" x14ac:dyDescent="0.3">
      <c r="A75" s="22" t="s">
        <v>4</v>
      </c>
      <c r="B75" s="1" t="s">
        <v>202</v>
      </c>
      <c r="C75" s="1" t="s">
        <v>135</v>
      </c>
      <c r="D75" s="1" t="s">
        <v>84</v>
      </c>
      <c r="E75" s="7">
        <v>456.46047203932778</v>
      </c>
      <c r="F75" s="1"/>
      <c r="G75" s="8">
        <v>190.44032999999999</v>
      </c>
      <c r="H75" s="7">
        <v>41.7211</v>
      </c>
      <c r="I75" s="1" t="s">
        <v>13</v>
      </c>
      <c r="J75" s="1" t="s">
        <v>80</v>
      </c>
      <c r="K75" s="1" t="s">
        <v>76</v>
      </c>
      <c r="L75" s="9" t="s">
        <v>168</v>
      </c>
      <c r="M75" s="3" t="s">
        <v>107</v>
      </c>
      <c r="N75" s="2" t="s">
        <v>122</v>
      </c>
      <c r="O75" s="9" t="s">
        <v>119</v>
      </c>
      <c r="P75" s="4"/>
      <c r="Q75" s="4">
        <f>31*10000</f>
        <v>310000</v>
      </c>
      <c r="R75" s="4">
        <f t="shared" si="6"/>
        <v>1726700</v>
      </c>
      <c r="S75" s="4">
        <v>565</v>
      </c>
      <c r="T75" s="23">
        <v>5570</v>
      </c>
    </row>
    <row r="76" spans="1:20" x14ac:dyDescent="0.3">
      <c r="A76" s="22" t="s">
        <v>4</v>
      </c>
      <c r="B76" s="1" t="s">
        <v>202</v>
      </c>
      <c r="C76" s="1" t="s">
        <v>135</v>
      </c>
      <c r="D76" s="1" t="s">
        <v>181</v>
      </c>
      <c r="E76" s="6">
        <v>4.3679292938151377</v>
      </c>
      <c r="F76" s="1"/>
      <c r="G76" s="10">
        <v>-0.49806099999999998</v>
      </c>
      <c r="H76" s="7">
        <v>-11.40268</v>
      </c>
      <c r="I76" s="1" t="s">
        <v>13</v>
      </c>
      <c r="J76" s="1" t="s">
        <v>80</v>
      </c>
      <c r="K76" s="1" t="s">
        <v>76</v>
      </c>
      <c r="L76" s="9" t="s">
        <v>168</v>
      </c>
      <c r="M76" s="3" t="s">
        <v>107</v>
      </c>
      <c r="N76" s="2" t="s">
        <v>122</v>
      </c>
      <c r="O76" s="9" t="s">
        <v>119</v>
      </c>
      <c r="P76" s="4"/>
      <c r="Q76" s="4">
        <f>31*10000</f>
        <v>310000</v>
      </c>
      <c r="R76" s="4">
        <f t="shared" si="6"/>
        <v>1726700</v>
      </c>
      <c r="S76" s="4">
        <v>565</v>
      </c>
      <c r="T76" s="23">
        <v>5570</v>
      </c>
    </row>
    <row r="77" spans="1:20" x14ac:dyDescent="0.3">
      <c r="A77" s="22" t="s">
        <v>4</v>
      </c>
      <c r="B77" s="1" t="s">
        <v>202</v>
      </c>
      <c r="C77" s="1" t="s">
        <v>135</v>
      </c>
      <c r="D77" s="1" t="s">
        <v>82</v>
      </c>
      <c r="E77" s="1">
        <v>812</v>
      </c>
      <c r="F77" s="6">
        <f>E77-G77</f>
        <v>583.82799999999997</v>
      </c>
      <c r="G77" s="6">
        <f>H77/100*E77</f>
        <v>228.17200000000003</v>
      </c>
      <c r="H77" s="7">
        <v>28.1</v>
      </c>
      <c r="I77" s="1" t="s">
        <v>77</v>
      </c>
      <c r="J77" s="1" t="s">
        <v>80</v>
      </c>
      <c r="K77" s="1" t="s">
        <v>40</v>
      </c>
      <c r="L77" s="2" t="s">
        <v>104</v>
      </c>
      <c r="M77" s="3" t="s">
        <v>102</v>
      </c>
      <c r="N77" s="2" t="s">
        <v>122</v>
      </c>
      <c r="O77" s="2" t="s">
        <v>123</v>
      </c>
      <c r="P77" s="4" t="s">
        <v>96</v>
      </c>
      <c r="Q77" s="4">
        <f>34*10000</f>
        <v>340000</v>
      </c>
      <c r="R77" s="4" t="s">
        <v>96</v>
      </c>
      <c r="S77" s="4">
        <v>515</v>
      </c>
      <c r="T77" s="23" t="s">
        <v>96</v>
      </c>
    </row>
    <row r="78" spans="1:20" x14ac:dyDescent="0.3">
      <c r="A78" s="22" t="s">
        <v>4</v>
      </c>
      <c r="B78" s="1" t="s">
        <v>137</v>
      </c>
      <c r="C78" s="1" t="s">
        <v>133</v>
      </c>
      <c r="D78" s="1" t="s">
        <v>83</v>
      </c>
      <c r="E78" s="6">
        <v>15.161290322580644</v>
      </c>
      <c r="F78" s="6">
        <v>1.0612903225806445</v>
      </c>
      <c r="G78" s="6">
        <v>14.1</v>
      </c>
      <c r="H78" s="7">
        <v>93</v>
      </c>
      <c r="I78" s="1" t="s">
        <v>77</v>
      </c>
      <c r="J78" s="1" t="s">
        <v>10</v>
      </c>
      <c r="K78" s="1" t="s">
        <v>28</v>
      </c>
      <c r="L78" s="2" t="s">
        <v>111</v>
      </c>
      <c r="M78" s="3" t="s">
        <v>101</v>
      </c>
      <c r="N78" s="2" t="s">
        <v>110</v>
      </c>
      <c r="O78" s="2" t="s">
        <v>118</v>
      </c>
      <c r="P78" s="4">
        <v>100</v>
      </c>
      <c r="Q78" s="4">
        <v>400</v>
      </c>
      <c r="R78" s="4">
        <v>712</v>
      </c>
      <c r="S78" s="4" t="s">
        <v>96</v>
      </c>
      <c r="T78" s="23">
        <f>R78/Q78*1000</f>
        <v>1780</v>
      </c>
    </row>
    <row r="79" spans="1:20" x14ac:dyDescent="0.3">
      <c r="A79" s="22" t="s">
        <v>4</v>
      </c>
      <c r="B79" s="1" t="s">
        <v>137</v>
      </c>
      <c r="C79" s="1" t="s">
        <v>133</v>
      </c>
      <c r="D79" s="1" t="s">
        <v>82</v>
      </c>
      <c r="E79" s="6">
        <f>21+39</f>
        <v>60</v>
      </c>
      <c r="F79" s="6">
        <f>E79-G79</f>
        <v>3</v>
      </c>
      <c r="G79" s="6">
        <v>57</v>
      </c>
      <c r="H79" s="7">
        <f>G79/E79*100</f>
        <v>95</v>
      </c>
      <c r="I79" s="1" t="s">
        <v>77</v>
      </c>
      <c r="J79" s="1" t="s">
        <v>10</v>
      </c>
      <c r="K79" s="1" t="s">
        <v>28</v>
      </c>
      <c r="L79" s="2" t="s">
        <v>111</v>
      </c>
      <c r="M79" s="3" t="s">
        <v>101</v>
      </c>
      <c r="N79" s="2" t="s">
        <v>110</v>
      </c>
      <c r="O79" s="2" t="s">
        <v>118</v>
      </c>
      <c r="P79" s="4">
        <v>100</v>
      </c>
      <c r="Q79" s="4">
        <v>400</v>
      </c>
      <c r="R79" s="4">
        <v>712</v>
      </c>
      <c r="S79" s="4" t="s">
        <v>96</v>
      </c>
      <c r="T79" s="23">
        <f>R79/Q79*1000</f>
        <v>1780</v>
      </c>
    </row>
    <row r="80" spans="1:20" x14ac:dyDescent="0.3">
      <c r="A80" s="22" t="s">
        <v>4</v>
      </c>
      <c r="B80" s="1" t="s">
        <v>39</v>
      </c>
      <c r="C80" s="1" t="s">
        <v>135</v>
      </c>
      <c r="D80" s="1" t="s">
        <v>84</v>
      </c>
      <c r="E80" s="6">
        <v>637</v>
      </c>
      <c r="F80" s="6">
        <v>452</v>
      </c>
      <c r="G80" s="6">
        <v>184.5</v>
      </c>
      <c r="H80" s="7">
        <v>28.963893249607537</v>
      </c>
      <c r="I80" s="1" t="s">
        <v>13</v>
      </c>
      <c r="J80" s="1" t="s">
        <v>80</v>
      </c>
      <c r="K80" s="1" t="s">
        <v>38</v>
      </c>
      <c r="L80" s="2" t="s">
        <v>104</v>
      </c>
      <c r="M80" s="3" t="s">
        <v>102</v>
      </c>
      <c r="N80" s="2" t="s">
        <v>122</v>
      </c>
      <c r="O80" s="2" t="s">
        <v>123</v>
      </c>
      <c r="P80" s="4" t="s">
        <v>96</v>
      </c>
      <c r="Q80" s="4">
        <v>5870</v>
      </c>
      <c r="R80" s="4">
        <f>T80/1000*Q80</f>
        <v>25907.244999999999</v>
      </c>
      <c r="S80" s="4">
        <v>24</v>
      </c>
      <c r="T80" s="23">
        <f>AVERAGE(4433,4394)</f>
        <v>4413.5</v>
      </c>
    </row>
    <row r="81" spans="1:20" x14ac:dyDescent="0.3">
      <c r="A81" s="22" t="s">
        <v>4</v>
      </c>
      <c r="B81" s="1" t="s">
        <v>39</v>
      </c>
      <c r="C81" s="1" t="s">
        <v>135</v>
      </c>
      <c r="D81" s="1" t="s">
        <v>82</v>
      </c>
      <c r="E81" s="6">
        <v>672.5</v>
      </c>
      <c r="F81" s="6">
        <v>479.5</v>
      </c>
      <c r="G81" s="6">
        <v>193</v>
      </c>
      <c r="H81" s="7">
        <v>28.698884758364311</v>
      </c>
      <c r="I81" s="1" t="s">
        <v>13</v>
      </c>
      <c r="J81" s="1" t="s">
        <v>80</v>
      </c>
      <c r="K81" s="1" t="s">
        <v>38</v>
      </c>
      <c r="L81" s="2" t="s">
        <v>104</v>
      </c>
      <c r="M81" s="3" t="s">
        <v>102</v>
      </c>
      <c r="N81" s="2" t="s">
        <v>122</v>
      </c>
      <c r="O81" s="2" t="s">
        <v>123</v>
      </c>
      <c r="P81" s="4" t="s">
        <v>96</v>
      </c>
      <c r="Q81" s="4">
        <v>5870</v>
      </c>
      <c r="R81" s="4">
        <f>T81/1000*Q81</f>
        <v>25907.244999999999</v>
      </c>
      <c r="S81" s="4">
        <v>24</v>
      </c>
      <c r="T81" s="23">
        <f>AVERAGE(4433,4394)</f>
        <v>4413.5</v>
      </c>
    </row>
    <row r="82" spans="1:20" x14ac:dyDescent="0.3">
      <c r="A82" s="22" t="s">
        <v>4</v>
      </c>
      <c r="B82" s="1" t="s">
        <v>39</v>
      </c>
      <c r="C82" s="1" t="s">
        <v>135</v>
      </c>
      <c r="D82" s="1" t="s">
        <v>181</v>
      </c>
      <c r="E82" s="6">
        <v>0.55500000000000005</v>
      </c>
      <c r="F82" s="6">
        <v>1.1200000000000001</v>
      </c>
      <c r="G82" s="6">
        <v>-0.56999999999999995</v>
      </c>
      <c r="H82" s="7">
        <v>-102.70270270270268</v>
      </c>
      <c r="I82" s="1" t="s">
        <v>13</v>
      </c>
      <c r="J82" s="1" t="s">
        <v>80</v>
      </c>
      <c r="K82" s="1" t="s">
        <v>38</v>
      </c>
      <c r="L82" s="2" t="s">
        <v>104</v>
      </c>
      <c r="M82" s="3" t="s">
        <v>102</v>
      </c>
      <c r="N82" s="2" t="s">
        <v>122</v>
      </c>
      <c r="O82" s="2" t="s">
        <v>123</v>
      </c>
      <c r="P82" s="4" t="s">
        <v>96</v>
      </c>
      <c r="Q82" s="4">
        <v>5870</v>
      </c>
      <c r="R82" s="4">
        <f>T82/1000*Q82</f>
        <v>25907.244999999999</v>
      </c>
      <c r="S82" s="4">
        <v>24</v>
      </c>
      <c r="T82" s="23">
        <f>AVERAGE(4433,4394)</f>
        <v>4413.5</v>
      </c>
    </row>
    <row r="83" spans="1:20" x14ac:dyDescent="0.3">
      <c r="A83" s="22" t="s">
        <v>4</v>
      </c>
      <c r="B83" s="1" t="s">
        <v>39</v>
      </c>
      <c r="C83" s="1" t="s">
        <v>135</v>
      </c>
      <c r="D83" s="1" t="s">
        <v>83</v>
      </c>
      <c r="E83" s="6">
        <v>1.095</v>
      </c>
      <c r="F83" s="6">
        <v>1.7050000000000001</v>
      </c>
      <c r="G83" s="6">
        <v>-0.61499999999999999</v>
      </c>
      <c r="H83" s="7">
        <v>-56.164383561643838</v>
      </c>
      <c r="I83" s="1" t="s">
        <v>13</v>
      </c>
      <c r="J83" s="1" t="s">
        <v>80</v>
      </c>
      <c r="K83" s="1" t="s">
        <v>38</v>
      </c>
      <c r="L83" s="2" t="s">
        <v>104</v>
      </c>
      <c r="M83" s="3" t="s">
        <v>102</v>
      </c>
      <c r="N83" s="2" t="s">
        <v>122</v>
      </c>
      <c r="O83" s="2" t="s">
        <v>123</v>
      </c>
      <c r="P83" s="4" t="s">
        <v>96</v>
      </c>
      <c r="Q83" s="4">
        <v>5870</v>
      </c>
      <c r="R83" s="4">
        <f>T83/1000*Q83</f>
        <v>25907.244999999999</v>
      </c>
      <c r="S83" s="4">
        <v>24</v>
      </c>
      <c r="T83" s="23">
        <f>AVERAGE(4433,4394)</f>
        <v>4413.5</v>
      </c>
    </row>
    <row r="84" spans="1:20" x14ac:dyDescent="0.3">
      <c r="A84" s="22" t="s">
        <v>4</v>
      </c>
      <c r="B84" s="1" t="s">
        <v>283</v>
      </c>
      <c r="C84" s="1" t="s">
        <v>133</v>
      </c>
      <c r="D84" s="1" t="s">
        <v>84</v>
      </c>
      <c r="E84" s="6">
        <v>1502</v>
      </c>
      <c r="F84" s="6"/>
      <c r="G84" s="6"/>
      <c r="H84" s="7"/>
      <c r="I84" s="1" t="s">
        <v>77</v>
      </c>
      <c r="J84" s="1" t="s">
        <v>80</v>
      </c>
      <c r="K84" s="1" t="s">
        <v>282</v>
      </c>
      <c r="L84" s="2" t="s">
        <v>104</v>
      </c>
      <c r="M84" s="3" t="s">
        <v>102</v>
      </c>
      <c r="N84" s="2" t="s">
        <v>95</v>
      </c>
      <c r="O84" s="2" t="s">
        <v>117</v>
      </c>
      <c r="P84" s="4">
        <v>30</v>
      </c>
      <c r="Q84" s="4">
        <v>852</v>
      </c>
      <c r="R84" s="4">
        <f>(37744+30457+970+748)*365/(102+58)*(Q84/10000)</f>
        <v>13589.631637500001</v>
      </c>
      <c r="S84" s="4" t="s">
        <v>96</v>
      </c>
      <c r="T84" s="23">
        <f>R84/Q84*1000</f>
        <v>15950.271875</v>
      </c>
    </row>
    <row r="85" spans="1:20" x14ac:dyDescent="0.3">
      <c r="A85" s="22" t="s">
        <v>4</v>
      </c>
      <c r="B85" s="1" t="s">
        <v>283</v>
      </c>
      <c r="C85" s="1" t="s">
        <v>133</v>
      </c>
      <c r="D85" s="1" t="s">
        <v>85</v>
      </c>
      <c r="E85" s="6">
        <v>36</v>
      </c>
      <c r="F85" s="6"/>
      <c r="G85" s="6"/>
      <c r="H85" s="7"/>
      <c r="I85" s="1" t="s">
        <v>77</v>
      </c>
      <c r="J85" s="1" t="s">
        <v>80</v>
      </c>
      <c r="K85" s="1" t="s">
        <v>282</v>
      </c>
      <c r="L85" s="2" t="s">
        <v>104</v>
      </c>
      <c r="M85" s="3" t="s">
        <v>102</v>
      </c>
      <c r="N85" s="2" t="s">
        <v>95</v>
      </c>
      <c r="O85" s="2" t="s">
        <v>117</v>
      </c>
      <c r="P85" s="4">
        <v>30</v>
      </c>
      <c r="Q85" s="4">
        <v>852</v>
      </c>
      <c r="R85" s="4">
        <f>(37744+30457+970+748)*365/(102+58)*(Q85/10000)</f>
        <v>13589.631637500001</v>
      </c>
      <c r="S85" s="4" t="s">
        <v>96</v>
      </c>
      <c r="T85" s="23">
        <f>R85/Q85*1000</f>
        <v>15950.271875</v>
      </c>
    </row>
    <row r="86" spans="1:20" x14ac:dyDescent="0.3">
      <c r="A86" s="22" t="s">
        <v>4</v>
      </c>
      <c r="B86" s="1" t="s">
        <v>283</v>
      </c>
      <c r="C86" s="1" t="s">
        <v>133</v>
      </c>
      <c r="D86" s="1" t="s">
        <v>82</v>
      </c>
      <c r="E86" s="6"/>
      <c r="F86" s="6"/>
      <c r="G86" s="6">
        <v>428</v>
      </c>
      <c r="H86" s="7"/>
      <c r="I86" s="1" t="s">
        <v>77</v>
      </c>
      <c r="J86" s="1" t="s">
        <v>80</v>
      </c>
      <c r="K86" s="1" t="s">
        <v>282</v>
      </c>
      <c r="L86" s="2" t="s">
        <v>104</v>
      </c>
      <c r="M86" s="3" t="s">
        <v>102</v>
      </c>
      <c r="N86" s="2" t="s">
        <v>95</v>
      </c>
      <c r="O86" s="2" t="s">
        <v>117</v>
      </c>
      <c r="P86" s="4">
        <v>30</v>
      </c>
      <c r="Q86" s="4">
        <v>852</v>
      </c>
      <c r="R86" s="4">
        <f>(37744+30457+970+748)*365/(102+58)*(Q86/10000)</f>
        <v>13589.631637500001</v>
      </c>
      <c r="S86" s="4" t="s">
        <v>96</v>
      </c>
      <c r="T86" s="23">
        <f>R86/Q86*1000</f>
        <v>15950.271875</v>
      </c>
    </row>
    <row r="87" spans="1:20" x14ac:dyDescent="0.3">
      <c r="A87" s="22" t="s">
        <v>4</v>
      </c>
      <c r="B87" s="1" t="s">
        <v>203</v>
      </c>
      <c r="C87" s="1" t="s">
        <v>133</v>
      </c>
      <c r="D87" s="1" t="s">
        <v>82</v>
      </c>
      <c r="E87" s="1">
        <v>1337</v>
      </c>
      <c r="F87" s="7">
        <v>1267.4760000000001</v>
      </c>
      <c r="G87" s="7">
        <v>69.524000000000001</v>
      </c>
      <c r="H87" s="7">
        <v>5.2</v>
      </c>
      <c r="I87" s="1" t="s">
        <v>77</v>
      </c>
      <c r="J87" s="1" t="s">
        <v>80</v>
      </c>
      <c r="K87" s="1" t="s">
        <v>76</v>
      </c>
      <c r="L87" s="9" t="s">
        <v>168</v>
      </c>
      <c r="M87" s="3" t="s">
        <v>107</v>
      </c>
      <c r="N87" s="2" t="s">
        <v>122</v>
      </c>
      <c r="O87" s="9" t="s">
        <v>119</v>
      </c>
      <c r="P87" s="4"/>
      <c r="Q87" s="4">
        <f>152*10000</f>
        <v>1520000</v>
      </c>
      <c r="R87" s="4">
        <f>T87/1000*Q87</f>
        <v>77337600</v>
      </c>
      <c r="S87" s="4">
        <v>10059</v>
      </c>
      <c r="T87" s="23">
        <v>50880</v>
      </c>
    </row>
    <row r="88" spans="1:20" x14ac:dyDescent="0.3">
      <c r="A88" s="22" t="s">
        <v>4</v>
      </c>
      <c r="B88" s="1" t="s">
        <v>203</v>
      </c>
      <c r="C88" s="1" t="s">
        <v>133</v>
      </c>
      <c r="D88" s="1" t="s">
        <v>83</v>
      </c>
      <c r="E88" s="1">
        <v>60.5</v>
      </c>
      <c r="F88" s="7">
        <v>50.215000000000003</v>
      </c>
      <c r="G88" s="6">
        <v>10.285</v>
      </c>
      <c r="H88" s="7">
        <v>17</v>
      </c>
      <c r="I88" s="1" t="s">
        <v>77</v>
      </c>
      <c r="J88" s="1" t="s">
        <v>80</v>
      </c>
      <c r="K88" s="1" t="s">
        <v>76</v>
      </c>
      <c r="L88" s="9" t="s">
        <v>168</v>
      </c>
      <c r="M88" s="3" t="s">
        <v>107</v>
      </c>
      <c r="N88" s="2" t="s">
        <v>122</v>
      </c>
      <c r="O88" s="9" t="s">
        <v>119</v>
      </c>
      <c r="P88" s="4"/>
      <c r="Q88" s="4">
        <f>152*10000</f>
        <v>1520000</v>
      </c>
      <c r="R88" s="4">
        <f>T88/1000*Q88</f>
        <v>77337600</v>
      </c>
      <c r="S88" s="4">
        <v>10059</v>
      </c>
      <c r="T88" s="23">
        <v>50880</v>
      </c>
    </row>
    <row r="89" spans="1:20" x14ac:dyDescent="0.3">
      <c r="A89" s="22" t="s">
        <v>4</v>
      </c>
      <c r="B89" s="1" t="s">
        <v>203</v>
      </c>
      <c r="C89" s="1" t="s">
        <v>133</v>
      </c>
      <c r="D89" s="1" t="s">
        <v>84</v>
      </c>
      <c r="E89" s="7">
        <v>910.3341261631183</v>
      </c>
      <c r="F89" s="1"/>
      <c r="G89" s="8">
        <v>34.407989999999998</v>
      </c>
      <c r="H89" s="7">
        <v>3.7797100000000001</v>
      </c>
      <c r="I89" s="1" t="s">
        <v>77</v>
      </c>
      <c r="J89" s="1" t="s">
        <v>80</v>
      </c>
      <c r="K89" s="1" t="s">
        <v>76</v>
      </c>
      <c r="L89" s="9" t="s">
        <v>168</v>
      </c>
      <c r="M89" s="3" t="s">
        <v>107</v>
      </c>
      <c r="N89" s="2" t="s">
        <v>122</v>
      </c>
      <c r="O89" s="9" t="s">
        <v>119</v>
      </c>
      <c r="P89" s="4"/>
      <c r="Q89" s="4">
        <f>152*10000</f>
        <v>1520000</v>
      </c>
      <c r="R89" s="4">
        <f>T89/1000*Q89</f>
        <v>77337600</v>
      </c>
      <c r="S89" s="4">
        <v>10059</v>
      </c>
      <c r="T89" s="23">
        <v>50880</v>
      </c>
    </row>
    <row r="90" spans="1:20" x14ac:dyDescent="0.3">
      <c r="A90" s="22" t="s">
        <v>4</v>
      </c>
      <c r="B90" s="1" t="s">
        <v>203</v>
      </c>
      <c r="C90" s="1" t="s">
        <v>133</v>
      </c>
      <c r="D90" s="1" t="s">
        <v>181</v>
      </c>
      <c r="E90" s="6">
        <v>11.614528841724461</v>
      </c>
      <c r="F90" s="1"/>
      <c r="G90" s="10">
        <v>1.3741091000000001</v>
      </c>
      <c r="H90" s="7">
        <v>11.83095</v>
      </c>
      <c r="I90" s="1" t="s">
        <v>77</v>
      </c>
      <c r="J90" s="1" t="s">
        <v>80</v>
      </c>
      <c r="K90" s="1" t="s">
        <v>76</v>
      </c>
      <c r="L90" s="9" t="s">
        <v>168</v>
      </c>
      <c r="M90" s="3" t="s">
        <v>107</v>
      </c>
      <c r="N90" s="2" t="s">
        <v>122</v>
      </c>
      <c r="O90" s="9" t="s">
        <v>119</v>
      </c>
      <c r="P90" s="4"/>
      <c r="Q90" s="4">
        <f>152*10000</f>
        <v>1520000</v>
      </c>
      <c r="R90" s="4">
        <f>T90/1000*Q90</f>
        <v>77337600</v>
      </c>
      <c r="S90" s="4">
        <v>10059</v>
      </c>
      <c r="T90" s="23">
        <v>50880</v>
      </c>
    </row>
    <row r="91" spans="1:20" x14ac:dyDescent="0.3">
      <c r="A91" s="22" t="s">
        <v>4</v>
      </c>
      <c r="B91" s="1" t="s">
        <v>210</v>
      </c>
      <c r="C91" s="1" t="s">
        <v>133</v>
      </c>
      <c r="D91" s="1" t="s">
        <v>82</v>
      </c>
      <c r="E91" s="1">
        <v>198</v>
      </c>
      <c r="F91" s="6">
        <f>E91-G91</f>
        <v>64.943999999999988</v>
      </c>
      <c r="G91" s="6">
        <f>H91/100*E91</f>
        <v>133.05600000000001</v>
      </c>
      <c r="H91" s="7">
        <v>67.2</v>
      </c>
      <c r="I91" s="1" t="s">
        <v>77</v>
      </c>
      <c r="J91" s="1" t="s">
        <v>80</v>
      </c>
      <c r="K91" s="1" t="s">
        <v>40</v>
      </c>
      <c r="L91" s="2" t="s">
        <v>104</v>
      </c>
      <c r="M91" s="3" t="s">
        <v>102</v>
      </c>
      <c r="N91" s="2" t="s">
        <v>122</v>
      </c>
      <c r="O91" s="2" t="s">
        <v>123</v>
      </c>
      <c r="P91" s="4" t="s">
        <v>96</v>
      </c>
      <c r="Q91" s="4">
        <f>13*10000</f>
        <v>130000</v>
      </c>
      <c r="R91" s="4" t="s">
        <v>96</v>
      </c>
      <c r="S91" s="4">
        <v>60</v>
      </c>
      <c r="T91" s="23" t="s">
        <v>96</v>
      </c>
    </row>
    <row r="92" spans="1:20" x14ac:dyDescent="0.3">
      <c r="A92" s="22" t="s">
        <v>4</v>
      </c>
      <c r="B92" s="1" t="s">
        <v>204</v>
      </c>
      <c r="C92" s="1" t="s">
        <v>133</v>
      </c>
      <c r="D92" s="1" t="s">
        <v>82</v>
      </c>
      <c r="E92" s="1">
        <v>305</v>
      </c>
      <c r="F92" s="7">
        <v>233.935</v>
      </c>
      <c r="G92" s="7">
        <v>71.064999999999998</v>
      </c>
      <c r="H92" s="7">
        <v>23.3</v>
      </c>
      <c r="I92" s="1" t="s">
        <v>77</v>
      </c>
      <c r="J92" s="1" t="s">
        <v>80</v>
      </c>
      <c r="K92" s="1" t="s">
        <v>76</v>
      </c>
      <c r="L92" s="9" t="s">
        <v>168</v>
      </c>
      <c r="M92" s="3" t="s">
        <v>107</v>
      </c>
      <c r="N92" s="2" t="s">
        <v>122</v>
      </c>
      <c r="O92" s="9" t="s">
        <v>119</v>
      </c>
      <c r="P92" s="4"/>
      <c r="Q92" s="4">
        <f>913*10000</f>
        <v>9130000</v>
      </c>
      <c r="R92" s="4">
        <f>T92/1000*Q92</f>
        <v>44189200</v>
      </c>
      <c r="S92" s="4">
        <v>9588</v>
      </c>
      <c r="T92" s="23">
        <v>4840</v>
      </c>
    </row>
    <row r="93" spans="1:20" x14ac:dyDescent="0.3">
      <c r="A93" s="22" t="s">
        <v>4</v>
      </c>
      <c r="B93" s="1" t="s">
        <v>204</v>
      </c>
      <c r="C93" s="1" t="s">
        <v>133</v>
      </c>
      <c r="D93" s="1" t="s">
        <v>83</v>
      </c>
      <c r="E93" s="1">
        <v>4.9000000000000004</v>
      </c>
      <c r="F93" s="7">
        <v>6.3210000000000006</v>
      </c>
      <c r="G93" s="6">
        <v>-1.421</v>
      </c>
      <c r="H93" s="7">
        <v>-29</v>
      </c>
      <c r="I93" s="1" t="s">
        <v>77</v>
      </c>
      <c r="J93" s="1" t="s">
        <v>80</v>
      </c>
      <c r="K93" s="1" t="s">
        <v>76</v>
      </c>
      <c r="L93" s="9" t="s">
        <v>168</v>
      </c>
      <c r="M93" s="3" t="s">
        <v>107</v>
      </c>
      <c r="N93" s="2" t="s">
        <v>122</v>
      </c>
      <c r="O93" s="9" t="s">
        <v>119</v>
      </c>
      <c r="P93" s="4"/>
      <c r="Q93" s="4">
        <f>913*10000</f>
        <v>9130000</v>
      </c>
      <c r="R93" s="4">
        <f>T93/1000*Q93</f>
        <v>44189200</v>
      </c>
      <c r="S93" s="4">
        <v>9588</v>
      </c>
      <c r="T93" s="23">
        <v>4840</v>
      </c>
    </row>
    <row r="94" spans="1:20" x14ac:dyDescent="0.3">
      <c r="A94" s="22" t="s">
        <v>4</v>
      </c>
      <c r="B94" s="1" t="s">
        <v>204</v>
      </c>
      <c r="C94" s="1" t="s">
        <v>133</v>
      </c>
      <c r="D94" s="1" t="s">
        <v>84</v>
      </c>
      <c r="E94" s="7">
        <v>274.51637921110159</v>
      </c>
      <c r="F94" s="1"/>
      <c r="G94" s="8">
        <v>111.97924999999999</v>
      </c>
      <c r="H94" s="7">
        <v>40.791463999999998</v>
      </c>
      <c r="I94" s="1" t="s">
        <v>77</v>
      </c>
      <c r="J94" s="1" t="s">
        <v>80</v>
      </c>
      <c r="K94" s="1" t="s">
        <v>76</v>
      </c>
      <c r="L94" s="9" t="s">
        <v>168</v>
      </c>
      <c r="M94" s="3" t="s">
        <v>107</v>
      </c>
      <c r="N94" s="2" t="s">
        <v>122</v>
      </c>
      <c r="O94" s="9" t="s">
        <v>119</v>
      </c>
      <c r="P94" s="4"/>
      <c r="Q94" s="4">
        <f>913*10000</f>
        <v>9130000</v>
      </c>
      <c r="R94" s="4">
        <f>T94/1000*Q94</f>
        <v>44189200</v>
      </c>
      <c r="S94" s="4">
        <v>9588</v>
      </c>
      <c r="T94" s="23">
        <v>4840</v>
      </c>
    </row>
    <row r="95" spans="1:20" x14ac:dyDescent="0.3">
      <c r="A95" s="22" t="s">
        <v>4</v>
      </c>
      <c r="B95" s="1" t="s">
        <v>204</v>
      </c>
      <c r="C95" s="1" t="s">
        <v>133</v>
      </c>
      <c r="D95" s="1" t="s">
        <v>181</v>
      </c>
      <c r="E95" s="6">
        <v>3.2242912187589021</v>
      </c>
      <c r="F95" s="1"/>
      <c r="G95" s="10">
        <v>2.0860528999999999</v>
      </c>
      <c r="H95" s="7">
        <v>64.698029999999989</v>
      </c>
      <c r="I95" s="1" t="s">
        <v>77</v>
      </c>
      <c r="J95" s="1" t="s">
        <v>80</v>
      </c>
      <c r="K95" s="1" t="s">
        <v>76</v>
      </c>
      <c r="L95" s="9" t="s">
        <v>168</v>
      </c>
      <c r="M95" s="3" t="s">
        <v>107</v>
      </c>
      <c r="N95" s="2" t="s">
        <v>122</v>
      </c>
      <c r="O95" s="9" t="s">
        <v>119</v>
      </c>
      <c r="P95" s="4"/>
      <c r="Q95" s="4">
        <f>913*10000</f>
        <v>9130000</v>
      </c>
      <c r="R95" s="4">
        <f>T95/1000*Q95</f>
        <v>44189200</v>
      </c>
      <c r="S95" s="4">
        <v>9588</v>
      </c>
      <c r="T95" s="23">
        <v>4840</v>
      </c>
    </row>
    <row r="96" spans="1:20" x14ac:dyDescent="0.3">
      <c r="A96" s="22" t="s">
        <v>4</v>
      </c>
      <c r="B96" s="1" t="s">
        <v>211</v>
      </c>
      <c r="C96" s="1" t="s">
        <v>133</v>
      </c>
      <c r="D96" s="1" t="s">
        <v>84</v>
      </c>
      <c r="E96" s="6">
        <v>86.566666666666663</v>
      </c>
      <c r="F96" s="6">
        <v>32.5</v>
      </c>
      <c r="G96" s="6">
        <v>56.300000000000004</v>
      </c>
      <c r="H96" s="7">
        <v>65.036580670003858</v>
      </c>
      <c r="I96" s="1" t="s">
        <v>77</v>
      </c>
      <c r="J96" s="1" t="s">
        <v>10</v>
      </c>
      <c r="K96" s="1" t="s">
        <v>130</v>
      </c>
      <c r="L96" s="2" t="s">
        <v>91</v>
      </c>
      <c r="M96" s="3" t="s">
        <v>101</v>
      </c>
      <c r="N96" s="2" t="s">
        <v>106</v>
      </c>
      <c r="O96" s="2" t="s">
        <v>118</v>
      </c>
      <c r="P96" s="5">
        <v>21</v>
      </c>
      <c r="Q96" s="5">
        <f>P96*1</f>
        <v>21</v>
      </c>
      <c r="R96" s="4">
        <f>AVERAGE(288,304)+400/1000*Q96</f>
        <v>304.39999999999998</v>
      </c>
      <c r="S96" s="4" t="s">
        <v>96</v>
      </c>
      <c r="T96" s="23">
        <f>R96/Q96*1000</f>
        <v>14495.238095238094</v>
      </c>
    </row>
    <row r="97" spans="1:20" x14ac:dyDescent="0.3">
      <c r="A97" s="22" t="s">
        <v>4</v>
      </c>
      <c r="B97" s="1" t="s">
        <v>211</v>
      </c>
      <c r="C97" s="1" t="s">
        <v>133</v>
      </c>
      <c r="D97" s="1" t="s">
        <v>85</v>
      </c>
      <c r="E97" s="6">
        <v>2.2499999999999996</v>
      </c>
      <c r="F97" s="6">
        <v>3.47</v>
      </c>
      <c r="G97" s="6">
        <v>-1.2333333333333334</v>
      </c>
      <c r="H97" s="7">
        <v>-54.814814814814824</v>
      </c>
      <c r="I97" s="1" t="s">
        <v>77</v>
      </c>
      <c r="J97" s="1" t="s">
        <v>10</v>
      </c>
      <c r="K97" s="1" t="s">
        <v>130</v>
      </c>
      <c r="L97" s="2" t="s">
        <v>91</v>
      </c>
      <c r="M97" s="3" t="s">
        <v>101</v>
      </c>
      <c r="N97" s="2" t="s">
        <v>106</v>
      </c>
      <c r="O97" s="2" t="s">
        <v>118</v>
      </c>
      <c r="P97" s="5">
        <v>21</v>
      </c>
      <c r="Q97" s="5">
        <f>P97*1</f>
        <v>21</v>
      </c>
      <c r="R97" s="4">
        <f>AVERAGE(288,304)+400/1000*Q97</f>
        <v>304.39999999999998</v>
      </c>
      <c r="S97" s="4" t="s">
        <v>96</v>
      </c>
      <c r="T97" s="23">
        <f>R97/Q97*1000</f>
        <v>14495.238095238094</v>
      </c>
    </row>
    <row r="98" spans="1:20" x14ac:dyDescent="0.3">
      <c r="A98" s="22" t="s">
        <v>4</v>
      </c>
      <c r="B98" s="1" t="s">
        <v>211</v>
      </c>
      <c r="C98" s="1" t="s">
        <v>133</v>
      </c>
      <c r="D98" s="1" t="s">
        <v>181</v>
      </c>
      <c r="E98" s="6">
        <v>0.23666666666666666</v>
      </c>
      <c r="F98" s="6">
        <v>0.36666666666666664</v>
      </c>
      <c r="G98" s="6">
        <v>-0.17</v>
      </c>
      <c r="H98" s="7">
        <v>-71.83098591549296</v>
      </c>
      <c r="I98" s="1" t="s">
        <v>77</v>
      </c>
      <c r="J98" s="1" t="s">
        <v>10</v>
      </c>
      <c r="K98" s="1" t="s">
        <v>130</v>
      </c>
      <c r="L98" s="2" t="s">
        <v>91</v>
      </c>
      <c r="M98" s="3" t="s">
        <v>101</v>
      </c>
      <c r="N98" s="2" t="s">
        <v>106</v>
      </c>
      <c r="O98" s="2" t="s">
        <v>118</v>
      </c>
      <c r="P98" s="5">
        <v>21</v>
      </c>
      <c r="Q98" s="5">
        <f>P98*1</f>
        <v>21</v>
      </c>
      <c r="R98" s="4">
        <f>AVERAGE(288,304)+400/1000*Q98</f>
        <v>304.39999999999998</v>
      </c>
      <c r="S98" s="4" t="s">
        <v>96</v>
      </c>
      <c r="T98" s="23">
        <f>R98/Q98*1000</f>
        <v>14495.238095238094</v>
      </c>
    </row>
    <row r="99" spans="1:20" x14ac:dyDescent="0.3">
      <c r="A99" s="22" t="s">
        <v>4</v>
      </c>
      <c r="B99" s="1" t="s">
        <v>205</v>
      </c>
      <c r="C99" s="1" t="s">
        <v>133</v>
      </c>
      <c r="D99" s="1" t="s">
        <v>82</v>
      </c>
      <c r="E99" s="1">
        <v>1701.3</v>
      </c>
      <c r="F99" s="7">
        <v>1441.0011</v>
      </c>
      <c r="G99" s="7">
        <v>260.2989</v>
      </c>
      <c r="H99" s="7">
        <v>15.3</v>
      </c>
      <c r="I99" s="1" t="s">
        <v>77</v>
      </c>
      <c r="J99" s="1" t="s">
        <v>80</v>
      </c>
      <c r="K99" s="1" t="s">
        <v>76</v>
      </c>
      <c r="L99" s="9" t="s">
        <v>168</v>
      </c>
      <c r="M99" s="3" t="s">
        <v>107</v>
      </c>
      <c r="N99" s="2" t="s">
        <v>122</v>
      </c>
      <c r="O99" s="9" t="s">
        <v>119</v>
      </c>
      <c r="P99" s="4"/>
      <c r="Q99" s="4">
        <f>215*10000</f>
        <v>2150000</v>
      </c>
      <c r="R99" s="4">
        <f>T99/1000*Q99</f>
        <v>103096385.54216866</v>
      </c>
      <c r="S99" s="4">
        <v>27134</v>
      </c>
      <c r="T99" s="23">
        <v>47951.807228915655</v>
      </c>
    </row>
    <row r="100" spans="1:20" x14ac:dyDescent="0.3">
      <c r="A100" s="22" t="s">
        <v>4</v>
      </c>
      <c r="B100" s="1" t="s">
        <v>205</v>
      </c>
      <c r="C100" s="1" t="s">
        <v>133</v>
      </c>
      <c r="D100" s="1" t="s">
        <v>83</v>
      </c>
      <c r="E100" s="1">
        <v>57.6</v>
      </c>
      <c r="F100" s="7">
        <v>47.231999999999999</v>
      </c>
      <c r="G100" s="6">
        <v>10.368</v>
      </c>
      <c r="H100" s="7">
        <v>18</v>
      </c>
      <c r="I100" s="1" t="s">
        <v>77</v>
      </c>
      <c r="J100" s="1" t="s">
        <v>80</v>
      </c>
      <c r="K100" s="1" t="s">
        <v>76</v>
      </c>
      <c r="L100" s="9" t="s">
        <v>168</v>
      </c>
      <c r="M100" s="3" t="s">
        <v>107</v>
      </c>
      <c r="N100" s="2" t="s">
        <v>122</v>
      </c>
      <c r="O100" s="9" t="s">
        <v>119</v>
      </c>
      <c r="P100" s="4"/>
      <c r="Q100" s="4">
        <f>215*10000</f>
        <v>2150000</v>
      </c>
      <c r="R100" s="4">
        <f>T100/1000*Q100</f>
        <v>103096385.54216866</v>
      </c>
      <c r="S100" s="4">
        <v>27134</v>
      </c>
      <c r="T100" s="23">
        <v>47951.807228915655</v>
      </c>
    </row>
    <row r="101" spans="1:20" x14ac:dyDescent="0.3">
      <c r="A101" s="22" t="s">
        <v>4</v>
      </c>
      <c r="B101" s="1" t="s">
        <v>205</v>
      </c>
      <c r="C101" s="1" t="s">
        <v>133</v>
      </c>
      <c r="D101" s="1" t="s">
        <v>84</v>
      </c>
      <c r="E101" s="7">
        <v>1431.0074153481862</v>
      </c>
      <c r="F101" s="1"/>
      <c r="G101" s="8">
        <v>298.98835000000003</v>
      </c>
      <c r="H101" s="7">
        <v>20.893556999999998</v>
      </c>
      <c r="I101" s="1" t="s">
        <v>77</v>
      </c>
      <c r="J101" s="1" t="s">
        <v>80</v>
      </c>
      <c r="K101" s="1" t="s">
        <v>76</v>
      </c>
      <c r="L101" s="9" t="s">
        <v>168</v>
      </c>
      <c r="M101" s="3" t="s">
        <v>107</v>
      </c>
      <c r="N101" s="2" t="s">
        <v>122</v>
      </c>
      <c r="O101" s="9" t="s">
        <v>119</v>
      </c>
      <c r="P101" s="4"/>
      <c r="Q101" s="4">
        <f>215*10000</f>
        <v>2150000</v>
      </c>
      <c r="R101" s="4">
        <f>T101/1000*Q101</f>
        <v>103096385.54216866</v>
      </c>
      <c r="S101" s="4">
        <v>27134</v>
      </c>
      <c r="T101" s="23">
        <v>47951.807228915655</v>
      </c>
    </row>
    <row r="102" spans="1:20" x14ac:dyDescent="0.3">
      <c r="A102" s="22" t="s">
        <v>4</v>
      </c>
      <c r="B102" s="1" t="s">
        <v>205</v>
      </c>
      <c r="C102" s="1" t="s">
        <v>133</v>
      </c>
      <c r="D102" s="1" t="s">
        <v>181</v>
      </c>
      <c r="E102" s="6">
        <v>28.441717443660782</v>
      </c>
      <c r="F102" s="1"/>
      <c r="G102" s="10">
        <v>13.246607600000001</v>
      </c>
      <c r="H102" s="7">
        <v>46.574570000000001</v>
      </c>
      <c r="I102" s="1" t="s">
        <v>77</v>
      </c>
      <c r="J102" s="1" t="s">
        <v>80</v>
      </c>
      <c r="K102" s="1" t="s">
        <v>76</v>
      </c>
      <c r="L102" s="9" t="s">
        <v>168</v>
      </c>
      <c r="M102" s="3" t="s">
        <v>107</v>
      </c>
      <c r="N102" s="2" t="s">
        <v>122</v>
      </c>
      <c r="O102" s="9" t="s">
        <v>119</v>
      </c>
      <c r="P102" s="4"/>
      <c r="Q102" s="4">
        <f>215*10000</f>
        <v>2150000</v>
      </c>
      <c r="R102" s="4">
        <f>T102/1000*Q102</f>
        <v>103096385.54216866</v>
      </c>
      <c r="S102" s="4">
        <v>27134</v>
      </c>
      <c r="T102" s="23">
        <v>47951.807228915655</v>
      </c>
    </row>
    <row r="103" spans="1:20" x14ac:dyDescent="0.3">
      <c r="A103" s="22" t="s">
        <v>14</v>
      </c>
      <c r="B103" s="1" t="s">
        <v>15</v>
      </c>
      <c r="C103" s="1" t="s">
        <v>134</v>
      </c>
      <c r="D103" s="1" t="s">
        <v>84</v>
      </c>
      <c r="E103" s="6"/>
      <c r="F103" s="6"/>
      <c r="G103" s="6"/>
      <c r="H103" s="7">
        <v>99</v>
      </c>
      <c r="I103" s="1" t="s">
        <v>13</v>
      </c>
      <c r="J103" s="1" t="s">
        <v>79</v>
      </c>
      <c r="K103" s="1" t="s">
        <v>16</v>
      </c>
      <c r="L103" s="2" t="s">
        <v>91</v>
      </c>
      <c r="M103" s="3" t="s">
        <v>101</v>
      </c>
      <c r="N103" s="2" t="s">
        <v>106</v>
      </c>
      <c r="O103" s="2" t="s">
        <v>118</v>
      </c>
      <c r="P103" s="4">
        <v>26</v>
      </c>
      <c r="Q103" s="4">
        <f>P103*16</f>
        <v>416</v>
      </c>
      <c r="R103" s="4">
        <f>1.15*1*16*365</f>
        <v>6715.9999999999991</v>
      </c>
      <c r="S103" s="4"/>
      <c r="T103" s="23">
        <f>R103/Q103*1000</f>
        <v>16144.230769230766</v>
      </c>
    </row>
    <row r="104" spans="1:20" x14ac:dyDescent="0.3">
      <c r="A104" s="22" t="s">
        <v>14</v>
      </c>
      <c r="B104" s="1" t="s">
        <v>15</v>
      </c>
      <c r="C104" s="1" t="s">
        <v>134</v>
      </c>
      <c r="D104" s="1" t="s">
        <v>84</v>
      </c>
      <c r="E104" s="6"/>
      <c r="F104" s="6"/>
      <c r="G104" s="6"/>
      <c r="H104" s="7">
        <v>84</v>
      </c>
      <c r="I104" s="1" t="s">
        <v>13</v>
      </c>
      <c r="J104" s="1" t="s">
        <v>10</v>
      </c>
      <c r="K104" s="1" t="s">
        <v>16</v>
      </c>
      <c r="L104" s="2" t="s">
        <v>91</v>
      </c>
      <c r="M104" s="3" t="s">
        <v>101</v>
      </c>
      <c r="N104" s="2" t="s">
        <v>106</v>
      </c>
      <c r="O104" s="2" t="s">
        <v>118</v>
      </c>
      <c r="P104" s="4">
        <v>22</v>
      </c>
      <c r="Q104" s="4">
        <f>P104*16</f>
        <v>352</v>
      </c>
      <c r="R104" s="4">
        <f>1.84*1*16*365</f>
        <v>10745.6</v>
      </c>
      <c r="S104" s="4"/>
      <c r="T104" s="23">
        <f>R104/Q104*1000</f>
        <v>30527.272727272728</v>
      </c>
    </row>
    <row r="105" spans="1:20" x14ac:dyDescent="0.3">
      <c r="A105" s="22" t="s">
        <v>56</v>
      </c>
      <c r="B105" s="1" t="s">
        <v>57</v>
      </c>
      <c r="C105" s="1" t="s">
        <v>133</v>
      </c>
      <c r="D105" s="1" t="s">
        <v>82</v>
      </c>
      <c r="E105" s="6">
        <v>110.4</v>
      </c>
      <c r="F105" s="6">
        <v>13.2</v>
      </c>
      <c r="G105" s="6">
        <v>97.2</v>
      </c>
      <c r="H105" s="7">
        <v>88.043478260869563</v>
      </c>
      <c r="I105" s="1" t="s">
        <v>77</v>
      </c>
      <c r="J105" s="1" t="s">
        <v>79</v>
      </c>
      <c r="K105" s="1" t="s">
        <v>58</v>
      </c>
      <c r="L105" s="2" t="s">
        <v>170</v>
      </c>
      <c r="M105" s="3" t="s">
        <v>101</v>
      </c>
      <c r="N105" s="2" t="s">
        <v>106</v>
      </c>
      <c r="O105" s="2" t="s">
        <v>118</v>
      </c>
      <c r="P105" s="4">
        <v>20</v>
      </c>
      <c r="Q105" s="4" t="s">
        <v>96</v>
      </c>
      <c r="R105" s="4" t="s">
        <v>96</v>
      </c>
      <c r="S105" s="4" t="s">
        <v>96</v>
      </c>
      <c r="T105" s="23" t="s">
        <v>96</v>
      </c>
    </row>
    <row r="106" spans="1:20" x14ac:dyDescent="0.3">
      <c r="A106" s="22" t="s">
        <v>56</v>
      </c>
      <c r="B106" s="1" t="s">
        <v>57</v>
      </c>
      <c r="C106" s="1" t="s">
        <v>133</v>
      </c>
      <c r="D106" s="1" t="s">
        <v>83</v>
      </c>
      <c r="E106" s="6">
        <v>2.5</v>
      </c>
      <c r="F106" s="6">
        <v>0.62</v>
      </c>
      <c r="G106" s="6">
        <v>1.88</v>
      </c>
      <c r="H106" s="7">
        <v>75.2</v>
      </c>
      <c r="I106" s="1" t="s">
        <v>77</v>
      </c>
      <c r="J106" s="1" t="s">
        <v>79</v>
      </c>
      <c r="K106" s="1" t="s">
        <v>58</v>
      </c>
      <c r="L106" s="2" t="s">
        <v>170</v>
      </c>
      <c r="M106" s="3" t="s">
        <v>101</v>
      </c>
      <c r="N106" s="2" t="s">
        <v>106</v>
      </c>
      <c r="O106" s="2" t="s">
        <v>118</v>
      </c>
      <c r="P106" s="4">
        <v>20</v>
      </c>
      <c r="Q106" s="4" t="s">
        <v>96</v>
      </c>
      <c r="R106" s="4" t="s">
        <v>96</v>
      </c>
      <c r="S106" s="4" t="s">
        <v>96</v>
      </c>
      <c r="T106" s="23" t="s">
        <v>96</v>
      </c>
    </row>
    <row r="107" spans="1:20" x14ac:dyDescent="0.3">
      <c r="A107" s="22" t="s">
        <v>56</v>
      </c>
      <c r="B107" s="1" t="s">
        <v>59</v>
      </c>
      <c r="C107" s="1" t="s">
        <v>133</v>
      </c>
      <c r="D107" s="1" t="s">
        <v>82</v>
      </c>
      <c r="E107" s="6">
        <v>72.900000000000006</v>
      </c>
      <c r="F107" s="6">
        <v>9</v>
      </c>
      <c r="G107" s="6">
        <v>63.900000000000006</v>
      </c>
      <c r="H107" s="7">
        <v>87.654320987654316</v>
      </c>
      <c r="I107" s="1" t="s">
        <v>77</v>
      </c>
      <c r="J107" s="1" t="s">
        <v>79</v>
      </c>
      <c r="K107" s="1" t="s">
        <v>58</v>
      </c>
      <c r="L107" s="2" t="s">
        <v>170</v>
      </c>
      <c r="M107" s="3" t="s">
        <v>101</v>
      </c>
      <c r="N107" s="2" t="s">
        <v>106</v>
      </c>
      <c r="O107" s="2" t="s">
        <v>118</v>
      </c>
      <c r="P107" s="4">
        <v>28</v>
      </c>
      <c r="Q107" s="4" t="s">
        <v>96</v>
      </c>
      <c r="R107" s="4" t="s">
        <v>96</v>
      </c>
      <c r="S107" s="4" t="s">
        <v>96</v>
      </c>
      <c r="T107" s="23" t="s">
        <v>96</v>
      </c>
    </row>
    <row r="108" spans="1:20" x14ac:dyDescent="0.3">
      <c r="A108" s="22" t="s">
        <v>56</v>
      </c>
      <c r="B108" s="1" t="s">
        <v>59</v>
      </c>
      <c r="C108" s="1" t="s">
        <v>133</v>
      </c>
      <c r="D108" s="1" t="s">
        <v>83</v>
      </c>
      <c r="E108" s="6">
        <v>3</v>
      </c>
      <c r="F108" s="6">
        <v>0.38</v>
      </c>
      <c r="G108" s="6">
        <v>2.62</v>
      </c>
      <c r="H108" s="7">
        <v>87.333333333333343</v>
      </c>
      <c r="I108" s="1" t="s">
        <v>77</v>
      </c>
      <c r="J108" s="1" t="s">
        <v>79</v>
      </c>
      <c r="K108" s="1" t="s">
        <v>58</v>
      </c>
      <c r="L108" s="2" t="s">
        <v>170</v>
      </c>
      <c r="M108" s="3" t="s">
        <v>101</v>
      </c>
      <c r="N108" s="2" t="s">
        <v>106</v>
      </c>
      <c r="O108" s="2" t="s">
        <v>118</v>
      </c>
      <c r="P108" s="4">
        <v>28</v>
      </c>
      <c r="Q108" s="4" t="s">
        <v>96</v>
      </c>
      <c r="R108" s="4" t="s">
        <v>96</v>
      </c>
      <c r="S108" s="4" t="s">
        <v>96</v>
      </c>
      <c r="T108" s="23" t="s">
        <v>96</v>
      </c>
    </row>
    <row r="109" spans="1:20" x14ac:dyDescent="0.3">
      <c r="A109" s="22" t="s">
        <v>33</v>
      </c>
      <c r="B109" s="1" t="s">
        <v>158</v>
      </c>
      <c r="C109" s="1" t="s">
        <v>135</v>
      </c>
      <c r="D109" s="1" t="s">
        <v>84</v>
      </c>
      <c r="E109" s="6">
        <v>342.85714285714289</v>
      </c>
      <c r="F109" s="6">
        <v>294.85714285714289</v>
      </c>
      <c r="G109" s="6">
        <v>48</v>
      </c>
      <c r="H109" s="7">
        <v>14</v>
      </c>
      <c r="I109" s="1" t="s">
        <v>13</v>
      </c>
      <c r="J109" s="1" t="s">
        <v>80</v>
      </c>
      <c r="K109" s="1" t="s">
        <v>34</v>
      </c>
      <c r="L109" s="2" t="s">
        <v>143</v>
      </c>
      <c r="M109" s="3" t="s">
        <v>107</v>
      </c>
      <c r="N109" s="12" t="s">
        <v>144</v>
      </c>
      <c r="O109" s="2" t="s">
        <v>119</v>
      </c>
      <c r="P109" s="4">
        <v>200</v>
      </c>
      <c r="Q109" s="4">
        <f t="shared" ref="Q109:Q120" si="7">60*10000</f>
        <v>600000</v>
      </c>
      <c r="R109" s="4">
        <f>14.2/1000*60*60*24*365*Q109/1000000</f>
        <v>268686.71999999997</v>
      </c>
      <c r="S109" s="4">
        <v>2000</v>
      </c>
      <c r="T109" s="23">
        <f t="shared" ref="T109:T122" si="8">R109/Q109*1000</f>
        <v>447.81119999999999</v>
      </c>
    </row>
    <row r="110" spans="1:20" x14ac:dyDescent="0.3">
      <c r="A110" s="22" t="s">
        <v>33</v>
      </c>
      <c r="B110" s="1" t="s">
        <v>158</v>
      </c>
      <c r="C110" s="1" t="s">
        <v>135</v>
      </c>
      <c r="D110" s="1" t="s">
        <v>85</v>
      </c>
      <c r="E110" s="6">
        <v>17.543859649122805</v>
      </c>
      <c r="F110" s="6">
        <v>7.5438596491228047</v>
      </c>
      <c r="G110" s="6">
        <v>10</v>
      </c>
      <c r="H110" s="7">
        <v>57</v>
      </c>
      <c r="I110" s="1" t="s">
        <v>13</v>
      </c>
      <c r="J110" s="1" t="s">
        <v>80</v>
      </c>
      <c r="K110" s="1" t="s">
        <v>34</v>
      </c>
      <c r="L110" s="2" t="s">
        <v>143</v>
      </c>
      <c r="M110" s="3" t="s">
        <v>107</v>
      </c>
      <c r="N110" s="12" t="s">
        <v>144</v>
      </c>
      <c r="O110" s="2" t="s">
        <v>119</v>
      </c>
      <c r="P110" s="4">
        <v>200</v>
      </c>
      <c r="Q110" s="4">
        <f t="shared" si="7"/>
        <v>600000</v>
      </c>
      <c r="R110" s="4">
        <f>14.2/1000*60*60*24*365*Q110/1000000</f>
        <v>268686.71999999997</v>
      </c>
      <c r="S110" s="4">
        <v>2000</v>
      </c>
      <c r="T110" s="23">
        <f t="shared" si="8"/>
        <v>447.81119999999999</v>
      </c>
    </row>
    <row r="111" spans="1:20" x14ac:dyDescent="0.3">
      <c r="A111" s="22" t="s">
        <v>33</v>
      </c>
      <c r="B111" s="1" t="s">
        <v>158</v>
      </c>
      <c r="C111" s="1" t="s">
        <v>135</v>
      </c>
      <c r="D111" s="1" t="s">
        <v>89</v>
      </c>
      <c r="E111" s="8">
        <v>157.78081567555256</v>
      </c>
      <c r="F111" s="8">
        <v>158.78081567555256</v>
      </c>
      <c r="G111" s="8">
        <v>-1</v>
      </c>
      <c r="H111" s="7">
        <v>-0.63379061371841139</v>
      </c>
      <c r="I111" s="1" t="s">
        <v>13</v>
      </c>
      <c r="J111" s="1" t="s">
        <v>80</v>
      </c>
      <c r="K111" s="1" t="s">
        <v>34</v>
      </c>
      <c r="L111" s="2" t="s">
        <v>143</v>
      </c>
      <c r="M111" s="3" t="s">
        <v>107</v>
      </c>
      <c r="N111" s="12" t="s">
        <v>144</v>
      </c>
      <c r="O111" s="2" t="s">
        <v>119</v>
      </c>
      <c r="P111" s="4">
        <v>200</v>
      </c>
      <c r="Q111" s="4">
        <f t="shared" si="7"/>
        <v>600000</v>
      </c>
      <c r="R111" s="4">
        <f>12.1/1000*60*60*24*365*Q111/1000000</f>
        <v>228951.36000000004</v>
      </c>
      <c r="S111" s="4">
        <v>2000</v>
      </c>
      <c r="T111" s="23">
        <f t="shared" si="8"/>
        <v>381.58560000000006</v>
      </c>
    </row>
    <row r="112" spans="1:20" x14ac:dyDescent="0.3">
      <c r="A112" s="22" t="s">
        <v>33</v>
      </c>
      <c r="B112" s="1" t="s">
        <v>158</v>
      </c>
      <c r="C112" s="1" t="s">
        <v>135</v>
      </c>
      <c r="D112" s="1" t="s">
        <v>82</v>
      </c>
      <c r="E112" s="6">
        <v>518.18181818181824</v>
      </c>
      <c r="F112" s="6">
        <v>461.18181818181824</v>
      </c>
      <c r="G112" s="6">
        <v>57</v>
      </c>
      <c r="H112" s="7">
        <v>11</v>
      </c>
      <c r="I112" s="1" t="s">
        <v>13</v>
      </c>
      <c r="J112" s="1" t="s">
        <v>80</v>
      </c>
      <c r="K112" s="1" t="s">
        <v>34</v>
      </c>
      <c r="L112" s="2" t="s">
        <v>143</v>
      </c>
      <c r="M112" s="3" t="s">
        <v>107</v>
      </c>
      <c r="N112" s="12" t="s">
        <v>144</v>
      </c>
      <c r="O112" s="2" t="s">
        <v>119</v>
      </c>
      <c r="P112" s="4">
        <v>200</v>
      </c>
      <c r="Q112" s="4">
        <f t="shared" si="7"/>
        <v>600000</v>
      </c>
      <c r="R112" s="4">
        <f>14.2/1000*60*60*24*365*Q112/1000000</f>
        <v>268686.71999999997</v>
      </c>
      <c r="S112" s="4">
        <v>2000</v>
      </c>
      <c r="T112" s="23">
        <f t="shared" si="8"/>
        <v>447.81119999999999</v>
      </c>
    </row>
    <row r="113" spans="1:20" x14ac:dyDescent="0.3">
      <c r="A113" s="22" t="s">
        <v>33</v>
      </c>
      <c r="B113" s="1" t="s">
        <v>158</v>
      </c>
      <c r="C113" s="1" t="s">
        <v>135</v>
      </c>
      <c r="D113" s="1" t="s">
        <v>181</v>
      </c>
      <c r="E113" s="6">
        <v>2</v>
      </c>
      <c r="F113" s="6">
        <v>1.7</v>
      </c>
      <c r="G113" s="6">
        <v>0.3</v>
      </c>
      <c r="H113" s="7">
        <v>15</v>
      </c>
      <c r="I113" s="1" t="s">
        <v>13</v>
      </c>
      <c r="J113" s="1" t="s">
        <v>80</v>
      </c>
      <c r="K113" s="1" t="s">
        <v>34</v>
      </c>
      <c r="L113" s="2" t="s">
        <v>143</v>
      </c>
      <c r="M113" s="3" t="s">
        <v>107</v>
      </c>
      <c r="N113" s="12" t="s">
        <v>144</v>
      </c>
      <c r="O113" s="2" t="s">
        <v>119</v>
      </c>
      <c r="P113" s="4">
        <v>200</v>
      </c>
      <c r="Q113" s="4">
        <f t="shared" si="7"/>
        <v>600000</v>
      </c>
      <c r="R113" s="4">
        <f>14.2/1000*60*60*24*365*Q113/1000000</f>
        <v>268686.71999999997</v>
      </c>
      <c r="S113" s="4">
        <v>2000</v>
      </c>
      <c r="T113" s="23">
        <f t="shared" si="8"/>
        <v>447.81119999999999</v>
      </c>
    </row>
    <row r="114" spans="1:20" x14ac:dyDescent="0.3">
      <c r="A114" s="22" t="s">
        <v>33</v>
      </c>
      <c r="B114" s="1" t="s">
        <v>158</v>
      </c>
      <c r="C114" s="1" t="s">
        <v>135</v>
      </c>
      <c r="D114" s="1" t="s">
        <v>83</v>
      </c>
      <c r="E114" s="6">
        <v>12.666666666666666</v>
      </c>
      <c r="F114" s="6">
        <v>10.766666666666666</v>
      </c>
      <c r="G114" s="6">
        <v>1.9</v>
      </c>
      <c r="H114" s="7">
        <v>15</v>
      </c>
      <c r="I114" s="1" t="s">
        <v>13</v>
      </c>
      <c r="J114" s="1" t="s">
        <v>80</v>
      </c>
      <c r="K114" s="1" t="s">
        <v>34</v>
      </c>
      <c r="L114" s="2" t="s">
        <v>143</v>
      </c>
      <c r="M114" s="3" t="s">
        <v>107</v>
      </c>
      <c r="N114" s="12" t="s">
        <v>144</v>
      </c>
      <c r="O114" s="2" t="s">
        <v>119</v>
      </c>
      <c r="P114" s="4">
        <v>200</v>
      </c>
      <c r="Q114" s="4">
        <f t="shared" si="7"/>
        <v>600000</v>
      </c>
      <c r="R114" s="4">
        <f>14.2/1000*60*60*24*365*Q114/1000000</f>
        <v>268686.71999999997</v>
      </c>
      <c r="S114" s="4">
        <v>2000</v>
      </c>
      <c r="T114" s="23">
        <f t="shared" si="8"/>
        <v>447.81119999999999</v>
      </c>
    </row>
    <row r="115" spans="1:20" x14ac:dyDescent="0.3">
      <c r="A115" s="22" t="s">
        <v>33</v>
      </c>
      <c r="B115" s="1" t="s">
        <v>158</v>
      </c>
      <c r="C115" s="1" t="s">
        <v>135</v>
      </c>
      <c r="D115" s="1" t="s">
        <v>84</v>
      </c>
      <c r="E115" s="6">
        <v>466.66666666666669</v>
      </c>
      <c r="F115" s="6">
        <v>438.66666666666669</v>
      </c>
      <c r="G115" s="6">
        <v>28</v>
      </c>
      <c r="H115" s="7">
        <v>6</v>
      </c>
      <c r="I115" s="1" t="s">
        <v>13</v>
      </c>
      <c r="J115" s="1" t="s">
        <v>80</v>
      </c>
      <c r="K115" s="1" t="s">
        <v>34</v>
      </c>
      <c r="L115" s="2" t="s">
        <v>143</v>
      </c>
      <c r="M115" s="3" t="s">
        <v>107</v>
      </c>
      <c r="N115" s="12" t="s">
        <v>144</v>
      </c>
      <c r="O115" s="2" t="s">
        <v>119</v>
      </c>
      <c r="P115" s="4">
        <v>200</v>
      </c>
      <c r="Q115" s="4">
        <f t="shared" si="7"/>
        <v>600000</v>
      </c>
      <c r="R115" s="4">
        <f t="shared" ref="R115:R120" si="9">12.1/1000*60*60*24*365*Q115/1000000</f>
        <v>228951.36000000004</v>
      </c>
      <c r="S115" s="4">
        <v>2000</v>
      </c>
      <c r="T115" s="23">
        <f t="shared" si="8"/>
        <v>381.58560000000006</v>
      </c>
    </row>
    <row r="116" spans="1:20" x14ac:dyDescent="0.3">
      <c r="A116" s="22" t="s">
        <v>33</v>
      </c>
      <c r="B116" s="1" t="s">
        <v>158</v>
      </c>
      <c r="C116" s="1" t="s">
        <v>135</v>
      </c>
      <c r="D116" s="1" t="s">
        <v>85</v>
      </c>
      <c r="E116" s="6">
        <v>10.943396226415095</v>
      </c>
      <c r="F116" s="6">
        <v>5.1433962264150948</v>
      </c>
      <c r="G116" s="6">
        <v>5.8</v>
      </c>
      <c r="H116" s="7">
        <v>53</v>
      </c>
      <c r="I116" s="1" t="s">
        <v>13</v>
      </c>
      <c r="J116" s="1" t="s">
        <v>80</v>
      </c>
      <c r="K116" s="1" t="s">
        <v>34</v>
      </c>
      <c r="L116" s="2" t="s">
        <v>143</v>
      </c>
      <c r="M116" s="3" t="s">
        <v>107</v>
      </c>
      <c r="N116" s="12" t="s">
        <v>144</v>
      </c>
      <c r="O116" s="2" t="s">
        <v>119</v>
      </c>
      <c r="P116" s="4">
        <v>200</v>
      </c>
      <c r="Q116" s="4">
        <f t="shared" si="7"/>
        <v>600000</v>
      </c>
      <c r="R116" s="4">
        <f t="shared" si="9"/>
        <v>228951.36000000004</v>
      </c>
      <c r="S116" s="4">
        <v>2000</v>
      </c>
      <c r="T116" s="23">
        <f t="shared" si="8"/>
        <v>381.58560000000006</v>
      </c>
    </row>
    <row r="117" spans="1:20" x14ac:dyDescent="0.3">
      <c r="A117" s="22" t="s">
        <v>33</v>
      </c>
      <c r="B117" s="1" t="s">
        <v>158</v>
      </c>
      <c r="C117" s="1" t="s">
        <v>135</v>
      </c>
      <c r="D117" s="1" t="s">
        <v>89</v>
      </c>
      <c r="E117" s="8">
        <v>62.389937106918218</v>
      </c>
      <c r="F117" s="8">
        <v>69.189937106918222</v>
      </c>
      <c r="G117" s="8">
        <v>-6.8000000000000043</v>
      </c>
      <c r="H117" s="7">
        <v>-10.899193548387107</v>
      </c>
      <c r="I117" s="1" t="s">
        <v>13</v>
      </c>
      <c r="J117" s="1" t="s">
        <v>80</v>
      </c>
      <c r="K117" s="1" t="s">
        <v>34</v>
      </c>
      <c r="L117" s="2" t="s">
        <v>143</v>
      </c>
      <c r="M117" s="3" t="s">
        <v>107</v>
      </c>
      <c r="N117" s="12" t="s">
        <v>144</v>
      </c>
      <c r="O117" s="2" t="s">
        <v>119</v>
      </c>
      <c r="P117" s="4">
        <v>200</v>
      </c>
      <c r="Q117" s="4">
        <f t="shared" si="7"/>
        <v>600000</v>
      </c>
      <c r="R117" s="4">
        <f t="shared" si="9"/>
        <v>228951.36000000004</v>
      </c>
      <c r="S117" s="4">
        <v>2000</v>
      </c>
      <c r="T117" s="23">
        <f t="shared" si="8"/>
        <v>381.58560000000006</v>
      </c>
    </row>
    <row r="118" spans="1:20" x14ac:dyDescent="0.3">
      <c r="A118" s="22" t="s">
        <v>33</v>
      </c>
      <c r="B118" s="1" t="s">
        <v>158</v>
      </c>
      <c r="C118" s="1" t="s">
        <v>135</v>
      </c>
      <c r="D118" s="1" t="s">
        <v>82</v>
      </c>
      <c r="E118" s="6">
        <v>540</v>
      </c>
      <c r="F118" s="6">
        <v>513</v>
      </c>
      <c r="G118" s="6">
        <v>27</v>
      </c>
      <c r="H118" s="7">
        <v>5</v>
      </c>
      <c r="I118" s="1" t="s">
        <v>13</v>
      </c>
      <c r="J118" s="1" t="s">
        <v>80</v>
      </c>
      <c r="K118" s="1" t="s">
        <v>34</v>
      </c>
      <c r="L118" s="2" t="s">
        <v>143</v>
      </c>
      <c r="M118" s="3" t="s">
        <v>107</v>
      </c>
      <c r="N118" s="12" t="s">
        <v>144</v>
      </c>
      <c r="O118" s="2" t="s">
        <v>119</v>
      </c>
      <c r="P118" s="4">
        <v>200</v>
      </c>
      <c r="Q118" s="4">
        <f t="shared" si="7"/>
        <v>600000</v>
      </c>
      <c r="R118" s="4">
        <f t="shared" si="9"/>
        <v>228951.36000000004</v>
      </c>
      <c r="S118" s="4">
        <v>2000</v>
      </c>
      <c r="T118" s="23">
        <f t="shared" si="8"/>
        <v>381.58560000000006</v>
      </c>
    </row>
    <row r="119" spans="1:20" x14ac:dyDescent="0.3">
      <c r="A119" s="22" t="s">
        <v>33</v>
      </c>
      <c r="B119" s="1" t="s">
        <v>158</v>
      </c>
      <c r="C119" s="1" t="s">
        <v>135</v>
      </c>
      <c r="D119" s="1" t="s">
        <v>181</v>
      </c>
      <c r="E119" s="6"/>
      <c r="F119" s="6"/>
      <c r="G119" s="6">
        <v>0</v>
      </c>
      <c r="H119" s="7">
        <v>0</v>
      </c>
      <c r="I119" s="1" t="s">
        <v>13</v>
      </c>
      <c r="J119" s="1" t="s">
        <v>80</v>
      </c>
      <c r="K119" s="1" t="s">
        <v>34</v>
      </c>
      <c r="L119" s="2" t="s">
        <v>143</v>
      </c>
      <c r="M119" s="3" t="s">
        <v>107</v>
      </c>
      <c r="N119" s="12" t="s">
        <v>144</v>
      </c>
      <c r="O119" s="2" t="s">
        <v>119</v>
      </c>
      <c r="P119" s="4">
        <v>200</v>
      </c>
      <c r="Q119" s="4">
        <f t="shared" si="7"/>
        <v>600000</v>
      </c>
      <c r="R119" s="4">
        <f t="shared" si="9"/>
        <v>228951.36000000004</v>
      </c>
      <c r="S119" s="4">
        <v>2000</v>
      </c>
      <c r="T119" s="23">
        <f t="shared" si="8"/>
        <v>381.58560000000006</v>
      </c>
    </row>
    <row r="120" spans="1:20" x14ac:dyDescent="0.3">
      <c r="A120" s="22" t="s">
        <v>33</v>
      </c>
      <c r="B120" s="1" t="s">
        <v>158</v>
      </c>
      <c r="C120" s="1" t="s">
        <v>135</v>
      </c>
      <c r="D120" s="1" t="s">
        <v>83</v>
      </c>
      <c r="E120" s="6">
        <v>9.2857142857142865</v>
      </c>
      <c r="F120" s="6">
        <v>7.9857142857142867</v>
      </c>
      <c r="G120" s="6">
        <v>1.3</v>
      </c>
      <c r="H120" s="7">
        <v>14</v>
      </c>
      <c r="I120" s="1" t="s">
        <v>13</v>
      </c>
      <c r="J120" s="1" t="s">
        <v>80</v>
      </c>
      <c r="K120" s="1" t="s">
        <v>34</v>
      </c>
      <c r="L120" s="2" t="s">
        <v>143</v>
      </c>
      <c r="M120" s="3" t="s">
        <v>107</v>
      </c>
      <c r="N120" s="12" t="s">
        <v>144</v>
      </c>
      <c r="O120" s="2" t="s">
        <v>119</v>
      </c>
      <c r="P120" s="4">
        <v>200</v>
      </c>
      <c r="Q120" s="4">
        <f t="shared" si="7"/>
        <v>600000</v>
      </c>
      <c r="R120" s="4">
        <f t="shared" si="9"/>
        <v>228951.36000000004</v>
      </c>
      <c r="S120" s="4">
        <v>2000</v>
      </c>
      <c r="T120" s="23">
        <f t="shared" si="8"/>
        <v>381.58560000000006</v>
      </c>
    </row>
    <row r="121" spans="1:20" x14ac:dyDescent="0.3">
      <c r="A121" s="22" t="s">
        <v>33</v>
      </c>
      <c r="B121" s="1" t="s">
        <v>159</v>
      </c>
      <c r="C121" s="1" t="s">
        <v>135</v>
      </c>
      <c r="D121" s="1" t="s">
        <v>84</v>
      </c>
      <c r="E121" s="6">
        <v>628.57142857142856</v>
      </c>
      <c r="F121" s="6">
        <v>408.57142857142856</v>
      </c>
      <c r="G121" s="6">
        <v>220</v>
      </c>
      <c r="H121" s="7">
        <v>35</v>
      </c>
      <c r="I121" s="1" t="s">
        <v>13</v>
      </c>
      <c r="J121" s="1" t="s">
        <v>80</v>
      </c>
      <c r="K121" s="1" t="s">
        <v>34</v>
      </c>
      <c r="L121" s="2" t="s">
        <v>143</v>
      </c>
      <c r="M121" s="3" t="s">
        <v>107</v>
      </c>
      <c r="N121" s="12" t="s">
        <v>144</v>
      </c>
      <c r="O121" s="2" t="s">
        <v>119</v>
      </c>
      <c r="P121" s="4">
        <v>25</v>
      </c>
      <c r="Q121" s="4">
        <f t="shared" ref="Q121:Q126" si="10">0.6*1000</f>
        <v>600</v>
      </c>
      <c r="R121" s="4">
        <f t="shared" ref="R121:R126" si="11">10.8/1000*60*60*24*365*Q121/1000000</f>
        <v>204.35328000000004</v>
      </c>
      <c r="S121" s="4">
        <v>12</v>
      </c>
      <c r="T121" s="23">
        <f t="shared" si="8"/>
        <v>340.58880000000011</v>
      </c>
    </row>
    <row r="122" spans="1:20" x14ac:dyDescent="0.3">
      <c r="A122" s="22" t="s">
        <v>33</v>
      </c>
      <c r="B122" s="1" t="s">
        <v>159</v>
      </c>
      <c r="C122" s="1" t="s">
        <v>135</v>
      </c>
      <c r="D122" s="1" t="s">
        <v>85</v>
      </c>
      <c r="E122" s="6">
        <v>3.5</v>
      </c>
      <c r="F122" s="6">
        <v>2.8</v>
      </c>
      <c r="G122" s="6">
        <v>0.7</v>
      </c>
      <c r="H122" s="7">
        <v>20</v>
      </c>
      <c r="I122" s="1" t="s">
        <v>13</v>
      </c>
      <c r="J122" s="1" t="s">
        <v>80</v>
      </c>
      <c r="K122" s="1" t="s">
        <v>34</v>
      </c>
      <c r="L122" s="2" t="s">
        <v>143</v>
      </c>
      <c r="M122" s="3" t="s">
        <v>107</v>
      </c>
      <c r="N122" s="12" t="s">
        <v>144</v>
      </c>
      <c r="O122" s="2" t="s">
        <v>119</v>
      </c>
      <c r="P122" s="4">
        <v>25</v>
      </c>
      <c r="Q122" s="4">
        <f t="shared" si="10"/>
        <v>600</v>
      </c>
      <c r="R122" s="4">
        <f t="shared" si="11"/>
        <v>204.35328000000004</v>
      </c>
      <c r="S122" s="4">
        <v>12</v>
      </c>
      <c r="T122" s="23">
        <f t="shared" si="8"/>
        <v>340.58880000000011</v>
      </c>
    </row>
    <row r="123" spans="1:20" x14ac:dyDescent="0.3">
      <c r="A123" s="22" t="s">
        <v>33</v>
      </c>
      <c r="B123" s="1" t="s">
        <v>159</v>
      </c>
      <c r="C123" s="1" t="s">
        <v>135</v>
      </c>
      <c r="D123" s="1" t="s">
        <v>89</v>
      </c>
      <c r="E123" s="8">
        <v>145.70634920634916</v>
      </c>
      <c r="F123" s="8">
        <v>86.406349206349162</v>
      </c>
      <c r="G123" s="8">
        <v>59.3</v>
      </c>
      <c r="H123" s="7">
        <v>40.69829511411298</v>
      </c>
      <c r="I123" s="1" t="s">
        <v>13</v>
      </c>
      <c r="J123" s="1" t="s">
        <v>80</v>
      </c>
      <c r="K123" s="1" t="s">
        <v>34</v>
      </c>
      <c r="L123" s="2" t="s">
        <v>143</v>
      </c>
      <c r="M123" s="3" t="s">
        <v>107</v>
      </c>
      <c r="N123" s="12" t="s">
        <v>144</v>
      </c>
      <c r="O123" s="2" t="s">
        <v>119</v>
      </c>
      <c r="P123" s="4">
        <v>25</v>
      </c>
      <c r="Q123" s="4">
        <f t="shared" si="10"/>
        <v>600</v>
      </c>
      <c r="R123" s="4">
        <f t="shared" si="11"/>
        <v>204.35328000000004</v>
      </c>
      <c r="S123" s="4"/>
      <c r="T123" s="23"/>
    </row>
    <row r="124" spans="1:20" x14ac:dyDescent="0.3">
      <c r="A124" s="22" t="s">
        <v>33</v>
      </c>
      <c r="B124" s="1" t="s">
        <v>159</v>
      </c>
      <c r="C124" s="1" t="s">
        <v>135</v>
      </c>
      <c r="D124" s="1" t="s">
        <v>82</v>
      </c>
      <c r="E124" s="6">
        <v>777.77777777777771</v>
      </c>
      <c r="F124" s="6">
        <v>497.77777777777771</v>
      </c>
      <c r="G124" s="6">
        <v>280</v>
      </c>
      <c r="H124" s="7">
        <v>36</v>
      </c>
      <c r="I124" s="1" t="s">
        <v>13</v>
      </c>
      <c r="J124" s="1" t="s">
        <v>80</v>
      </c>
      <c r="K124" s="1" t="s">
        <v>34</v>
      </c>
      <c r="L124" s="2" t="s">
        <v>143</v>
      </c>
      <c r="M124" s="3" t="s">
        <v>107</v>
      </c>
      <c r="N124" s="12" t="s">
        <v>144</v>
      </c>
      <c r="O124" s="2" t="s">
        <v>119</v>
      </c>
      <c r="P124" s="4">
        <v>25</v>
      </c>
      <c r="Q124" s="4">
        <f t="shared" si="10"/>
        <v>600</v>
      </c>
      <c r="R124" s="4">
        <f t="shared" si="11"/>
        <v>204.35328000000004</v>
      </c>
      <c r="S124" s="4">
        <v>12</v>
      </c>
      <c r="T124" s="23">
        <f>R124/Q124*1000</f>
        <v>340.58880000000011</v>
      </c>
    </row>
    <row r="125" spans="1:20" x14ac:dyDescent="0.3">
      <c r="A125" s="22" t="s">
        <v>33</v>
      </c>
      <c r="B125" s="1" t="s">
        <v>159</v>
      </c>
      <c r="C125" s="1" t="s">
        <v>135</v>
      </c>
      <c r="D125" s="1" t="s">
        <v>181</v>
      </c>
      <c r="E125" s="6">
        <v>4.4444444444444446</v>
      </c>
      <c r="F125" s="6">
        <v>3.2444444444444445</v>
      </c>
      <c r="G125" s="6">
        <v>1.2</v>
      </c>
      <c r="H125" s="7">
        <v>27</v>
      </c>
      <c r="I125" s="1" t="s">
        <v>13</v>
      </c>
      <c r="J125" s="1" t="s">
        <v>80</v>
      </c>
      <c r="K125" s="1" t="s">
        <v>34</v>
      </c>
      <c r="L125" s="2" t="s">
        <v>143</v>
      </c>
      <c r="M125" s="3" t="s">
        <v>107</v>
      </c>
      <c r="N125" s="12" t="s">
        <v>144</v>
      </c>
      <c r="O125" s="2" t="s">
        <v>119</v>
      </c>
      <c r="P125" s="4">
        <v>25</v>
      </c>
      <c r="Q125" s="4">
        <f t="shared" si="10"/>
        <v>600</v>
      </c>
      <c r="R125" s="4">
        <f t="shared" si="11"/>
        <v>204.35328000000004</v>
      </c>
      <c r="S125" s="4">
        <v>12</v>
      </c>
      <c r="T125" s="23">
        <f>R125/Q125*1000</f>
        <v>340.58880000000011</v>
      </c>
    </row>
    <row r="126" spans="1:20" x14ac:dyDescent="0.3">
      <c r="A126" s="22" t="s">
        <v>33</v>
      </c>
      <c r="B126" s="1" t="s">
        <v>159</v>
      </c>
      <c r="C126" s="1" t="s">
        <v>135</v>
      </c>
      <c r="D126" s="1" t="s">
        <v>83</v>
      </c>
      <c r="E126" s="6">
        <v>38.709677419354833</v>
      </c>
      <c r="F126" s="6">
        <v>14.709677419354833</v>
      </c>
      <c r="G126" s="6">
        <v>24</v>
      </c>
      <c r="H126" s="7">
        <v>62</v>
      </c>
      <c r="I126" s="1" t="s">
        <v>13</v>
      </c>
      <c r="J126" s="1" t="s">
        <v>80</v>
      </c>
      <c r="K126" s="1" t="s">
        <v>34</v>
      </c>
      <c r="L126" s="2" t="s">
        <v>143</v>
      </c>
      <c r="M126" s="3" t="s">
        <v>107</v>
      </c>
      <c r="N126" s="12" t="s">
        <v>144</v>
      </c>
      <c r="O126" s="2" t="s">
        <v>119</v>
      </c>
      <c r="P126" s="4">
        <v>25</v>
      </c>
      <c r="Q126" s="4">
        <f t="shared" si="10"/>
        <v>600</v>
      </c>
      <c r="R126" s="4">
        <f t="shared" si="11"/>
        <v>204.35328000000004</v>
      </c>
      <c r="S126" s="4">
        <v>12</v>
      </c>
      <c r="T126" s="23">
        <f>R126/Q126*1000</f>
        <v>340.58880000000011</v>
      </c>
    </row>
    <row r="127" spans="1:20" x14ac:dyDescent="0.3">
      <c r="A127" s="22" t="s">
        <v>61</v>
      </c>
      <c r="B127" s="1" t="s">
        <v>171</v>
      </c>
      <c r="C127" s="1" t="s">
        <v>135</v>
      </c>
      <c r="D127" s="1" t="s">
        <v>84</v>
      </c>
      <c r="E127" s="6">
        <v>547.5</v>
      </c>
      <c r="F127" s="6">
        <v>366.82499999999999</v>
      </c>
      <c r="G127" s="6">
        <v>180.67500000000001</v>
      </c>
      <c r="H127" s="7">
        <v>33</v>
      </c>
      <c r="I127" s="1" t="s">
        <v>13</v>
      </c>
      <c r="J127" s="1" t="s">
        <v>79</v>
      </c>
      <c r="K127" s="1" t="s">
        <v>62</v>
      </c>
      <c r="L127" s="2" t="s">
        <v>91</v>
      </c>
      <c r="M127" s="3" t="s">
        <v>101</v>
      </c>
      <c r="N127" s="2" t="s">
        <v>106</v>
      </c>
      <c r="O127" s="2" t="s">
        <v>118</v>
      </c>
      <c r="P127" s="4">
        <v>130</v>
      </c>
      <c r="Q127" s="4">
        <v>50000</v>
      </c>
      <c r="R127" s="4">
        <f t="shared" ref="R127:R148" si="12">T127/1000*Q127</f>
        <v>109500</v>
      </c>
      <c r="S127" s="4" t="s">
        <v>96</v>
      </c>
      <c r="T127" s="23">
        <f>6*365</f>
        <v>2190</v>
      </c>
    </row>
    <row r="128" spans="1:20" x14ac:dyDescent="0.3">
      <c r="A128" s="22" t="s">
        <v>42</v>
      </c>
      <c r="B128" s="1" t="s">
        <v>214</v>
      </c>
      <c r="C128" s="1" t="s">
        <v>135</v>
      </c>
      <c r="D128" s="1" t="s">
        <v>84</v>
      </c>
      <c r="E128" s="6">
        <v>377.41935483870964</v>
      </c>
      <c r="F128" s="6">
        <v>143.41935483870964</v>
      </c>
      <c r="G128" s="6">
        <v>234</v>
      </c>
      <c r="H128" s="7">
        <v>62</v>
      </c>
      <c r="I128" s="1" t="s">
        <v>77</v>
      </c>
      <c r="J128" s="1" t="s">
        <v>80</v>
      </c>
      <c r="K128" s="1" t="s">
        <v>52</v>
      </c>
      <c r="L128" s="2" t="s">
        <v>147</v>
      </c>
      <c r="M128" s="3" t="s">
        <v>107</v>
      </c>
      <c r="N128" s="2" t="s">
        <v>122</v>
      </c>
      <c r="O128" s="2" t="s">
        <v>119</v>
      </c>
      <c r="P128" s="4">
        <v>65</v>
      </c>
      <c r="Q128" s="4">
        <f t="shared" ref="Q128:Q133" si="13">1.4*10000</f>
        <v>14000</v>
      </c>
      <c r="R128" s="4">
        <f t="shared" si="12"/>
        <v>153300</v>
      </c>
      <c r="S128" s="4" t="s">
        <v>96</v>
      </c>
      <c r="T128" s="23">
        <f t="shared" ref="T128:T133" si="14">30*365</f>
        <v>10950</v>
      </c>
    </row>
    <row r="129" spans="1:20" x14ac:dyDescent="0.3">
      <c r="A129" s="22" t="s">
        <v>42</v>
      </c>
      <c r="B129" s="1" t="s">
        <v>214</v>
      </c>
      <c r="C129" s="1" t="s">
        <v>135</v>
      </c>
      <c r="D129" s="1" t="s">
        <v>85</v>
      </c>
      <c r="E129" s="6">
        <v>46.268656716417915</v>
      </c>
      <c r="F129" s="6">
        <v>15.268656716417915</v>
      </c>
      <c r="G129" s="6">
        <v>31</v>
      </c>
      <c r="H129" s="7">
        <v>67</v>
      </c>
      <c r="I129" s="1" t="s">
        <v>77</v>
      </c>
      <c r="J129" s="1" t="s">
        <v>80</v>
      </c>
      <c r="K129" s="1" t="s">
        <v>52</v>
      </c>
      <c r="L129" s="2" t="s">
        <v>147</v>
      </c>
      <c r="M129" s="3" t="s">
        <v>107</v>
      </c>
      <c r="N129" s="2" t="s">
        <v>122</v>
      </c>
      <c r="O129" s="2" t="s">
        <v>119</v>
      </c>
      <c r="P129" s="4">
        <v>65</v>
      </c>
      <c r="Q129" s="4">
        <f t="shared" si="13"/>
        <v>14000</v>
      </c>
      <c r="R129" s="4">
        <f t="shared" si="12"/>
        <v>153300</v>
      </c>
      <c r="S129" s="4" t="s">
        <v>96</v>
      </c>
      <c r="T129" s="23">
        <f t="shared" si="14"/>
        <v>10950</v>
      </c>
    </row>
    <row r="130" spans="1:20" x14ac:dyDescent="0.3">
      <c r="A130" s="22" t="s">
        <v>42</v>
      </c>
      <c r="B130" s="1" t="s">
        <v>214</v>
      </c>
      <c r="C130" s="1" t="s">
        <v>135</v>
      </c>
      <c r="D130" s="1" t="s">
        <v>89</v>
      </c>
      <c r="E130" s="8">
        <v>507.2643693972534</v>
      </c>
      <c r="F130" s="8">
        <v>381.2643693972534</v>
      </c>
      <c r="G130" s="8">
        <v>126</v>
      </c>
      <c r="H130" s="7">
        <v>24.839118929192079</v>
      </c>
      <c r="I130" s="1" t="s">
        <v>77</v>
      </c>
      <c r="J130" s="1" t="s">
        <v>80</v>
      </c>
      <c r="K130" s="1" t="s">
        <v>52</v>
      </c>
      <c r="L130" s="2" t="s">
        <v>147</v>
      </c>
      <c r="M130" s="3" t="s">
        <v>107</v>
      </c>
      <c r="N130" s="2" t="s">
        <v>122</v>
      </c>
      <c r="O130" s="2" t="s">
        <v>119</v>
      </c>
      <c r="P130" s="4">
        <v>65</v>
      </c>
      <c r="Q130" s="4">
        <f t="shared" si="13"/>
        <v>14000</v>
      </c>
      <c r="R130" s="4">
        <f t="shared" si="12"/>
        <v>153300</v>
      </c>
      <c r="S130" s="4" t="s">
        <v>96</v>
      </c>
      <c r="T130" s="23">
        <f t="shared" si="14"/>
        <v>10950</v>
      </c>
    </row>
    <row r="131" spans="1:20" x14ac:dyDescent="0.3">
      <c r="A131" s="22" t="s">
        <v>42</v>
      </c>
      <c r="B131" s="1" t="s">
        <v>214</v>
      </c>
      <c r="C131" s="1" t="s">
        <v>135</v>
      </c>
      <c r="D131" s="1" t="s">
        <v>82</v>
      </c>
      <c r="E131" s="6">
        <v>930.95238095238096</v>
      </c>
      <c r="F131" s="6">
        <v>539.95238095238096</v>
      </c>
      <c r="G131" s="6">
        <v>391</v>
      </c>
      <c r="H131" s="7">
        <v>42</v>
      </c>
      <c r="I131" s="1" t="s">
        <v>77</v>
      </c>
      <c r="J131" s="1" t="s">
        <v>80</v>
      </c>
      <c r="K131" s="1" t="s">
        <v>52</v>
      </c>
      <c r="L131" s="2" t="s">
        <v>147</v>
      </c>
      <c r="M131" s="3" t="s">
        <v>107</v>
      </c>
      <c r="N131" s="2" t="s">
        <v>122</v>
      </c>
      <c r="O131" s="2" t="s">
        <v>119</v>
      </c>
      <c r="P131" s="4">
        <v>65</v>
      </c>
      <c r="Q131" s="4">
        <f t="shared" si="13"/>
        <v>14000</v>
      </c>
      <c r="R131" s="4">
        <f t="shared" si="12"/>
        <v>153300</v>
      </c>
      <c r="S131" s="4" t="s">
        <v>96</v>
      </c>
      <c r="T131" s="23">
        <f t="shared" si="14"/>
        <v>10950</v>
      </c>
    </row>
    <row r="132" spans="1:20" x14ac:dyDescent="0.3">
      <c r="A132" s="22" t="s">
        <v>42</v>
      </c>
      <c r="B132" s="1" t="s">
        <v>214</v>
      </c>
      <c r="C132" s="1" t="s">
        <v>135</v>
      </c>
      <c r="D132" s="1" t="s">
        <v>181</v>
      </c>
      <c r="E132" s="6">
        <v>25.641025641025642</v>
      </c>
      <c r="F132" s="6">
        <v>5.6410256410256423</v>
      </c>
      <c r="G132" s="6">
        <v>20</v>
      </c>
      <c r="H132" s="7">
        <v>78</v>
      </c>
      <c r="I132" s="1" t="s">
        <v>77</v>
      </c>
      <c r="J132" s="1" t="s">
        <v>80</v>
      </c>
      <c r="K132" s="1" t="s">
        <v>52</v>
      </c>
      <c r="L132" s="2" t="s">
        <v>147</v>
      </c>
      <c r="M132" s="3" t="s">
        <v>107</v>
      </c>
      <c r="N132" s="2" t="s">
        <v>122</v>
      </c>
      <c r="O132" s="2" t="s">
        <v>119</v>
      </c>
      <c r="P132" s="4">
        <v>65</v>
      </c>
      <c r="Q132" s="4">
        <f t="shared" si="13"/>
        <v>14000</v>
      </c>
      <c r="R132" s="4">
        <f t="shared" si="12"/>
        <v>153300</v>
      </c>
      <c r="S132" s="4" t="s">
        <v>96</v>
      </c>
      <c r="T132" s="23">
        <f t="shared" si="14"/>
        <v>10950</v>
      </c>
    </row>
    <row r="133" spans="1:20" x14ac:dyDescent="0.3">
      <c r="A133" s="22" t="s">
        <v>42</v>
      </c>
      <c r="B133" s="1" t="s">
        <v>214</v>
      </c>
      <c r="C133" s="1" t="s">
        <v>135</v>
      </c>
      <c r="D133" s="1" t="s">
        <v>83</v>
      </c>
      <c r="E133" s="6">
        <v>33.783783783783782</v>
      </c>
      <c r="F133" s="6">
        <v>8.7837837837837824</v>
      </c>
      <c r="G133" s="6">
        <v>25</v>
      </c>
      <c r="H133" s="7">
        <v>74</v>
      </c>
      <c r="I133" s="1" t="s">
        <v>77</v>
      </c>
      <c r="J133" s="1" t="s">
        <v>80</v>
      </c>
      <c r="K133" s="1" t="s">
        <v>52</v>
      </c>
      <c r="L133" s="2" t="s">
        <v>147</v>
      </c>
      <c r="M133" s="3" t="s">
        <v>107</v>
      </c>
      <c r="N133" s="2" t="s">
        <v>122</v>
      </c>
      <c r="O133" s="2" t="s">
        <v>119</v>
      </c>
      <c r="P133" s="4">
        <v>65</v>
      </c>
      <c r="Q133" s="4">
        <f t="shared" si="13"/>
        <v>14000</v>
      </c>
      <c r="R133" s="4">
        <f t="shared" si="12"/>
        <v>153300</v>
      </c>
      <c r="S133" s="4" t="s">
        <v>96</v>
      </c>
      <c r="T133" s="23">
        <f t="shared" si="14"/>
        <v>10950</v>
      </c>
    </row>
    <row r="134" spans="1:20" x14ac:dyDescent="0.3">
      <c r="A134" s="22" t="s">
        <v>42</v>
      </c>
      <c r="B134" s="1" t="s">
        <v>215</v>
      </c>
      <c r="C134" s="1" t="s">
        <v>135</v>
      </c>
      <c r="D134" s="1" t="s">
        <v>84</v>
      </c>
      <c r="E134" s="6">
        <v>540.81632653061229</v>
      </c>
      <c r="F134" s="6">
        <v>275.81632653061229</v>
      </c>
      <c r="G134" s="6">
        <v>265</v>
      </c>
      <c r="H134" s="7">
        <v>49</v>
      </c>
      <c r="I134" s="1" t="s">
        <v>77</v>
      </c>
      <c r="J134" s="1" t="s">
        <v>80</v>
      </c>
      <c r="K134" s="1" t="s">
        <v>52</v>
      </c>
      <c r="L134" s="2" t="s">
        <v>147</v>
      </c>
      <c r="M134" s="3" t="s">
        <v>107</v>
      </c>
      <c r="N134" s="2" t="s">
        <v>122</v>
      </c>
      <c r="O134" s="2" t="s">
        <v>119</v>
      </c>
      <c r="P134" s="4">
        <v>85</v>
      </c>
      <c r="Q134" s="4">
        <f t="shared" ref="Q134:Q139" si="15">2.2*10000</f>
        <v>22000</v>
      </c>
      <c r="R134" s="4">
        <f t="shared" si="12"/>
        <v>289080</v>
      </c>
      <c r="S134" s="4" t="s">
        <v>96</v>
      </c>
      <c r="T134" s="23">
        <f t="shared" ref="T134:T139" si="16">36*365</f>
        <v>13140</v>
      </c>
    </row>
    <row r="135" spans="1:20" x14ac:dyDescent="0.3">
      <c r="A135" s="22" t="s">
        <v>42</v>
      </c>
      <c r="B135" s="1" t="s">
        <v>215</v>
      </c>
      <c r="C135" s="1" t="s">
        <v>135</v>
      </c>
      <c r="D135" s="1" t="s">
        <v>85</v>
      </c>
      <c r="E135" s="6">
        <v>51.351351351351347</v>
      </c>
      <c r="F135" s="6">
        <v>13.351351351351347</v>
      </c>
      <c r="G135" s="6">
        <v>38</v>
      </c>
      <c r="H135" s="7">
        <v>74</v>
      </c>
      <c r="I135" s="1" t="s">
        <v>77</v>
      </c>
      <c r="J135" s="1" t="s">
        <v>80</v>
      </c>
      <c r="K135" s="1" t="s">
        <v>52</v>
      </c>
      <c r="L135" s="2" t="s">
        <v>147</v>
      </c>
      <c r="M135" s="3" t="s">
        <v>107</v>
      </c>
      <c r="N135" s="2" t="s">
        <v>122</v>
      </c>
      <c r="O135" s="2" t="s">
        <v>119</v>
      </c>
      <c r="P135" s="4">
        <v>85</v>
      </c>
      <c r="Q135" s="4">
        <f t="shared" si="15"/>
        <v>22000</v>
      </c>
      <c r="R135" s="4">
        <f t="shared" si="12"/>
        <v>289080</v>
      </c>
      <c r="S135" s="4" t="s">
        <v>96</v>
      </c>
      <c r="T135" s="23">
        <f t="shared" si="16"/>
        <v>13140</v>
      </c>
    </row>
    <row r="136" spans="1:20" x14ac:dyDescent="0.3">
      <c r="A136" s="22" t="s">
        <v>42</v>
      </c>
      <c r="B136" s="1" t="s">
        <v>215</v>
      </c>
      <c r="C136" s="1" t="s">
        <v>135</v>
      </c>
      <c r="D136" s="1" t="s">
        <v>89</v>
      </c>
      <c r="E136" s="8">
        <v>741.97866358145086</v>
      </c>
      <c r="F136" s="8">
        <v>497.97866358145086</v>
      </c>
      <c r="G136" s="8">
        <v>244</v>
      </c>
      <c r="H136" s="7">
        <v>32.885042653684728</v>
      </c>
      <c r="I136" s="1" t="s">
        <v>77</v>
      </c>
      <c r="J136" s="1" t="s">
        <v>80</v>
      </c>
      <c r="K136" s="1" t="s">
        <v>52</v>
      </c>
      <c r="L136" s="2" t="s">
        <v>147</v>
      </c>
      <c r="M136" s="3" t="s">
        <v>107</v>
      </c>
      <c r="N136" s="2" t="s">
        <v>122</v>
      </c>
      <c r="O136" s="2" t="s">
        <v>119</v>
      </c>
      <c r="P136" s="4">
        <v>85</v>
      </c>
      <c r="Q136" s="4">
        <f t="shared" si="15"/>
        <v>22000</v>
      </c>
      <c r="R136" s="4">
        <f t="shared" si="12"/>
        <v>289080</v>
      </c>
      <c r="S136" s="4" t="s">
        <v>96</v>
      </c>
      <c r="T136" s="23">
        <f t="shared" si="16"/>
        <v>13140</v>
      </c>
    </row>
    <row r="137" spans="1:20" x14ac:dyDescent="0.3">
      <c r="A137" s="22" t="s">
        <v>42</v>
      </c>
      <c r="B137" s="1" t="s">
        <v>215</v>
      </c>
      <c r="C137" s="1" t="s">
        <v>135</v>
      </c>
      <c r="D137" s="1" t="s">
        <v>82</v>
      </c>
      <c r="E137" s="6">
        <v>1334.1463414634145</v>
      </c>
      <c r="F137" s="6">
        <v>787.1463414634145</v>
      </c>
      <c r="G137" s="6">
        <v>547</v>
      </c>
      <c r="H137" s="7">
        <v>41</v>
      </c>
      <c r="I137" s="1" t="s">
        <v>77</v>
      </c>
      <c r="J137" s="1" t="s">
        <v>80</v>
      </c>
      <c r="K137" s="1" t="s">
        <v>52</v>
      </c>
      <c r="L137" s="2" t="s">
        <v>147</v>
      </c>
      <c r="M137" s="3" t="s">
        <v>107</v>
      </c>
      <c r="N137" s="2" t="s">
        <v>122</v>
      </c>
      <c r="O137" s="2" t="s">
        <v>119</v>
      </c>
      <c r="P137" s="4">
        <v>85</v>
      </c>
      <c r="Q137" s="4">
        <f t="shared" si="15"/>
        <v>22000</v>
      </c>
      <c r="R137" s="4">
        <f t="shared" si="12"/>
        <v>289080</v>
      </c>
      <c r="S137" s="4" t="s">
        <v>96</v>
      </c>
      <c r="T137" s="23">
        <f t="shared" si="16"/>
        <v>13140</v>
      </c>
    </row>
    <row r="138" spans="1:20" x14ac:dyDescent="0.3">
      <c r="A138" s="22" t="s">
        <v>42</v>
      </c>
      <c r="B138" s="1" t="s">
        <v>215</v>
      </c>
      <c r="C138" s="1" t="s">
        <v>135</v>
      </c>
      <c r="D138" s="1" t="s">
        <v>181</v>
      </c>
      <c r="E138" s="6">
        <v>21.333333333333332</v>
      </c>
      <c r="F138" s="6">
        <v>5.3333333333333321</v>
      </c>
      <c r="G138" s="6">
        <v>16</v>
      </c>
      <c r="H138" s="7">
        <v>75</v>
      </c>
      <c r="I138" s="1" t="s">
        <v>77</v>
      </c>
      <c r="J138" s="1" t="s">
        <v>80</v>
      </c>
      <c r="K138" s="1" t="s">
        <v>52</v>
      </c>
      <c r="L138" s="2" t="s">
        <v>147</v>
      </c>
      <c r="M138" s="3" t="s">
        <v>107</v>
      </c>
      <c r="N138" s="2" t="s">
        <v>122</v>
      </c>
      <c r="O138" s="2" t="s">
        <v>119</v>
      </c>
      <c r="P138" s="4">
        <v>85</v>
      </c>
      <c r="Q138" s="4">
        <f t="shared" si="15"/>
        <v>22000</v>
      </c>
      <c r="R138" s="4">
        <f t="shared" si="12"/>
        <v>289080</v>
      </c>
      <c r="S138" s="4" t="s">
        <v>96</v>
      </c>
      <c r="T138" s="23">
        <f t="shared" si="16"/>
        <v>13140</v>
      </c>
    </row>
    <row r="139" spans="1:20" x14ac:dyDescent="0.3">
      <c r="A139" s="22" t="s">
        <v>42</v>
      </c>
      <c r="B139" s="1" t="s">
        <v>215</v>
      </c>
      <c r="C139" s="1" t="s">
        <v>135</v>
      </c>
      <c r="D139" s="1" t="s">
        <v>83</v>
      </c>
      <c r="E139" s="6">
        <f t="shared" ref="E139:E145" si="17">100/H139*G139</f>
        <v>31.428571428571431</v>
      </c>
      <c r="F139" s="6">
        <f t="shared" ref="F139:F145" si="18">E139-G139</f>
        <v>9.4285714285714306</v>
      </c>
      <c r="G139" s="6">
        <v>22</v>
      </c>
      <c r="H139" s="7">
        <v>70</v>
      </c>
      <c r="I139" s="1" t="s">
        <v>77</v>
      </c>
      <c r="J139" s="1" t="s">
        <v>80</v>
      </c>
      <c r="K139" s="1" t="s">
        <v>52</v>
      </c>
      <c r="L139" s="2" t="s">
        <v>147</v>
      </c>
      <c r="M139" s="3" t="s">
        <v>107</v>
      </c>
      <c r="N139" s="2" t="s">
        <v>122</v>
      </c>
      <c r="O139" s="2" t="s">
        <v>119</v>
      </c>
      <c r="P139" s="4">
        <v>85</v>
      </c>
      <c r="Q139" s="4">
        <f t="shared" si="15"/>
        <v>22000</v>
      </c>
      <c r="R139" s="4">
        <f t="shared" si="12"/>
        <v>289080</v>
      </c>
      <c r="S139" s="4" t="s">
        <v>96</v>
      </c>
      <c r="T139" s="23">
        <f t="shared" si="16"/>
        <v>13140</v>
      </c>
    </row>
    <row r="140" spans="1:20" x14ac:dyDescent="0.3">
      <c r="A140" s="22" t="s">
        <v>42</v>
      </c>
      <c r="B140" s="1" t="s">
        <v>172</v>
      </c>
      <c r="C140" s="1" t="s">
        <v>135</v>
      </c>
      <c r="D140" s="1" t="s">
        <v>84</v>
      </c>
      <c r="E140" s="6">
        <f t="shared" si="17"/>
        <v>234.61538461538461</v>
      </c>
      <c r="F140" s="6">
        <f t="shared" si="18"/>
        <v>173.61538461538461</v>
      </c>
      <c r="G140" s="6">
        <v>61</v>
      </c>
      <c r="H140" s="7">
        <v>26</v>
      </c>
      <c r="I140" s="1" t="s">
        <v>77</v>
      </c>
      <c r="J140" s="1" t="s">
        <v>80</v>
      </c>
      <c r="K140" s="1" t="s">
        <v>52</v>
      </c>
      <c r="L140" s="2" t="s">
        <v>147</v>
      </c>
      <c r="M140" s="3" t="s">
        <v>107</v>
      </c>
      <c r="N140" s="2" t="s">
        <v>122</v>
      </c>
      <c r="O140" s="2" t="s">
        <v>119</v>
      </c>
      <c r="P140" s="4">
        <v>100</v>
      </c>
      <c r="Q140" s="4">
        <f t="shared" ref="Q140:Q145" si="19">2.6*10000</f>
        <v>26000</v>
      </c>
      <c r="R140" s="4">
        <f t="shared" si="12"/>
        <v>237250</v>
      </c>
      <c r="S140" s="4" t="s">
        <v>96</v>
      </c>
      <c r="T140" s="23">
        <f t="shared" ref="T140:T145" si="20">25*365</f>
        <v>9125</v>
      </c>
    </row>
    <row r="141" spans="1:20" x14ac:dyDescent="0.3">
      <c r="A141" s="22" t="s">
        <v>42</v>
      </c>
      <c r="B141" s="1" t="s">
        <v>172</v>
      </c>
      <c r="C141" s="1" t="s">
        <v>135</v>
      </c>
      <c r="D141" s="1" t="s">
        <v>85</v>
      </c>
      <c r="E141" s="6">
        <f t="shared" si="17"/>
        <v>10.810810810810811</v>
      </c>
      <c r="F141" s="6">
        <f t="shared" si="18"/>
        <v>14.810810810810811</v>
      </c>
      <c r="G141" s="6">
        <v>-4</v>
      </c>
      <c r="H141" s="7">
        <v>-37</v>
      </c>
      <c r="I141" s="1" t="s">
        <v>77</v>
      </c>
      <c r="J141" s="1" t="s">
        <v>80</v>
      </c>
      <c r="K141" s="1" t="s">
        <v>52</v>
      </c>
      <c r="L141" s="2" t="s">
        <v>147</v>
      </c>
      <c r="M141" s="3" t="s">
        <v>107</v>
      </c>
      <c r="N141" s="2" t="s">
        <v>122</v>
      </c>
      <c r="O141" s="2" t="s">
        <v>119</v>
      </c>
      <c r="P141" s="4">
        <v>100</v>
      </c>
      <c r="Q141" s="4">
        <f t="shared" si="19"/>
        <v>26000</v>
      </c>
      <c r="R141" s="4">
        <f t="shared" si="12"/>
        <v>237250</v>
      </c>
      <c r="S141" s="4" t="s">
        <v>96</v>
      </c>
      <c r="T141" s="23">
        <f t="shared" si="20"/>
        <v>9125</v>
      </c>
    </row>
    <row r="142" spans="1:20" x14ac:dyDescent="0.3">
      <c r="A142" s="22" t="s">
        <v>42</v>
      </c>
      <c r="B142" s="1" t="s">
        <v>172</v>
      </c>
      <c r="C142" s="1" t="s">
        <v>135</v>
      </c>
      <c r="D142" s="1" t="s">
        <v>89</v>
      </c>
      <c r="E142" s="6">
        <f t="shared" si="17"/>
        <v>433.33333333333337</v>
      </c>
      <c r="F142" s="6">
        <f t="shared" si="18"/>
        <v>446.33333333333337</v>
      </c>
      <c r="G142" s="6">
        <v>-13</v>
      </c>
      <c r="H142" s="7">
        <v>-3</v>
      </c>
      <c r="I142" s="1" t="s">
        <v>77</v>
      </c>
      <c r="J142" s="1" t="s">
        <v>80</v>
      </c>
      <c r="K142" s="1" t="s">
        <v>52</v>
      </c>
      <c r="L142" s="2" t="s">
        <v>147</v>
      </c>
      <c r="M142" s="3" t="s">
        <v>107</v>
      </c>
      <c r="N142" s="2" t="s">
        <v>122</v>
      </c>
      <c r="O142" s="2" t="s">
        <v>119</v>
      </c>
      <c r="P142" s="4">
        <v>100</v>
      </c>
      <c r="Q142" s="4">
        <f t="shared" si="19"/>
        <v>26000</v>
      </c>
      <c r="R142" s="4">
        <f t="shared" si="12"/>
        <v>237250</v>
      </c>
      <c r="S142" s="4" t="s">
        <v>96</v>
      </c>
      <c r="T142" s="23">
        <f t="shared" si="20"/>
        <v>9125</v>
      </c>
    </row>
    <row r="143" spans="1:20" x14ac:dyDescent="0.3">
      <c r="A143" s="22" t="s">
        <v>42</v>
      </c>
      <c r="B143" s="1" t="s">
        <v>172</v>
      </c>
      <c r="C143" s="1" t="s">
        <v>135</v>
      </c>
      <c r="D143" s="1" t="s">
        <v>82</v>
      </c>
      <c r="E143" s="6">
        <f t="shared" si="17"/>
        <v>642.85714285714289</v>
      </c>
      <c r="F143" s="6">
        <f t="shared" si="18"/>
        <v>597.85714285714289</v>
      </c>
      <c r="G143" s="6">
        <v>45</v>
      </c>
      <c r="H143" s="7">
        <v>7</v>
      </c>
      <c r="I143" s="1" t="s">
        <v>77</v>
      </c>
      <c r="J143" s="1" t="s">
        <v>80</v>
      </c>
      <c r="K143" s="1" t="s">
        <v>52</v>
      </c>
      <c r="L143" s="2" t="s">
        <v>147</v>
      </c>
      <c r="M143" s="3" t="s">
        <v>107</v>
      </c>
      <c r="N143" s="2" t="s">
        <v>122</v>
      </c>
      <c r="O143" s="2" t="s">
        <v>119</v>
      </c>
      <c r="P143" s="4">
        <v>100</v>
      </c>
      <c r="Q143" s="4">
        <f t="shared" si="19"/>
        <v>26000</v>
      </c>
      <c r="R143" s="4">
        <f t="shared" si="12"/>
        <v>237250</v>
      </c>
      <c r="S143" s="4" t="s">
        <v>96</v>
      </c>
      <c r="T143" s="23">
        <f t="shared" si="20"/>
        <v>9125</v>
      </c>
    </row>
    <row r="144" spans="1:20" x14ac:dyDescent="0.3">
      <c r="A144" s="22" t="s">
        <v>42</v>
      </c>
      <c r="B144" s="1" t="s">
        <v>172</v>
      </c>
      <c r="C144" s="1" t="s">
        <v>135</v>
      </c>
      <c r="D144" s="1" t="s">
        <v>181</v>
      </c>
      <c r="E144" s="6">
        <f t="shared" si="17"/>
        <v>0</v>
      </c>
      <c r="F144" s="6">
        <f t="shared" si="18"/>
        <v>0</v>
      </c>
      <c r="G144" s="6">
        <v>0</v>
      </c>
      <c r="H144" s="7">
        <v>7</v>
      </c>
      <c r="I144" s="1" t="s">
        <v>77</v>
      </c>
      <c r="J144" s="1" t="s">
        <v>80</v>
      </c>
      <c r="K144" s="1" t="s">
        <v>52</v>
      </c>
      <c r="L144" s="2" t="s">
        <v>147</v>
      </c>
      <c r="M144" s="3" t="s">
        <v>107</v>
      </c>
      <c r="N144" s="2" t="s">
        <v>122</v>
      </c>
      <c r="O144" s="2" t="s">
        <v>119</v>
      </c>
      <c r="P144" s="4">
        <v>100</v>
      </c>
      <c r="Q144" s="4">
        <f t="shared" si="19"/>
        <v>26000</v>
      </c>
      <c r="R144" s="4">
        <f t="shared" si="12"/>
        <v>237250</v>
      </c>
      <c r="S144" s="4" t="s">
        <v>96</v>
      </c>
      <c r="T144" s="23">
        <f t="shared" si="20"/>
        <v>9125</v>
      </c>
    </row>
    <row r="145" spans="1:20" x14ac:dyDescent="0.3">
      <c r="A145" s="22" t="s">
        <v>42</v>
      </c>
      <c r="B145" s="1" t="s">
        <v>172</v>
      </c>
      <c r="C145" s="1" t="s">
        <v>135</v>
      </c>
      <c r="D145" s="1" t="s">
        <v>83</v>
      </c>
      <c r="E145" s="6">
        <f t="shared" si="17"/>
        <v>9.0909090909090917</v>
      </c>
      <c r="F145" s="6">
        <f t="shared" si="18"/>
        <v>11.090909090909092</v>
      </c>
      <c r="G145" s="6">
        <v>-2</v>
      </c>
      <c r="H145" s="7">
        <v>-22</v>
      </c>
      <c r="I145" s="1" t="s">
        <v>77</v>
      </c>
      <c r="J145" s="1" t="s">
        <v>80</v>
      </c>
      <c r="K145" s="1" t="s">
        <v>52</v>
      </c>
      <c r="L145" s="2" t="s">
        <v>147</v>
      </c>
      <c r="M145" s="3" t="s">
        <v>107</v>
      </c>
      <c r="N145" s="2" t="s">
        <v>122</v>
      </c>
      <c r="O145" s="2" t="s">
        <v>119</v>
      </c>
      <c r="P145" s="4">
        <v>100</v>
      </c>
      <c r="Q145" s="4">
        <f t="shared" si="19"/>
        <v>26000</v>
      </c>
      <c r="R145" s="4">
        <f t="shared" si="12"/>
        <v>237250</v>
      </c>
      <c r="S145" s="4" t="s">
        <v>96</v>
      </c>
      <c r="T145" s="23">
        <f t="shared" si="20"/>
        <v>9125</v>
      </c>
    </row>
    <row r="146" spans="1:20" x14ac:dyDescent="0.3">
      <c r="A146" s="22" t="s">
        <v>42</v>
      </c>
      <c r="B146" s="1" t="s">
        <v>63</v>
      </c>
      <c r="C146" s="1" t="s">
        <v>133</v>
      </c>
      <c r="D146" s="1" t="s">
        <v>82</v>
      </c>
      <c r="E146" s="6">
        <f>AVERAGE(49,54)</f>
        <v>51.5</v>
      </c>
      <c r="F146" s="6">
        <f>AVERAGE(42,31)</f>
        <v>36.5</v>
      </c>
      <c r="G146" s="6">
        <f>E146-F146</f>
        <v>15</v>
      </c>
      <c r="H146" s="7">
        <f>G146/E146*100</f>
        <v>29.126213592233007</v>
      </c>
      <c r="I146" s="1" t="s">
        <v>77</v>
      </c>
      <c r="J146" s="1" t="s">
        <v>10</v>
      </c>
      <c r="K146" s="1" t="s">
        <v>64</v>
      </c>
      <c r="L146" s="2" t="s">
        <v>91</v>
      </c>
      <c r="M146" s="3" t="s">
        <v>101</v>
      </c>
      <c r="N146" s="2" t="s">
        <v>173</v>
      </c>
      <c r="O146" s="2" t="s">
        <v>123</v>
      </c>
      <c r="P146" s="4">
        <v>250</v>
      </c>
      <c r="Q146" s="4">
        <f>85/2*10000</f>
        <v>425000</v>
      </c>
      <c r="R146" s="4">
        <f t="shared" si="12"/>
        <v>191250</v>
      </c>
      <c r="S146" s="4">
        <v>85</v>
      </c>
      <c r="T146" s="23">
        <f>AVERAGE(270,180)*2</f>
        <v>450</v>
      </c>
    </row>
    <row r="147" spans="1:20" x14ac:dyDescent="0.3">
      <c r="A147" s="22" t="s">
        <v>42</v>
      </c>
      <c r="B147" s="1" t="s">
        <v>63</v>
      </c>
      <c r="C147" s="1" t="s">
        <v>133</v>
      </c>
      <c r="D147" s="1" t="s">
        <v>84</v>
      </c>
      <c r="E147" s="6"/>
      <c r="F147" s="6">
        <f>AVERAGE(35,26)</f>
        <v>30.5</v>
      </c>
      <c r="G147" s="6"/>
      <c r="H147" s="7"/>
      <c r="I147" s="1" t="s">
        <v>77</v>
      </c>
      <c r="J147" s="1" t="s">
        <v>10</v>
      </c>
      <c r="K147" s="1" t="s">
        <v>64</v>
      </c>
      <c r="L147" s="2" t="s">
        <v>91</v>
      </c>
      <c r="M147" s="3" t="s">
        <v>101</v>
      </c>
      <c r="N147" s="2" t="s">
        <v>173</v>
      </c>
      <c r="O147" s="2" t="s">
        <v>123</v>
      </c>
      <c r="P147" s="4">
        <v>250</v>
      </c>
      <c r="Q147" s="4">
        <f>85/2*10000</f>
        <v>425000</v>
      </c>
      <c r="R147" s="4">
        <f t="shared" si="12"/>
        <v>191250</v>
      </c>
      <c r="S147" s="4">
        <v>85</v>
      </c>
      <c r="T147" s="23">
        <f>AVERAGE(270,180)*2</f>
        <v>450</v>
      </c>
    </row>
    <row r="148" spans="1:20" x14ac:dyDescent="0.3">
      <c r="A148" s="22" t="s">
        <v>42</v>
      </c>
      <c r="B148" s="1" t="s">
        <v>63</v>
      </c>
      <c r="C148" s="1" t="s">
        <v>133</v>
      </c>
      <c r="D148" s="1" t="s">
        <v>89</v>
      </c>
      <c r="E148" s="6"/>
      <c r="F148" s="6">
        <f>F146-F147</f>
        <v>6</v>
      </c>
      <c r="G148" s="6"/>
      <c r="H148" s="7"/>
      <c r="I148" s="1" t="s">
        <v>77</v>
      </c>
      <c r="J148" s="1" t="s">
        <v>10</v>
      </c>
      <c r="K148" s="1" t="s">
        <v>64</v>
      </c>
      <c r="L148" s="2" t="s">
        <v>91</v>
      </c>
      <c r="M148" s="3" t="s">
        <v>101</v>
      </c>
      <c r="N148" s="2" t="s">
        <v>173</v>
      </c>
      <c r="O148" s="2" t="s">
        <v>123</v>
      </c>
      <c r="P148" s="4">
        <v>250</v>
      </c>
      <c r="Q148" s="4">
        <f>85/2*10000</f>
        <v>425000</v>
      </c>
      <c r="R148" s="4">
        <f t="shared" si="12"/>
        <v>191250</v>
      </c>
      <c r="S148" s="4">
        <v>85</v>
      </c>
      <c r="T148" s="23">
        <f>AVERAGE(270,180)*2</f>
        <v>450</v>
      </c>
    </row>
    <row r="149" spans="1:20" x14ac:dyDescent="0.3">
      <c r="A149" s="22" t="s">
        <v>42</v>
      </c>
      <c r="B149" s="1" t="s">
        <v>43</v>
      </c>
      <c r="C149" s="1" t="s">
        <v>133</v>
      </c>
      <c r="D149" s="1" t="s">
        <v>84</v>
      </c>
      <c r="E149" s="6">
        <v>366.66666666666669</v>
      </c>
      <c r="F149" s="6">
        <v>265</v>
      </c>
      <c r="G149" s="6">
        <v>101.66666666666667</v>
      </c>
      <c r="H149" s="7">
        <v>27.727272727272727</v>
      </c>
      <c r="I149" s="1" t="s">
        <v>77</v>
      </c>
      <c r="J149" s="1" t="s">
        <v>10</v>
      </c>
      <c r="K149" s="1" t="s">
        <v>44</v>
      </c>
      <c r="L149" s="2" t="s">
        <v>147</v>
      </c>
      <c r="M149" s="3" t="s">
        <v>107</v>
      </c>
      <c r="N149" s="2" t="s">
        <v>122</v>
      </c>
      <c r="O149" s="2" t="s">
        <v>119</v>
      </c>
      <c r="P149" s="4" t="s">
        <v>96</v>
      </c>
      <c r="Q149" s="4">
        <f t="shared" ref="Q149:Q154" si="21">40*10000</f>
        <v>400000</v>
      </c>
      <c r="R149" s="4" t="s">
        <v>96</v>
      </c>
      <c r="S149" s="4">
        <v>3800</v>
      </c>
      <c r="T149" s="23" t="s">
        <v>96</v>
      </c>
    </row>
    <row r="150" spans="1:20" x14ac:dyDescent="0.3">
      <c r="A150" s="22" t="s">
        <v>42</v>
      </c>
      <c r="B150" s="1" t="s">
        <v>43</v>
      </c>
      <c r="C150" s="1" t="s">
        <v>133</v>
      </c>
      <c r="D150" s="1" t="s">
        <v>85</v>
      </c>
      <c r="E150" s="6">
        <v>22.666666666666668</v>
      </c>
      <c r="F150" s="6">
        <v>20</v>
      </c>
      <c r="G150" s="6">
        <v>2.6666666666666665</v>
      </c>
      <c r="H150" s="7">
        <v>11.76470588235294</v>
      </c>
      <c r="I150" s="1" t="s">
        <v>77</v>
      </c>
      <c r="J150" s="1" t="s">
        <v>10</v>
      </c>
      <c r="K150" s="1" t="s">
        <v>44</v>
      </c>
      <c r="L150" s="2" t="s">
        <v>147</v>
      </c>
      <c r="M150" s="3" t="s">
        <v>107</v>
      </c>
      <c r="N150" s="2" t="s">
        <v>122</v>
      </c>
      <c r="O150" s="2" t="s">
        <v>119</v>
      </c>
      <c r="P150" s="4" t="s">
        <v>96</v>
      </c>
      <c r="Q150" s="4">
        <f t="shared" si="21"/>
        <v>400000</v>
      </c>
      <c r="R150" s="4" t="s">
        <v>96</v>
      </c>
      <c r="S150" s="4">
        <v>3800</v>
      </c>
      <c r="T150" s="23" t="s">
        <v>96</v>
      </c>
    </row>
    <row r="151" spans="1:20" x14ac:dyDescent="0.3">
      <c r="A151" s="22" t="s">
        <v>42</v>
      </c>
      <c r="B151" s="1" t="s">
        <v>43</v>
      </c>
      <c r="C151" s="1" t="s">
        <v>133</v>
      </c>
      <c r="D151" s="1" t="s">
        <v>89</v>
      </c>
      <c r="E151" s="8">
        <v>121.66666666666664</v>
      </c>
      <c r="F151" s="8">
        <v>180.33333333333331</v>
      </c>
      <c r="G151" s="8">
        <v>-58.666666666666671</v>
      </c>
      <c r="H151" s="7">
        <v>-48.219178082191796</v>
      </c>
      <c r="I151" s="1" t="s">
        <v>77</v>
      </c>
      <c r="J151" s="1" t="s">
        <v>10</v>
      </c>
      <c r="K151" s="1" t="s">
        <v>44</v>
      </c>
      <c r="L151" s="2" t="s">
        <v>147</v>
      </c>
      <c r="M151" s="3" t="s">
        <v>107</v>
      </c>
      <c r="N151" s="2" t="s">
        <v>122</v>
      </c>
      <c r="O151" s="2" t="s">
        <v>119</v>
      </c>
      <c r="P151" s="4" t="s">
        <v>96</v>
      </c>
      <c r="Q151" s="4">
        <f t="shared" si="21"/>
        <v>400000</v>
      </c>
      <c r="R151" s="4" t="s">
        <v>96</v>
      </c>
      <c r="S151" s="4">
        <v>3800</v>
      </c>
      <c r="T151" s="23" t="s">
        <v>96</v>
      </c>
    </row>
    <row r="152" spans="1:20" x14ac:dyDescent="0.3">
      <c r="A152" s="22" t="s">
        <v>42</v>
      </c>
      <c r="B152" s="1" t="s">
        <v>43</v>
      </c>
      <c r="C152" s="1" t="s">
        <v>133</v>
      </c>
      <c r="D152" s="1" t="s">
        <v>82</v>
      </c>
      <c r="E152" s="6">
        <v>511</v>
      </c>
      <c r="F152" s="6">
        <v>465.33333333333331</v>
      </c>
      <c r="G152" s="6">
        <v>45.666666666666664</v>
      </c>
      <c r="H152" s="7">
        <v>8.9367253750815383</v>
      </c>
      <c r="I152" s="1" t="s">
        <v>77</v>
      </c>
      <c r="J152" s="1" t="s">
        <v>10</v>
      </c>
      <c r="K152" s="1" t="s">
        <v>44</v>
      </c>
      <c r="L152" s="2" t="s">
        <v>147</v>
      </c>
      <c r="M152" s="3" t="s">
        <v>107</v>
      </c>
      <c r="N152" s="2" t="s">
        <v>122</v>
      </c>
      <c r="O152" s="2" t="s">
        <v>119</v>
      </c>
      <c r="P152" s="4" t="s">
        <v>96</v>
      </c>
      <c r="Q152" s="4">
        <f t="shared" si="21"/>
        <v>400000</v>
      </c>
      <c r="R152" s="4" t="s">
        <v>96</v>
      </c>
      <c r="S152" s="4">
        <v>3800</v>
      </c>
      <c r="T152" s="23" t="s">
        <v>96</v>
      </c>
    </row>
    <row r="153" spans="1:20" x14ac:dyDescent="0.3">
      <c r="A153" s="22" t="s">
        <v>42</v>
      </c>
      <c r="B153" s="1" t="s">
        <v>43</v>
      </c>
      <c r="C153" s="1" t="s">
        <v>133</v>
      </c>
      <c r="D153" s="1" t="s">
        <v>181</v>
      </c>
      <c r="E153" s="6">
        <v>7</v>
      </c>
      <c r="F153" s="6">
        <v>15.333333333333334</v>
      </c>
      <c r="G153" s="6">
        <v>-8.3333333333333339</v>
      </c>
      <c r="H153" s="7">
        <v>-119.04761904761905</v>
      </c>
      <c r="I153" s="1" t="s">
        <v>77</v>
      </c>
      <c r="J153" s="1" t="s">
        <v>10</v>
      </c>
      <c r="K153" s="1" t="s">
        <v>44</v>
      </c>
      <c r="L153" s="2" t="s">
        <v>147</v>
      </c>
      <c r="M153" s="3" t="s">
        <v>107</v>
      </c>
      <c r="N153" s="2" t="s">
        <v>122</v>
      </c>
      <c r="O153" s="2" t="s">
        <v>119</v>
      </c>
      <c r="P153" s="4" t="s">
        <v>96</v>
      </c>
      <c r="Q153" s="4">
        <f t="shared" si="21"/>
        <v>400000</v>
      </c>
      <c r="R153" s="4" t="s">
        <v>96</v>
      </c>
      <c r="S153" s="4">
        <v>3800</v>
      </c>
      <c r="T153" s="23" t="s">
        <v>96</v>
      </c>
    </row>
    <row r="154" spans="1:20" x14ac:dyDescent="0.3">
      <c r="A154" s="22" t="s">
        <v>42</v>
      </c>
      <c r="B154" s="1" t="s">
        <v>43</v>
      </c>
      <c r="C154" s="1" t="s">
        <v>133</v>
      </c>
      <c r="D154" s="1" t="s">
        <v>83</v>
      </c>
      <c r="E154" s="6">
        <v>24.666666666666668</v>
      </c>
      <c r="F154" s="6">
        <v>36.666666666666664</v>
      </c>
      <c r="G154" s="6">
        <v>-12</v>
      </c>
      <c r="H154" s="7">
        <v>-48.648648648648646</v>
      </c>
      <c r="I154" s="1" t="s">
        <v>77</v>
      </c>
      <c r="J154" s="1" t="s">
        <v>10</v>
      </c>
      <c r="K154" s="1" t="s">
        <v>44</v>
      </c>
      <c r="L154" s="2" t="s">
        <v>147</v>
      </c>
      <c r="M154" s="3" t="s">
        <v>107</v>
      </c>
      <c r="N154" s="2" t="s">
        <v>122</v>
      </c>
      <c r="O154" s="2" t="s">
        <v>119</v>
      </c>
      <c r="P154" s="4" t="s">
        <v>96</v>
      </c>
      <c r="Q154" s="4">
        <f t="shared" si="21"/>
        <v>400000</v>
      </c>
      <c r="R154" s="4" t="s">
        <v>96</v>
      </c>
      <c r="S154" s="4">
        <v>3800</v>
      </c>
      <c r="T154" s="23" t="s">
        <v>96</v>
      </c>
    </row>
    <row r="155" spans="1:20" x14ac:dyDescent="0.3">
      <c r="A155" s="22" t="s">
        <v>42</v>
      </c>
      <c r="B155" s="1" t="s">
        <v>73</v>
      </c>
      <c r="C155" s="1" t="s">
        <v>133</v>
      </c>
      <c r="D155" s="1" t="s">
        <v>84</v>
      </c>
      <c r="E155" s="6">
        <v>9.8000000000000007</v>
      </c>
      <c r="F155" s="6">
        <v>3.8</v>
      </c>
      <c r="G155" s="6">
        <v>6</v>
      </c>
      <c r="H155" s="7">
        <v>61.224489795918359</v>
      </c>
      <c r="I155" s="1" t="s">
        <v>77</v>
      </c>
      <c r="J155" s="1" t="s">
        <v>78</v>
      </c>
      <c r="K155" s="1" t="s">
        <v>44</v>
      </c>
      <c r="L155" s="2" t="s">
        <v>146</v>
      </c>
      <c r="M155" s="3" t="s">
        <v>127</v>
      </c>
      <c r="N155" s="2" t="s">
        <v>122</v>
      </c>
      <c r="O155" s="2" t="s">
        <v>123</v>
      </c>
      <c r="P155" s="4" t="s">
        <v>96</v>
      </c>
      <c r="Q155" s="4">
        <f t="shared" ref="Q155:Q160" si="22">60*10000</f>
        <v>600000</v>
      </c>
      <c r="R155" s="4" t="s">
        <v>96</v>
      </c>
      <c r="S155" s="4">
        <v>150</v>
      </c>
      <c r="T155" s="23" t="s">
        <v>96</v>
      </c>
    </row>
    <row r="156" spans="1:20" x14ac:dyDescent="0.3">
      <c r="A156" s="22" t="s">
        <v>42</v>
      </c>
      <c r="B156" s="1" t="s">
        <v>73</v>
      </c>
      <c r="C156" s="1" t="s">
        <v>133</v>
      </c>
      <c r="D156" s="1" t="s">
        <v>85</v>
      </c>
      <c r="E156" s="6">
        <v>10</v>
      </c>
      <c r="F156" s="6">
        <v>5</v>
      </c>
      <c r="G156" s="6">
        <v>5</v>
      </c>
      <c r="H156" s="7">
        <v>50</v>
      </c>
      <c r="I156" s="1" t="s">
        <v>77</v>
      </c>
      <c r="J156" s="1" t="s">
        <v>78</v>
      </c>
      <c r="K156" s="1" t="s">
        <v>44</v>
      </c>
      <c r="L156" s="2" t="s">
        <v>146</v>
      </c>
      <c r="M156" s="3" t="s">
        <v>127</v>
      </c>
      <c r="N156" s="2" t="s">
        <v>122</v>
      </c>
      <c r="O156" s="2" t="s">
        <v>123</v>
      </c>
      <c r="P156" s="4" t="s">
        <v>96</v>
      </c>
      <c r="Q156" s="4">
        <f t="shared" si="22"/>
        <v>600000</v>
      </c>
      <c r="R156" s="4" t="s">
        <v>96</v>
      </c>
      <c r="S156" s="4">
        <v>150</v>
      </c>
      <c r="T156" s="23" t="s">
        <v>96</v>
      </c>
    </row>
    <row r="157" spans="1:20" x14ac:dyDescent="0.3">
      <c r="A157" s="22" t="s">
        <v>42</v>
      </c>
      <c r="B157" s="1" t="s">
        <v>73</v>
      </c>
      <c r="C157" s="1" t="s">
        <v>133</v>
      </c>
      <c r="D157" s="1" t="s">
        <v>89</v>
      </c>
      <c r="E157" s="8">
        <v>1.3999999999999986</v>
      </c>
      <c r="F157" s="8">
        <v>16</v>
      </c>
      <c r="G157" s="8">
        <v>-14.600000000000001</v>
      </c>
      <c r="H157" s="7">
        <v>-1042.857142857144</v>
      </c>
      <c r="I157" s="1" t="s">
        <v>77</v>
      </c>
      <c r="J157" s="1" t="s">
        <v>10</v>
      </c>
      <c r="K157" s="1" t="s">
        <v>44</v>
      </c>
      <c r="L157" s="2" t="s">
        <v>146</v>
      </c>
      <c r="M157" s="3" t="s">
        <v>127</v>
      </c>
      <c r="N157" s="2" t="s">
        <v>122</v>
      </c>
      <c r="O157" s="2" t="s">
        <v>123</v>
      </c>
      <c r="P157" s="4" t="s">
        <v>96</v>
      </c>
      <c r="Q157" s="4">
        <f t="shared" si="22"/>
        <v>600000</v>
      </c>
      <c r="R157" s="4" t="s">
        <v>96</v>
      </c>
      <c r="S157" s="4">
        <v>150</v>
      </c>
      <c r="T157" s="23" t="s">
        <v>96</v>
      </c>
    </row>
    <row r="158" spans="1:20" x14ac:dyDescent="0.3">
      <c r="A158" s="22" t="s">
        <v>42</v>
      </c>
      <c r="B158" s="1" t="s">
        <v>73</v>
      </c>
      <c r="C158" s="1" t="s">
        <v>133</v>
      </c>
      <c r="D158" s="1" t="s">
        <v>82</v>
      </c>
      <c r="E158" s="6">
        <v>21.2</v>
      </c>
      <c r="F158" s="6">
        <v>24.8</v>
      </c>
      <c r="G158" s="6">
        <v>-3.6</v>
      </c>
      <c r="H158" s="7">
        <v>-16.981132075471699</v>
      </c>
      <c r="I158" s="1" t="s">
        <v>77</v>
      </c>
      <c r="J158" s="1" t="s">
        <v>78</v>
      </c>
      <c r="K158" s="1" t="s">
        <v>44</v>
      </c>
      <c r="L158" s="2" t="s">
        <v>146</v>
      </c>
      <c r="M158" s="3" t="s">
        <v>127</v>
      </c>
      <c r="N158" s="2" t="s">
        <v>122</v>
      </c>
      <c r="O158" s="2" t="s">
        <v>123</v>
      </c>
      <c r="P158" s="4" t="s">
        <v>96</v>
      </c>
      <c r="Q158" s="4">
        <f t="shared" si="22"/>
        <v>600000</v>
      </c>
      <c r="R158" s="4" t="s">
        <v>96</v>
      </c>
      <c r="S158" s="4">
        <v>150</v>
      </c>
      <c r="T158" s="23" t="s">
        <v>96</v>
      </c>
    </row>
    <row r="159" spans="1:20" x14ac:dyDescent="0.3">
      <c r="A159" s="22" t="s">
        <v>42</v>
      </c>
      <c r="B159" s="1" t="s">
        <v>73</v>
      </c>
      <c r="C159" s="1" t="s">
        <v>133</v>
      </c>
      <c r="D159" s="1" t="s">
        <v>181</v>
      </c>
      <c r="E159" s="6">
        <v>0.6399999999999999</v>
      </c>
      <c r="F159" s="6">
        <v>1.54</v>
      </c>
      <c r="G159" s="6">
        <v>-0.9</v>
      </c>
      <c r="H159" s="7">
        <v>-140.62500000000003</v>
      </c>
      <c r="I159" s="1" t="s">
        <v>77</v>
      </c>
      <c r="J159" s="1" t="s">
        <v>78</v>
      </c>
      <c r="K159" s="1" t="s">
        <v>44</v>
      </c>
      <c r="L159" s="2" t="s">
        <v>146</v>
      </c>
      <c r="M159" s="3" t="s">
        <v>127</v>
      </c>
      <c r="N159" s="2" t="s">
        <v>122</v>
      </c>
      <c r="O159" s="2" t="s">
        <v>123</v>
      </c>
      <c r="P159" s="4" t="s">
        <v>96</v>
      </c>
      <c r="Q159" s="4">
        <f t="shared" si="22"/>
        <v>600000</v>
      </c>
      <c r="R159" s="4" t="s">
        <v>96</v>
      </c>
      <c r="S159" s="4">
        <v>150</v>
      </c>
      <c r="T159" s="23" t="s">
        <v>96</v>
      </c>
    </row>
    <row r="160" spans="1:20" x14ac:dyDescent="0.3">
      <c r="A160" s="22" t="s">
        <v>42</v>
      </c>
      <c r="B160" s="1" t="s">
        <v>73</v>
      </c>
      <c r="C160" s="1" t="s">
        <v>133</v>
      </c>
      <c r="D160" s="1" t="s">
        <v>83</v>
      </c>
      <c r="E160" s="6">
        <v>0.76</v>
      </c>
      <c r="F160" s="6">
        <v>4.0200000000000005</v>
      </c>
      <c r="G160" s="6">
        <v>-3.2600000000000002</v>
      </c>
      <c r="H160" s="7">
        <v>-428.94736842105266</v>
      </c>
      <c r="I160" s="1" t="s">
        <v>77</v>
      </c>
      <c r="J160" s="1" t="s">
        <v>78</v>
      </c>
      <c r="K160" s="1" t="s">
        <v>44</v>
      </c>
      <c r="L160" s="2" t="s">
        <v>146</v>
      </c>
      <c r="M160" s="3" t="s">
        <v>127</v>
      </c>
      <c r="N160" s="2" t="s">
        <v>122</v>
      </c>
      <c r="O160" s="2" t="s">
        <v>123</v>
      </c>
      <c r="P160" s="4" t="s">
        <v>96</v>
      </c>
      <c r="Q160" s="4">
        <f t="shared" si="22"/>
        <v>600000</v>
      </c>
      <c r="R160" s="4" t="s">
        <v>96</v>
      </c>
      <c r="S160" s="4">
        <v>150</v>
      </c>
      <c r="T160" s="23" t="s">
        <v>96</v>
      </c>
    </row>
    <row r="161" spans="1:20" x14ac:dyDescent="0.3">
      <c r="A161" s="22" t="s">
        <v>5</v>
      </c>
      <c r="B161" s="1" t="s">
        <v>65</v>
      </c>
      <c r="C161" s="1" t="s">
        <v>138</v>
      </c>
      <c r="D161" s="1" t="s">
        <v>82</v>
      </c>
      <c r="E161" s="6">
        <v>46.9</v>
      </c>
      <c r="F161" s="6">
        <v>1.6</v>
      </c>
      <c r="G161" s="6">
        <v>45.3</v>
      </c>
      <c r="H161" s="7">
        <v>96.588486140724939</v>
      </c>
      <c r="I161" s="1" t="s">
        <v>77</v>
      </c>
      <c r="J161" s="1" t="s">
        <v>80</v>
      </c>
      <c r="K161" s="1" t="s">
        <v>66</v>
      </c>
      <c r="L161" s="2" t="s">
        <v>148</v>
      </c>
      <c r="M161" s="3" t="s">
        <v>127</v>
      </c>
      <c r="N161" s="2" t="s">
        <v>106</v>
      </c>
      <c r="O161" s="2" t="s">
        <v>117</v>
      </c>
      <c r="P161" s="4" t="s">
        <v>96</v>
      </c>
      <c r="Q161" s="4" t="s">
        <v>96</v>
      </c>
      <c r="R161" s="4" t="s">
        <v>96</v>
      </c>
      <c r="S161" s="4" t="s">
        <v>96</v>
      </c>
      <c r="T161" s="23" t="s">
        <v>96</v>
      </c>
    </row>
    <row r="162" spans="1:20" x14ac:dyDescent="0.3">
      <c r="A162" s="22" t="s">
        <v>5</v>
      </c>
      <c r="B162" s="1" t="s">
        <v>65</v>
      </c>
      <c r="C162" s="1" t="s">
        <v>138</v>
      </c>
      <c r="D162" s="1" t="s">
        <v>83</v>
      </c>
      <c r="E162" s="6">
        <v>0.27</v>
      </c>
      <c r="F162" s="6">
        <v>0.08</v>
      </c>
      <c r="G162" s="6">
        <v>0.19</v>
      </c>
      <c r="H162" s="7">
        <v>70.370370370370367</v>
      </c>
      <c r="I162" s="1" t="s">
        <v>77</v>
      </c>
      <c r="J162" s="1" t="s">
        <v>80</v>
      </c>
      <c r="K162" s="1" t="s">
        <v>66</v>
      </c>
      <c r="L162" s="2" t="s">
        <v>148</v>
      </c>
      <c r="M162" s="3" t="s">
        <v>127</v>
      </c>
      <c r="N162" s="2" t="s">
        <v>106</v>
      </c>
      <c r="O162" s="2" t="s">
        <v>117</v>
      </c>
      <c r="P162" s="4" t="s">
        <v>96</v>
      </c>
      <c r="Q162" s="4" t="s">
        <v>96</v>
      </c>
      <c r="R162" s="4" t="s">
        <v>96</v>
      </c>
      <c r="S162" s="4" t="s">
        <v>96</v>
      </c>
      <c r="T162" s="23" t="s">
        <v>96</v>
      </c>
    </row>
    <row r="163" spans="1:20" x14ac:dyDescent="0.3">
      <c r="A163" s="22" t="s">
        <v>5</v>
      </c>
      <c r="B163" s="1" t="s">
        <v>218</v>
      </c>
      <c r="C163" s="1" t="s">
        <v>219</v>
      </c>
      <c r="D163" s="1" t="s">
        <v>82</v>
      </c>
      <c r="E163" s="6">
        <v>65</v>
      </c>
      <c r="F163" s="6">
        <v>16.3</v>
      </c>
      <c r="G163" s="6">
        <v>48.7</v>
      </c>
      <c r="H163" s="7">
        <v>74.92307692307692</v>
      </c>
      <c r="I163" s="1" t="s">
        <v>77</v>
      </c>
      <c r="J163" s="1" t="s">
        <v>80</v>
      </c>
      <c r="K163" s="1" t="s">
        <v>280</v>
      </c>
      <c r="L163" s="2" t="s">
        <v>174</v>
      </c>
      <c r="M163" s="3" t="s">
        <v>127</v>
      </c>
      <c r="N163" s="2" t="s">
        <v>106</v>
      </c>
      <c r="O163" s="2" t="s">
        <v>117</v>
      </c>
      <c r="P163" s="4" t="s">
        <v>96</v>
      </c>
      <c r="Q163" s="4" t="s">
        <v>96</v>
      </c>
      <c r="R163" s="4" t="s">
        <v>96</v>
      </c>
      <c r="S163" s="4" t="s">
        <v>96</v>
      </c>
      <c r="T163" s="23" t="s">
        <v>96</v>
      </c>
    </row>
    <row r="164" spans="1:20" x14ac:dyDescent="0.3">
      <c r="A164" s="22" t="s">
        <v>5</v>
      </c>
      <c r="B164" s="1" t="s">
        <v>218</v>
      </c>
      <c r="C164" s="1" t="s">
        <v>219</v>
      </c>
      <c r="D164" s="1" t="s">
        <v>83</v>
      </c>
      <c r="E164" s="6">
        <v>1.2</v>
      </c>
      <c r="F164" s="6">
        <v>0.85</v>
      </c>
      <c r="G164" s="6">
        <v>0.35</v>
      </c>
      <c r="H164" s="7">
        <v>29.166666666666668</v>
      </c>
      <c r="I164" s="1" t="s">
        <v>77</v>
      </c>
      <c r="J164" s="1" t="s">
        <v>80</v>
      </c>
      <c r="K164" s="1" t="s">
        <v>280</v>
      </c>
      <c r="L164" s="2" t="s">
        <v>174</v>
      </c>
      <c r="M164" s="3" t="s">
        <v>127</v>
      </c>
      <c r="N164" s="2" t="s">
        <v>106</v>
      </c>
      <c r="O164" s="2" t="s">
        <v>117</v>
      </c>
      <c r="P164" s="4" t="s">
        <v>96</v>
      </c>
      <c r="Q164" s="4" t="s">
        <v>96</v>
      </c>
      <c r="R164" s="4" t="s">
        <v>96</v>
      </c>
      <c r="S164" s="4" t="s">
        <v>96</v>
      </c>
      <c r="T164" s="23" t="s">
        <v>96</v>
      </c>
    </row>
    <row r="165" spans="1:20" x14ac:dyDescent="0.3">
      <c r="A165" s="22" t="s">
        <v>5</v>
      </c>
      <c r="B165" s="1" t="s">
        <v>281</v>
      </c>
      <c r="C165" s="1" t="s">
        <v>133</v>
      </c>
      <c r="D165" s="1" t="s">
        <v>84</v>
      </c>
      <c r="E165" s="6"/>
      <c r="F165" s="6"/>
      <c r="G165" s="6"/>
      <c r="H165" s="7">
        <v>95</v>
      </c>
      <c r="I165" s="1" t="s">
        <v>77</v>
      </c>
      <c r="J165" s="1" t="s">
        <v>79</v>
      </c>
      <c r="K165" s="1" t="s">
        <v>6</v>
      </c>
      <c r="L165" s="2" t="s">
        <v>91</v>
      </c>
      <c r="M165" s="3" t="s">
        <v>101</v>
      </c>
      <c r="N165" s="2" t="s">
        <v>106</v>
      </c>
      <c r="O165" s="2" t="s">
        <v>118</v>
      </c>
      <c r="P165" s="4">
        <v>25</v>
      </c>
      <c r="Q165" s="4" t="s">
        <v>96</v>
      </c>
      <c r="R165" s="4" t="s">
        <v>96</v>
      </c>
      <c r="S165" s="4" t="s">
        <v>96</v>
      </c>
      <c r="T165" s="23" t="s">
        <v>96</v>
      </c>
    </row>
    <row r="166" spans="1:20" x14ac:dyDescent="0.3">
      <c r="A166" s="22" t="s">
        <v>5</v>
      </c>
      <c r="B166" s="1" t="s">
        <v>7</v>
      </c>
      <c r="C166" s="1" t="s">
        <v>133</v>
      </c>
      <c r="D166" s="1" t="s">
        <v>84</v>
      </c>
      <c r="E166" s="6">
        <v>870</v>
      </c>
      <c r="F166" s="6">
        <v>539.4</v>
      </c>
      <c r="G166" s="6">
        <v>330.6</v>
      </c>
      <c r="H166" s="7">
        <v>38</v>
      </c>
      <c r="I166" s="1" t="s">
        <v>77</v>
      </c>
      <c r="J166" s="1" t="s">
        <v>79</v>
      </c>
      <c r="K166" s="1" t="s">
        <v>8</v>
      </c>
      <c r="L166" s="2" t="s">
        <v>91</v>
      </c>
      <c r="M166" s="3" t="s">
        <v>101</v>
      </c>
      <c r="N166" s="2" t="s">
        <v>106</v>
      </c>
      <c r="O166" s="2" t="s">
        <v>118</v>
      </c>
      <c r="P166" s="4">
        <v>25</v>
      </c>
      <c r="Q166" s="4" t="s">
        <v>96</v>
      </c>
      <c r="R166" s="4" t="s">
        <v>96</v>
      </c>
      <c r="S166" s="4" t="s">
        <v>96</v>
      </c>
      <c r="T166" s="23" t="s">
        <v>96</v>
      </c>
    </row>
    <row r="167" spans="1:20" x14ac:dyDescent="0.3">
      <c r="A167" s="22" t="s">
        <v>5</v>
      </c>
      <c r="B167" s="1" t="s">
        <v>48</v>
      </c>
      <c r="C167" s="1" t="s">
        <v>133</v>
      </c>
      <c r="D167" s="1" t="s">
        <v>82</v>
      </c>
      <c r="E167" s="6">
        <v>53.1</v>
      </c>
      <c r="F167" s="6">
        <v>10.3</v>
      </c>
      <c r="G167" s="6">
        <v>42.8</v>
      </c>
      <c r="H167" s="7">
        <v>80.602636534839917</v>
      </c>
      <c r="I167" s="1" t="s">
        <v>77</v>
      </c>
      <c r="J167" s="1" t="s">
        <v>80</v>
      </c>
      <c r="K167" s="1" t="s">
        <v>47</v>
      </c>
      <c r="L167" s="2" t="s">
        <v>147</v>
      </c>
      <c r="M167" s="3" t="s">
        <v>107</v>
      </c>
      <c r="N167" s="2" t="s">
        <v>122</v>
      </c>
      <c r="O167" s="2" t="s">
        <v>119</v>
      </c>
      <c r="P167" s="4" t="s">
        <v>96</v>
      </c>
      <c r="Q167" s="4">
        <f>0.15*10000</f>
        <v>1500</v>
      </c>
      <c r="R167" s="4">
        <f>T167/1000*Q167</f>
        <v>993</v>
      </c>
      <c r="S167" s="4" t="s">
        <v>96</v>
      </c>
      <c r="T167" s="23">
        <f>874-521+309</f>
        <v>662</v>
      </c>
    </row>
    <row r="168" spans="1:20" x14ac:dyDescent="0.3">
      <c r="A168" s="22" t="s">
        <v>5</v>
      </c>
      <c r="B168" s="1" t="s">
        <v>48</v>
      </c>
      <c r="C168" s="1" t="s">
        <v>133</v>
      </c>
      <c r="D168" s="1" t="s">
        <v>181</v>
      </c>
      <c r="E168" s="6">
        <v>0.17</v>
      </c>
      <c r="F168" s="6">
        <v>0.65</v>
      </c>
      <c r="G168" s="6">
        <v>-0.48</v>
      </c>
      <c r="H168" s="7">
        <v>-282.35294117647055</v>
      </c>
      <c r="I168" s="1" t="s">
        <v>77</v>
      </c>
      <c r="J168" s="1" t="s">
        <v>80</v>
      </c>
      <c r="K168" s="1" t="s">
        <v>47</v>
      </c>
      <c r="L168" s="2" t="s">
        <v>147</v>
      </c>
      <c r="M168" s="3" t="s">
        <v>107</v>
      </c>
      <c r="N168" s="2" t="s">
        <v>122</v>
      </c>
      <c r="O168" s="2" t="s">
        <v>119</v>
      </c>
      <c r="P168" s="4" t="s">
        <v>96</v>
      </c>
      <c r="Q168" s="4">
        <f>0.15*10000</f>
        <v>1500</v>
      </c>
      <c r="R168" s="4">
        <f>T168/1000*Q168</f>
        <v>993</v>
      </c>
      <c r="S168" s="4" t="s">
        <v>96</v>
      </c>
      <c r="T168" s="23">
        <f>874-521+309</f>
        <v>662</v>
      </c>
    </row>
    <row r="169" spans="1:20" x14ac:dyDescent="0.3">
      <c r="A169" s="22" t="s">
        <v>5</v>
      </c>
      <c r="B169" s="1" t="s">
        <v>48</v>
      </c>
      <c r="C169" s="1" t="s">
        <v>133</v>
      </c>
      <c r="D169" s="1" t="s">
        <v>83</v>
      </c>
      <c r="E169" s="6">
        <v>1.06</v>
      </c>
      <c r="F169" s="6">
        <v>1.04</v>
      </c>
      <c r="G169" s="6">
        <v>0.02</v>
      </c>
      <c r="H169" s="7">
        <v>1.8867924528301887</v>
      </c>
      <c r="I169" s="1" t="s">
        <v>77</v>
      </c>
      <c r="J169" s="1" t="s">
        <v>80</v>
      </c>
      <c r="K169" s="1" t="s">
        <v>47</v>
      </c>
      <c r="L169" s="2" t="s">
        <v>147</v>
      </c>
      <c r="M169" s="3" t="s">
        <v>107</v>
      </c>
      <c r="N169" s="2" t="s">
        <v>122</v>
      </c>
      <c r="O169" s="2" t="s">
        <v>119</v>
      </c>
      <c r="P169" s="4" t="s">
        <v>96</v>
      </c>
      <c r="Q169" s="4">
        <f>0.15*10000</f>
        <v>1500</v>
      </c>
      <c r="R169" s="4">
        <f>T169/1000*Q169</f>
        <v>993</v>
      </c>
      <c r="S169" s="4" t="s">
        <v>96</v>
      </c>
      <c r="T169" s="23">
        <f>874-521+309</f>
        <v>662</v>
      </c>
    </row>
    <row r="170" spans="1:20" x14ac:dyDescent="0.3">
      <c r="A170" s="22" t="s">
        <v>5</v>
      </c>
      <c r="B170" s="1" t="s">
        <v>9</v>
      </c>
      <c r="C170" s="1" t="s">
        <v>133</v>
      </c>
      <c r="D170" s="1" t="s">
        <v>84</v>
      </c>
      <c r="E170" s="6">
        <v>150</v>
      </c>
      <c r="F170" s="6">
        <v>55.5</v>
      </c>
      <c r="G170" s="6">
        <v>94.5</v>
      </c>
      <c r="H170" s="7">
        <v>63</v>
      </c>
      <c r="I170" s="1" t="s">
        <v>77</v>
      </c>
      <c r="J170" s="1" t="s">
        <v>80</v>
      </c>
      <c r="K170" s="1" t="s">
        <v>8</v>
      </c>
      <c r="L170" s="2" t="s">
        <v>91</v>
      </c>
      <c r="M170" s="3" t="s">
        <v>101</v>
      </c>
      <c r="N170" s="2" t="s">
        <v>106</v>
      </c>
      <c r="O170" s="2" t="s">
        <v>118</v>
      </c>
      <c r="P170" s="4">
        <v>25</v>
      </c>
      <c r="Q170" s="4" t="s">
        <v>96</v>
      </c>
      <c r="R170" s="4" t="s">
        <v>96</v>
      </c>
      <c r="S170" s="4" t="s">
        <v>96</v>
      </c>
      <c r="T170" s="23" t="s">
        <v>96</v>
      </c>
    </row>
    <row r="171" spans="1:20" x14ac:dyDescent="0.3">
      <c r="A171" s="22" t="s">
        <v>5</v>
      </c>
      <c r="B171" s="1" t="s">
        <v>216</v>
      </c>
      <c r="C171" s="1" t="s">
        <v>133</v>
      </c>
      <c r="D171" s="1" t="s">
        <v>82</v>
      </c>
      <c r="E171" s="6">
        <v>41.18</v>
      </c>
      <c r="F171" s="6">
        <v>3.04</v>
      </c>
      <c r="G171" s="6">
        <v>38.14</v>
      </c>
      <c r="H171" s="7">
        <v>92.617775619232631</v>
      </c>
      <c r="I171" s="1" t="s">
        <v>77</v>
      </c>
      <c r="J171" s="1" t="s">
        <v>80</v>
      </c>
      <c r="K171" s="1" t="s">
        <v>45</v>
      </c>
      <c r="L171" s="2" t="s">
        <v>126</v>
      </c>
      <c r="M171" s="3" t="s">
        <v>127</v>
      </c>
      <c r="N171" s="2" t="s">
        <v>122</v>
      </c>
      <c r="O171" s="2" t="s">
        <v>123</v>
      </c>
      <c r="P171" s="4" t="s">
        <v>96</v>
      </c>
      <c r="Q171" s="4" t="s">
        <v>96</v>
      </c>
      <c r="R171" s="4" t="s">
        <v>96</v>
      </c>
      <c r="S171" s="4" t="s">
        <v>96</v>
      </c>
      <c r="T171" s="23">
        <f>48+124+798</f>
        <v>970</v>
      </c>
    </row>
    <row r="172" spans="1:20" x14ac:dyDescent="0.3">
      <c r="A172" s="22" t="s">
        <v>5</v>
      </c>
      <c r="B172" s="1" t="s">
        <v>216</v>
      </c>
      <c r="C172" s="1" t="s">
        <v>133</v>
      </c>
      <c r="D172" s="1" t="s">
        <v>83</v>
      </c>
      <c r="E172" s="6">
        <v>2.2799999999999998</v>
      </c>
      <c r="F172" s="6">
        <v>0.7</v>
      </c>
      <c r="G172" s="6">
        <v>1.5799999999999998</v>
      </c>
      <c r="H172" s="7">
        <v>69.298245614035096</v>
      </c>
      <c r="I172" s="1" t="s">
        <v>77</v>
      </c>
      <c r="J172" s="1" t="s">
        <v>80</v>
      </c>
      <c r="K172" s="1" t="s">
        <v>45</v>
      </c>
      <c r="L172" s="2" t="s">
        <v>126</v>
      </c>
      <c r="M172" s="3" t="s">
        <v>127</v>
      </c>
      <c r="N172" s="2" t="s">
        <v>122</v>
      </c>
      <c r="O172" s="2" t="s">
        <v>123</v>
      </c>
      <c r="P172" s="4" t="s">
        <v>96</v>
      </c>
      <c r="Q172" s="4" t="s">
        <v>96</v>
      </c>
      <c r="R172" s="4" t="s">
        <v>96</v>
      </c>
      <c r="S172" s="4" t="s">
        <v>96</v>
      </c>
      <c r="T172" s="23">
        <f>48+124+798</f>
        <v>970</v>
      </c>
    </row>
    <row r="173" spans="1:20" x14ac:dyDescent="0.3">
      <c r="A173" s="22" t="s">
        <v>5</v>
      </c>
      <c r="B173" s="1" t="s">
        <v>217</v>
      </c>
      <c r="C173" s="1" t="s">
        <v>133</v>
      </c>
      <c r="D173" s="1" t="s">
        <v>82</v>
      </c>
      <c r="E173" s="6">
        <v>42.59</v>
      </c>
      <c r="F173" s="6">
        <v>0.63</v>
      </c>
      <c r="G173" s="6">
        <v>41.96</v>
      </c>
      <c r="H173" s="7">
        <v>98.520779525710253</v>
      </c>
      <c r="I173" s="1" t="s">
        <v>77</v>
      </c>
      <c r="J173" s="1" t="s">
        <v>80</v>
      </c>
      <c r="K173" s="1" t="s">
        <v>45</v>
      </c>
      <c r="L173" s="2" t="s">
        <v>148</v>
      </c>
      <c r="M173" s="3" t="s">
        <v>127</v>
      </c>
      <c r="N173" s="2" t="s">
        <v>149</v>
      </c>
      <c r="O173" s="2" t="s">
        <v>123</v>
      </c>
      <c r="P173" s="4" t="s">
        <v>96</v>
      </c>
      <c r="Q173" s="4" t="s">
        <v>96</v>
      </c>
      <c r="R173" s="4" t="s">
        <v>96</v>
      </c>
      <c r="S173" s="4" t="s">
        <v>96</v>
      </c>
      <c r="T173" s="23">
        <f>172+798</f>
        <v>970</v>
      </c>
    </row>
    <row r="174" spans="1:20" x14ac:dyDescent="0.3">
      <c r="A174" s="22" t="s">
        <v>5</v>
      </c>
      <c r="B174" s="1" t="s">
        <v>217</v>
      </c>
      <c r="C174" s="1" t="s">
        <v>133</v>
      </c>
      <c r="D174" s="1" t="s">
        <v>83</v>
      </c>
      <c r="E174" s="6">
        <v>1.61</v>
      </c>
      <c r="F174" s="6">
        <v>0.12</v>
      </c>
      <c r="G174" s="6">
        <v>1.4900000000000002</v>
      </c>
      <c r="H174" s="7">
        <v>92.546583850931682</v>
      </c>
      <c r="I174" s="1" t="s">
        <v>77</v>
      </c>
      <c r="J174" s="1" t="s">
        <v>80</v>
      </c>
      <c r="K174" s="1" t="s">
        <v>45</v>
      </c>
      <c r="L174" s="2" t="s">
        <v>148</v>
      </c>
      <c r="M174" s="3" t="s">
        <v>127</v>
      </c>
      <c r="N174" s="2" t="s">
        <v>149</v>
      </c>
      <c r="O174" s="2" t="s">
        <v>123</v>
      </c>
      <c r="P174" s="4" t="s">
        <v>96</v>
      </c>
      <c r="Q174" s="4" t="s">
        <v>96</v>
      </c>
      <c r="R174" s="4" t="s">
        <v>96</v>
      </c>
      <c r="S174" s="4" t="s">
        <v>96</v>
      </c>
      <c r="T174" s="23">
        <f>172+798</f>
        <v>970</v>
      </c>
    </row>
    <row r="175" spans="1:20" x14ac:dyDescent="0.3">
      <c r="A175" s="22" t="s">
        <v>5</v>
      </c>
      <c r="B175" s="1" t="s">
        <v>46</v>
      </c>
      <c r="C175" s="1" t="s">
        <v>133</v>
      </c>
      <c r="D175" s="1" t="s">
        <v>82</v>
      </c>
      <c r="E175" s="6">
        <v>75.599999999999994</v>
      </c>
      <c r="F175" s="6">
        <v>21.2</v>
      </c>
      <c r="G175" s="6">
        <v>54.399999999999991</v>
      </c>
      <c r="H175" s="7">
        <v>71.957671957671948</v>
      </c>
      <c r="I175" s="1" t="s">
        <v>77</v>
      </c>
      <c r="J175" s="1" t="s">
        <v>80</v>
      </c>
      <c r="K175" s="1" t="s">
        <v>47</v>
      </c>
      <c r="L175" s="2" t="s">
        <v>91</v>
      </c>
      <c r="M175" s="3" t="s">
        <v>101</v>
      </c>
      <c r="N175" s="2" t="s">
        <v>112</v>
      </c>
      <c r="O175" s="2" t="s">
        <v>116</v>
      </c>
      <c r="P175" s="4" t="s">
        <v>96</v>
      </c>
      <c r="Q175" s="4">
        <f>0.32*10000</f>
        <v>3200</v>
      </c>
      <c r="R175" s="4">
        <f>T175/1000*Q175</f>
        <v>4537.5999999999995</v>
      </c>
      <c r="S175" s="4" t="s">
        <v>96</v>
      </c>
      <c r="T175" s="23">
        <f>865-563+1001+115</f>
        <v>1418</v>
      </c>
    </row>
    <row r="176" spans="1:20" x14ac:dyDescent="0.3">
      <c r="A176" s="22" t="s">
        <v>5</v>
      </c>
      <c r="B176" s="1" t="s">
        <v>46</v>
      </c>
      <c r="C176" s="1" t="s">
        <v>133</v>
      </c>
      <c r="D176" s="1" t="s">
        <v>181</v>
      </c>
      <c r="E176" s="6">
        <v>0.55000000000000004</v>
      </c>
      <c r="F176" s="6">
        <v>0.39</v>
      </c>
      <c r="G176" s="6">
        <v>0.16</v>
      </c>
      <c r="H176" s="7">
        <v>29.09090909090909</v>
      </c>
      <c r="I176" s="1" t="s">
        <v>77</v>
      </c>
      <c r="J176" s="1" t="s">
        <v>80</v>
      </c>
      <c r="K176" s="1" t="s">
        <v>47</v>
      </c>
      <c r="L176" s="2" t="s">
        <v>91</v>
      </c>
      <c r="M176" s="3" t="s">
        <v>101</v>
      </c>
      <c r="N176" s="2" t="s">
        <v>112</v>
      </c>
      <c r="O176" s="2" t="s">
        <v>116</v>
      </c>
      <c r="P176" s="4" t="s">
        <v>96</v>
      </c>
      <c r="Q176" s="4">
        <f>0.32*10000</f>
        <v>3200</v>
      </c>
      <c r="R176" s="4">
        <f>T176/1000*Q176</f>
        <v>4537.5999999999995</v>
      </c>
      <c r="S176" s="4" t="s">
        <v>96</v>
      </c>
      <c r="T176" s="23">
        <f>865-563+1001+115</f>
        <v>1418</v>
      </c>
    </row>
    <row r="177" spans="1:20" x14ac:dyDescent="0.3">
      <c r="A177" s="22" t="s">
        <v>5</v>
      </c>
      <c r="B177" s="1" t="s">
        <v>46</v>
      </c>
      <c r="C177" s="1" t="s">
        <v>133</v>
      </c>
      <c r="D177" s="1" t="s">
        <v>83</v>
      </c>
      <c r="E177" s="6">
        <v>1.27</v>
      </c>
      <c r="F177" s="6">
        <v>0.68</v>
      </c>
      <c r="G177" s="6">
        <v>0.59</v>
      </c>
      <c r="H177" s="7">
        <v>46.456692913385822</v>
      </c>
      <c r="I177" s="1" t="s">
        <v>77</v>
      </c>
      <c r="J177" s="1" t="s">
        <v>80</v>
      </c>
      <c r="K177" s="1" t="s">
        <v>47</v>
      </c>
      <c r="L177" s="2" t="s">
        <v>91</v>
      </c>
      <c r="M177" s="3" t="s">
        <v>101</v>
      </c>
      <c r="N177" s="2" t="s">
        <v>112</v>
      </c>
      <c r="O177" s="2" t="s">
        <v>116</v>
      </c>
      <c r="P177" s="4" t="s">
        <v>96</v>
      </c>
      <c r="Q177" s="4">
        <f>0.32*10000</f>
        <v>3200</v>
      </c>
      <c r="R177" s="4">
        <f>T177/1000*Q177</f>
        <v>4537.5999999999995</v>
      </c>
      <c r="S177" s="4" t="s">
        <v>96</v>
      </c>
      <c r="T177" s="23">
        <f>865-563+1001+115</f>
        <v>1418</v>
      </c>
    </row>
    <row r="178" spans="1:20" x14ac:dyDescent="0.3">
      <c r="A178" s="22" t="s">
        <v>11</v>
      </c>
      <c r="B178" s="1" t="s">
        <v>220</v>
      </c>
      <c r="C178" s="1" t="s">
        <v>134</v>
      </c>
      <c r="D178" s="1" t="s">
        <v>84</v>
      </c>
      <c r="E178" s="6"/>
      <c r="F178" s="6"/>
      <c r="G178" s="6"/>
      <c r="H178" s="7">
        <v>91</v>
      </c>
      <c r="I178" s="1" t="s">
        <v>77</v>
      </c>
      <c r="J178" s="1" t="s">
        <v>10</v>
      </c>
      <c r="K178" s="1" t="s">
        <v>12</v>
      </c>
      <c r="L178" s="2" t="s">
        <v>91</v>
      </c>
      <c r="M178" s="3" t="s">
        <v>101</v>
      </c>
      <c r="N178" s="2" t="s">
        <v>106</v>
      </c>
      <c r="O178" s="2" t="s">
        <v>118</v>
      </c>
      <c r="P178" s="4">
        <v>9</v>
      </c>
      <c r="Q178" s="4" t="s">
        <v>96</v>
      </c>
      <c r="R178" s="4" t="s">
        <v>96</v>
      </c>
      <c r="S178" s="4" t="s">
        <v>96</v>
      </c>
      <c r="T178" s="23" t="s">
        <v>96</v>
      </c>
    </row>
    <row r="179" spans="1:20" x14ac:dyDescent="0.3">
      <c r="A179" s="22" t="s">
        <v>11</v>
      </c>
      <c r="B179" s="1" t="s">
        <v>220</v>
      </c>
      <c r="C179" s="1" t="s">
        <v>134</v>
      </c>
      <c r="D179" s="1" t="s">
        <v>84</v>
      </c>
      <c r="E179" s="6"/>
      <c r="F179" s="6"/>
      <c r="G179" s="6"/>
      <c r="H179" s="7">
        <v>30</v>
      </c>
      <c r="I179" s="1" t="s">
        <v>13</v>
      </c>
      <c r="J179" s="1" t="s">
        <v>10</v>
      </c>
      <c r="K179" s="1" t="s">
        <v>12</v>
      </c>
      <c r="L179" s="2" t="s">
        <v>91</v>
      </c>
      <c r="M179" s="3" t="s">
        <v>101</v>
      </c>
      <c r="N179" s="2" t="s">
        <v>106</v>
      </c>
      <c r="O179" s="2" t="s">
        <v>118</v>
      </c>
      <c r="P179" s="4">
        <v>9</v>
      </c>
      <c r="Q179" s="4" t="s">
        <v>96</v>
      </c>
      <c r="R179" s="4" t="s">
        <v>96</v>
      </c>
      <c r="S179" s="4" t="s">
        <v>96</v>
      </c>
      <c r="T179" s="23" t="s">
        <v>96</v>
      </c>
    </row>
    <row r="180" spans="1:20" x14ac:dyDescent="0.3">
      <c r="A180" s="22" t="s">
        <v>67</v>
      </c>
      <c r="B180" s="1" t="s">
        <v>68</v>
      </c>
      <c r="C180" s="1" t="s">
        <v>138</v>
      </c>
      <c r="D180" s="1" t="s">
        <v>82</v>
      </c>
      <c r="E180" s="6">
        <v>9.8000000000000007</v>
      </c>
      <c r="F180" s="6">
        <v>0.4</v>
      </c>
      <c r="G180" s="6">
        <v>9.4</v>
      </c>
      <c r="H180" s="7">
        <v>95.918367346938766</v>
      </c>
      <c r="I180" s="1" t="s">
        <v>77</v>
      </c>
      <c r="J180" s="1" t="s">
        <v>80</v>
      </c>
      <c r="K180" s="1" t="s">
        <v>66</v>
      </c>
      <c r="L180" s="2" t="s">
        <v>175</v>
      </c>
      <c r="M180" s="3" t="s">
        <v>101</v>
      </c>
      <c r="N180" s="2" t="s">
        <v>106</v>
      </c>
      <c r="O180" s="2" t="s">
        <v>118</v>
      </c>
      <c r="P180" s="4" t="s">
        <v>96</v>
      </c>
      <c r="Q180" s="4" t="s">
        <v>96</v>
      </c>
      <c r="R180" s="4" t="s">
        <v>96</v>
      </c>
      <c r="S180" s="4" t="s">
        <v>96</v>
      </c>
      <c r="T180" s="23" t="s">
        <v>96</v>
      </c>
    </row>
    <row r="181" spans="1:20" x14ac:dyDescent="0.3">
      <c r="A181" s="22" t="s">
        <v>67</v>
      </c>
      <c r="B181" s="1" t="s">
        <v>68</v>
      </c>
      <c r="C181" s="1" t="s">
        <v>138</v>
      </c>
      <c r="D181" s="1" t="s">
        <v>83</v>
      </c>
      <c r="E181" s="6">
        <v>0.22</v>
      </c>
      <c r="F181" s="6">
        <v>0.02</v>
      </c>
      <c r="G181" s="6">
        <v>0.2</v>
      </c>
      <c r="H181" s="7">
        <v>90.909090909090921</v>
      </c>
      <c r="I181" s="1" t="s">
        <v>77</v>
      </c>
      <c r="J181" s="1" t="s">
        <v>80</v>
      </c>
      <c r="K181" s="1" t="s">
        <v>66</v>
      </c>
      <c r="L181" s="2" t="s">
        <v>175</v>
      </c>
      <c r="M181" s="3" t="s">
        <v>101</v>
      </c>
      <c r="N181" s="2" t="s">
        <v>106</v>
      </c>
      <c r="O181" s="2" t="s">
        <v>118</v>
      </c>
      <c r="P181" s="4" t="s">
        <v>96</v>
      </c>
      <c r="Q181" s="4" t="s">
        <v>96</v>
      </c>
      <c r="R181" s="4" t="s">
        <v>96</v>
      </c>
      <c r="S181" s="4" t="s">
        <v>96</v>
      </c>
      <c r="T181" s="23" t="s">
        <v>96</v>
      </c>
    </row>
    <row r="182" spans="1:20" x14ac:dyDescent="0.3">
      <c r="A182" s="22" t="s">
        <v>49</v>
      </c>
      <c r="B182" s="1" t="s">
        <v>50</v>
      </c>
      <c r="C182" s="1" t="s">
        <v>134</v>
      </c>
      <c r="D182" s="1" t="s">
        <v>83</v>
      </c>
      <c r="E182" s="6">
        <v>0.61111111111111116</v>
      </c>
      <c r="F182" s="6">
        <v>0.39111111111111119</v>
      </c>
      <c r="G182" s="6">
        <v>0.22</v>
      </c>
      <c r="H182" s="7">
        <v>36</v>
      </c>
      <c r="I182" s="1" t="s">
        <v>13</v>
      </c>
      <c r="J182" s="1" t="s">
        <v>10</v>
      </c>
      <c r="K182" s="1" t="s">
        <v>51</v>
      </c>
      <c r="L182" s="2" t="s">
        <v>104</v>
      </c>
      <c r="M182" s="3" t="s">
        <v>102</v>
      </c>
      <c r="N182" s="2" t="s">
        <v>122</v>
      </c>
      <c r="O182" s="2" t="s">
        <v>123</v>
      </c>
      <c r="P182" s="4">
        <v>73</v>
      </c>
      <c r="Q182" s="4">
        <f>0.08*10000</f>
        <v>800</v>
      </c>
      <c r="R182" s="4">
        <f t="shared" ref="R182:R190" si="23">T182/1000*Q182</f>
        <v>48000</v>
      </c>
      <c r="S182" s="4">
        <v>26</v>
      </c>
      <c r="T182" s="23">
        <f>60*1000</f>
        <v>60000</v>
      </c>
    </row>
    <row r="183" spans="1:20" x14ac:dyDescent="0.3">
      <c r="A183" s="22" t="s">
        <v>49</v>
      </c>
      <c r="B183" s="1" t="s">
        <v>53</v>
      </c>
      <c r="C183" s="1" t="s">
        <v>135</v>
      </c>
      <c r="D183" s="1" t="s">
        <v>84</v>
      </c>
      <c r="E183" s="6">
        <v>324</v>
      </c>
      <c r="F183" s="6">
        <v>234</v>
      </c>
      <c r="G183" s="6">
        <v>90</v>
      </c>
      <c r="H183" s="7">
        <v>27.777777777777779</v>
      </c>
      <c r="I183" s="1" t="s">
        <v>77</v>
      </c>
      <c r="J183" s="1" t="s">
        <v>10</v>
      </c>
      <c r="K183" s="1" t="s">
        <v>54</v>
      </c>
      <c r="L183" s="2" t="s">
        <v>131</v>
      </c>
      <c r="M183" s="3" t="s">
        <v>102</v>
      </c>
      <c r="N183" s="2" t="s">
        <v>176</v>
      </c>
      <c r="O183" s="2" t="s">
        <v>117</v>
      </c>
      <c r="P183" s="4" t="s">
        <v>96</v>
      </c>
      <c r="Q183" s="4">
        <f>6*10000</f>
        <v>60000</v>
      </c>
      <c r="R183" s="4">
        <f t="shared" si="23"/>
        <v>1476000</v>
      </c>
      <c r="S183" s="4" t="s">
        <v>96</v>
      </c>
      <c r="T183" s="23">
        <f>AVERAGE(1200,2900)*12</f>
        <v>24600</v>
      </c>
    </row>
    <row r="184" spans="1:20" x14ac:dyDescent="0.3">
      <c r="A184" s="22" t="s">
        <v>49</v>
      </c>
      <c r="B184" s="1" t="s">
        <v>53</v>
      </c>
      <c r="C184" s="1" t="s">
        <v>135</v>
      </c>
      <c r="D184" s="1" t="s">
        <v>85</v>
      </c>
      <c r="E184" s="6">
        <v>12</v>
      </c>
      <c r="F184" s="6">
        <v>81</v>
      </c>
      <c r="G184" s="6">
        <v>-69</v>
      </c>
      <c r="H184" s="7">
        <v>-575</v>
      </c>
      <c r="I184" s="1" t="s">
        <v>77</v>
      </c>
      <c r="J184" s="1" t="s">
        <v>10</v>
      </c>
      <c r="K184" s="1" t="s">
        <v>54</v>
      </c>
      <c r="L184" s="2" t="s">
        <v>131</v>
      </c>
      <c r="M184" s="3" t="s">
        <v>102</v>
      </c>
      <c r="N184" s="2" t="s">
        <v>176</v>
      </c>
      <c r="O184" s="2" t="s">
        <v>117</v>
      </c>
      <c r="P184" s="4" t="s">
        <v>96</v>
      </c>
      <c r="Q184" s="4">
        <f>6*10000</f>
        <v>60000</v>
      </c>
      <c r="R184" s="4">
        <f t="shared" si="23"/>
        <v>1476000</v>
      </c>
      <c r="S184" s="4" t="s">
        <v>96</v>
      </c>
      <c r="T184" s="23">
        <f>AVERAGE(1200,2900)*12</f>
        <v>24600</v>
      </c>
    </row>
    <row r="185" spans="1:20" x14ac:dyDescent="0.3">
      <c r="A185" s="22" t="s">
        <v>49</v>
      </c>
      <c r="B185" s="1" t="s">
        <v>53</v>
      </c>
      <c r="C185" s="1" t="s">
        <v>135</v>
      </c>
      <c r="D185" s="1" t="s">
        <v>89</v>
      </c>
      <c r="E185" s="8">
        <v>144</v>
      </c>
      <c r="F185" s="8">
        <v>165</v>
      </c>
      <c r="G185" s="8">
        <v>-21</v>
      </c>
      <c r="H185" s="7">
        <v>-14.583333333333334</v>
      </c>
      <c r="I185" s="1" t="s">
        <v>77</v>
      </c>
      <c r="J185" s="1" t="s">
        <v>10</v>
      </c>
      <c r="K185" s="1" t="s">
        <v>54</v>
      </c>
      <c r="L185" s="2" t="s">
        <v>131</v>
      </c>
      <c r="M185" s="3" t="s">
        <v>102</v>
      </c>
      <c r="N185" s="2" t="s">
        <v>176</v>
      </c>
      <c r="O185" s="2" t="s">
        <v>117</v>
      </c>
      <c r="P185" s="4" t="s">
        <v>96</v>
      </c>
      <c r="Q185" s="4">
        <f>6*10000</f>
        <v>60000</v>
      </c>
      <c r="R185" s="4">
        <f t="shared" si="23"/>
        <v>1476000</v>
      </c>
      <c r="S185" s="4" t="s">
        <v>96</v>
      </c>
      <c r="T185" s="23">
        <f>AVERAGE(1200,2900)*12</f>
        <v>24600</v>
      </c>
    </row>
    <row r="186" spans="1:20" x14ac:dyDescent="0.3">
      <c r="A186" s="22" t="s">
        <v>49</v>
      </c>
      <c r="B186" s="1" t="s">
        <v>53</v>
      </c>
      <c r="C186" s="1" t="s">
        <v>135</v>
      </c>
      <c r="D186" s="1" t="s">
        <v>82</v>
      </c>
      <c r="E186" s="6">
        <v>480</v>
      </c>
      <c r="F186" s="6">
        <v>480</v>
      </c>
      <c r="G186" s="6">
        <v>0</v>
      </c>
      <c r="H186" s="7">
        <v>0</v>
      </c>
      <c r="I186" s="1" t="s">
        <v>77</v>
      </c>
      <c r="J186" s="1" t="s">
        <v>10</v>
      </c>
      <c r="K186" s="1" t="s">
        <v>54</v>
      </c>
      <c r="L186" s="2" t="s">
        <v>131</v>
      </c>
      <c r="M186" s="3" t="s">
        <v>102</v>
      </c>
      <c r="N186" s="2" t="s">
        <v>176</v>
      </c>
      <c r="O186" s="2" t="s">
        <v>117</v>
      </c>
      <c r="P186" s="4" t="s">
        <v>96</v>
      </c>
      <c r="Q186" s="4">
        <f>6*10000</f>
        <v>60000</v>
      </c>
      <c r="R186" s="4">
        <f t="shared" si="23"/>
        <v>1476000</v>
      </c>
      <c r="S186" s="4" t="s">
        <v>96</v>
      </c>
      <c r="T186" s="23">
        <f>AVERAGE(1200,2900)*12</f>
        <v>24600</v>
      </c>
    </row>
    <row r="187" spans="1:20" x14ac:dyDescent="0.3">
      <c r="A187" s="22" t="s">
        <v>49</v>
      </c>
      <c r="B187" s="1" t="s">
        <v>53</v>
      </c>
      <c r="C187" s="1" t="s">
        <v>135</v>
      </c>
      <c r="D187" s="1" t="s">
        <v>89</v>
      </c>
      <c r="E187" s="8">
        <v>180</v>
      </c>
      <c r="F187" s="8">
        <v>180</v>
      </c>
      <c r="G187" s="8">
        <v>0</v>
      </c>
      <c r="H187" s="7">
        <v>0</v>
      </c>
      <c r="I187" s="1" t="s">
        <v>77</v>
      </c>
      <c r="J187" s="1" t="s">
        <v>10</v>
      </c>
      <c r="K187" s="1" t="s">
        <v>54</v>
      </c>
      <c r="L187" s="2" t="s">
        <v>131</v>
      </c>
      <c r="M187" s="3" t="s">
        <v>102</v>
      </c>
      <c r="N187" s="2" t="s">
        <v>176</v>
      </c>
      <c r="O187" s="2" t="s">
        <v>117</v>
      </c>
      <c r="P187" s="4" t="s">
        <v>96</v>
      </c>
      <c r="Q187" s="4">
        <f>5*10000</f>
        <v>50000</v>
      </c>
      <c r="R187" s="4">
        <f t="shared" si="23"/>
        <v>1860000.0000000002</v>
      </c>
      <c r="S187" s="4" t="s">
        <v>96</v>
      </c>
      <c r="T187" s="23">
        <f>AVERAGE(2000,4200)*12</f>
        <v>37200</v>
      </c>
    </row>
    <row r="188" spans="1:20" x14ac:dyDescent="0.3">
      <c r="A188" s="22" t="s">
        <v>49</v>
      </c>
      <c r="B188" s="1" t="s">
        <v>55</v>
      </c>
      <c r="C188" s="1" t="s">
        <v>135</v>
      </c>
      <c r="D188" s="1" t="s">
        <v>84</v>
      </c>
      <c r="E188" s="6">
        <v>504</v>
      </c>
      <c r="F188" s="6">
        <v>324</v>
      </c>
      <c r="G188" s="6">
        <v>180</v>
      </c>
      <c r="H188" s="7">
        <v>35.714285714285715</v>
      </c>
      <c r="I188" s="1" t="s">
        <v>77</v>
      </c>
      <c r="J188" s="1" t="s">
        <v>10</v>
      </c>
      <c r="K188" s="1" t="s">
        <v>54</v>
      </c>
      <c r="L188" s="2" t="s">
        <v>131</v>
      </c>
      <c r="M188" s="3" t="s">
        <v>102</v>
      </c>
      <c r="N188" s="2" t="s">
        <v>176</v>
      </c>
      <c r="O188" s="2" t="s">
        <v>117</v>
      </c>
      <c r="P188" s="4" t="s">
        <v>96</v>
      </c>
      <c r="Q188" s="4">
        <f>5*10000</f>
        <v>50000</v>
      </c>
      <c r="R188" s="4">
        <f t="shared" si="23"/>
        <v>1860000.0000000002</v>
      </c>
      <c r="S188" s="4" t="s">
        <v>96</v>
      </c>
      <c r="T188" s="23">
        <f>AVERAGE(2000,4200)*12</f>
        <v>37200</v>
      </c>
    </row>
    <row r="189" spans="1:20" x14ac:dyDescent="0.3">
      <c r="A189" s="22" t="s">
        <v>49</v>
      </c>
      <c r="B189" s="1" t="s">
        <v>55</v>
      </c>
      <c r="C189" s="1" t="s">
        <v>135</v>
      </c>
      <c r="D189" s="1" t="s">
        <v>85</v>
      </c>
      <c r="E189" s="6">
        <v>18</v>
      </c>
      <c r="F189" s="6">
        <v>108</v>
      </c>
      <c r="G189" s="6">
        <v>-90</v>
      </c>
      <c r="H189" s="7">
        <v>-500</v>
      </c>
      <c r="I189" s="1" t="s">
        <v>77</v>
      </c>
      <c r="J189" s="1" t="s">
        <v>10</v>
      </c>
      <c r="K189" s="1" t="s">
        <v>54</v>
      </c>
      <c r="L189" s="2" t="s">
        <v>131</v>
      </c>
      <c r="M189" s="3" t="s">
        <v>102</v>
      </c>
      <c r="N189" s="2" t="s">
        <v>176</v>
      </c>
      <c r="O189" s="2" t="s">
        <v>117</v>
      </c>
      <c r="P189" s="4" t="s">
        <v>96</v>
      </c>
      <c r="Q189" s="4">
        <f>5*10000</f>
        <v>50000</v>
      </c>
      <c r="R189" s="4">
        <f t="shared" si="23"/>
        <v>1860000.0000000002</v>
      </c>
      <c r="S189" s="4" t="s">
        <v>96</v>
      </c>
      <c r="T189" s="23">
        <f>AVERAGE(2000,4200)*12</f>
        <v>37200</v>
      </c>
    </row>
    <row r="190" spans="1:20" x14ac:dyDescent="0.3">
      <c r="A190" s="22" t="s">
        <v>49</v>
      </c>
      <c r="B190" s="1" t="s">
        <v>55</v>
      </c>
      <c r="C190" s="1" t="s">
        <v>135</v>
      </c>
      <c r="D190" s="1" t="s">
        <v>82</v>
      </c>
      <c r="E190" s="6">
        <v>702</v>
      </c>
      <c r="F190" s="6">
        <v>612</v>
      </c>
      <c r="G190" s="6">
        <v>90</v>
      </c>
      <c r="H190" s="7">
        <v>12.820512820512819</v>
      </c>
      <c r="I190" s="1" t="s">
        <v>77</v>
      </c>
      <c r="J190" s="1" t="s">
        <v>10</v>
      </c>
      <c r="K190" s="1" t="s">
        <v>54</v>
      </c>
      <c r="L190" s="2" t="s">
        <v>131</v>
      </c>
      <c r="M190" s="3" t="s">
        <v>102</v>
      </c>
      <c r="N190" s="2" t="s">
        <v>176</v>
      </c>
      <c r="O190" s="2" t="s">
        <v>117</v>
      </c>
      <c r="P190" s="4" t="s">
        <v>96</v>
      </c>
      <c r="Q190" s="4">
        <f>5*10000</f>
        <v>50000</v>
      </c>
      <c r="R190" s="4">
        <f t="shared" si="23"/>
        <v>1860000.0000000002</v>
      </c>
      <c r="S190" s="4" t="s">
        <v>96</v>
      </c>
      <c r="T190" s="23">
        <f>AVERAGE(2000,4200)*12</f>
        <v>37200</v>
      </c>
    </row>
    <row r="191" spans="1:20" x14ac:dyDescent="0.3">
      <c r="A191" s="22" t="s">
        <v>17</v>
      </c>
      <c r="B191" s="1" t="s">
        <v>179</v>
      </c>
      <c r="C191" s="1" t="s">
        <v>135</v>
      </c>
      <c r="D191" s="1" t="s">
        <v>84</v>
      </c>
      <c r="E191" s="6">
        <v>85.3</v>
      </c>
      <c r="F191" s="6">
        <v>19.7</v>
      </c>
      <c r="G191" s="6">
        <f>E191-F191</f>
        <v>65.599999999999994</v>
      </c>
      <c r="H191" s="7">
        <f>G191/E191*100</f>
        <v>76.905041031652985</v>
      </c>
      <c r="I191" s="1" t="s">
        <v>13</v>
      </c>
      <c r="J191" s="1" t="s">
        <v>80</v>
      </c>
      <c r="K191" s="1" t="s">
        <v>75</v>
      </c>
      <c r="L191" s="2" t="s">
        <v>143</v>
      </c>
      <c r="M191" s="3" t="s">
        <v>107</v>
      </c>
      <c r="N191" s="2" t="s">
        <v>178</v>
      </c>
      <c r="O191" s="2" t="s">
        <v>119</v>
      </c>
      <c r="P191" s="4" t="s">
        <v>96</v>
      </c>
      <c r="Q191" s="4">
        <f>260*1000*1000</f>
        <v>260000000</v>
      </c>
      <c r="R191" s="4" t="s">
        <v>96</v>
      </c>
      <c r="S191" s="4" t="s">
        <v>96</v>
      </c>
      <c r="T191" s="23" t="s">
        <v>96</v>
      </c>
    </row>
    <row r="192" spans="1:20" x14ac:dyDescent="0.3">
      <c r="A192" s="22" t="s">
        <v>17</v>
      </c>
      <c r="B192" s="1" t="s">
        <v>26</v>
      </c>
      <c r="C192" s="1" t="s">
        <v>134</v>
      </c>
      <c r="D192" s="1" t="s">
        <v>83</v>
      </c>
      <c r="E192" s="6"/>
      <c r="F192" s="6"/>
      <c r="G192" s="6"/>
      <c r="H192" s="7">
        <v>-49</v>
      </c>
      <c r="I192" s="1" t="s">
        <v>13</v>
      </c>
      <c r="J192" s="1" t="s">
        <v>10</v>
      </c>
      <c r="K192" s="1" t="s">
        <v>27</v>
      </c>
      <c r="L192" s="2" t="s">
        <v>91</v>
      </c>
      <c r="M192" s="3" t="s">
        <v>101</v>
      </c>
      <c r="N192" s="2" t="s">
        <v>109</v>
      </c>
      <c r="O192" s="2" t="s">
        <v>118</v>
      </c>
      <c r="P192" s="4">
        <v>2.5</v>
      </c>
      <c r="Q192" s="4">
        <f>2.5*125</f>
        <v>312.5</v>
      </c>
      <c r="R192" s="4" t="s">
        <v>96</v>
      </c>
      <c r="S192" s="4">
        <v>207.3</v>
      </c>
      <c r="T192" s="23" t="s">
        <v>96</v>
      </c>
    </row>
    <row r="193" spans="1:20" x14ac:dyDescent="0.3">
      <c r="A193" s="22" t="s">
        <v>17</v>
      </c>
      <c r="B193" s="1" t="s">
        <v>26</v>
      </c>
      <c r="C193" s="1" t="s">
        <v>134</v>
      </c>
      <c r="D193" s="1" t="s">
        <v>82</v>
      </c>
      <c r="E193" s="6">
        <f>AVERAGE(1039,1094)</f>
        <v>1066.5</v>
      </c>
      <c r="F193" s="6">
        <f>AVERAGE(614,805)</f>
        <v>709.5</v>
      </c>
      <c r="G193" s="6">
        <f>E193-F193</f>
        <v>357</v>
      </c>
      <c r="H193" s="7">
        <f>G193/E193*100</f>
        <v>33.473980309423347</v>
      </c>
      <c r="I193" s="1" t="s">
        <v>13</v>
      </c>
      <c r="J193" s="1" t="s">
        <v>10</v>
      </c>
      <c r="K193" s="1" t="s">
        <v>27</v>
      </c>
      <c r="L193" s="2" t="s">
        <v>91</v>
      </c>
      <c r="M193" s="3" t="s">
        <v>101</v>
      </c>
      <c r="N193" s="2" t="s">
        <v>109</v>
      </c>
      <c r="O193" s="2" t="s">
        <v>118</v>
      </c>
      <c r="P193" s="5">
        <v>2.5</v>
      </c>
      <c r="Q193" s="4">
        <f>2.5*125</f>
        <v>312.5</v>
      </c>
      <c r="R193" s="4" t="s">
        <v>96</v>
      </c>
      <c r="S193" s="4">
        <v>207.3</v>
      </c>
      <c r="T193" s="23" t="s">
        <v>96</v>
      </c>
    </row>
    <row r="194" spans="1:20" x14ac:dyDescent="0.3">
      <c r="A194" s="22" t="s">
        <v>17</v>
      </c>
      <c r="B194" s="1" t="s">
        <v>225</v>
      </c>
      <c r="C194" s="1" t="s">
        <v>135</v>
      </c>
      <c r="D194" s="1" t="s">
        <v>83</v>
      </c>
      <c r="E194" s="6">
        <v>178</v>
      </c>
      <c r="F194" s="6">
        <f>E194-G194</f>
        <v>149</v>
      </c>
      <c r="G194" s="6">
        <v>29</v>
      </c>
      <c r="H194" s="7">
        <f>G194/E194*100</f>
        <v>16.292134831460675</v>
      </c>
      <c r="I194" s="1" t="s">
        <v>13</v>
      </c>
      <c r="J194" s="1" t="s">
        <v>80</v>
      </c>
      <c r="K194" s="1" t="s">
        <v>70</v>
      </c>
      <c r="L194" s="2" t="s">
        <v>143</v>
      </c>
      <c r="M194" s="3" t="s">
        <v>107</v>
      </c>
      <c r="N194" s="2" t="s">
        <v>122</v>
      </c>
      <c r="O194" s="2" t="s">
        <v>119</v>
      </c>
      <c r="P194" s="4" t="s">
        <v>96</v>
      </c>
      <c r="Q194" s="4">
        <f>6.06*10000</f>
        <v>60599.999999999993</v>
      </c>
      <c r="R194" s="4">
        <f>T194/1000*Q194</f>
        <v>2366429.9999999995</v>
      </c>
      <c r="S194" s="4">
        <v>260</v>
      </c>
      <c r="T194" s="23">
        <f>(3870+96-61)*10</f>
        <v>39050</v>
      </c>
    </row>
    <row r="195" spans="1:20" x14ac:dyDescent="0.3">
      <c r="A195" s="22" t="s">
        <v>17</v>
      </c>
      <c r="B195" s="1" t="s">
        <v>19</v>
      </c>
      <c r="C195" s="1" t="s">
        <v>135</v>
      </c>
      <c r="D195" s="1" t="s">
        <v>84</v>
      </c>
      <c r="E195" s="6"/>
      <c r="F195" s="6"/>
      <c r="G195" s="6"/>
      <c r="H195" s="7">
        <v>94</v>
      </c>
      <c r="I195" s="1" t="s">
        <v>13</v>
      </c>
      <c r="J195" s="1" t="s">
        <v>79</v>
      </c>
      <c r="K195" s="1" t="s">
        <v>20</v>
      </c>
      <c r="L195" s="2" t="s">
        <v>91</v>
      </c>
      <c r="M195" s="3" t="s">
        <v>101</v>
      </c>
      <c r="N195" s="2" t="s">
        <v>106</v>
      </c>
      <c r="O195" s="2" t="s">
        <v>118</v>
      </c>
      <c r="P195" s="4">
        <v>55</v>
      </c>
      <c r="Q195" s="4" t="s">
        <v>96</v>
      </c>
      <c r="R195" s="4" t="s">
        <v>96</v>
      </c>
      <c r="S195" s="4" t="s">
        <v>96</v>
      </c>
      <c r="T195" s="23" t="s">
        <v>96</v>
      </c>
    </row>
    <row r="196" spans="1:20" x14ac:dyDescent="0.3">
      <c r="A196" s="22" t="s">
        <v>17</v>
      </c>
      <c r="B196" s="1" t="s">
        <v>165</v>
      </c>
      <c r="C196" s="1" t="s">
        <v>135</v>
      </c>
      <c r="D196" s="1" t="s">
        <v>84</v>
      </c>
      <c r="E196" s="6"/>
      <c r="F196" s="6"/>
      <c r="G196" s="6">
        <v>390</v>
      </c>
      <c r="H196" s="7"/>
      <c r="I196" s="1" t="s">
        <v>13</v>
      </c>
      <c r="J196" s="1" t="s">
        <v>10</v>
      </c>
      <c r="K196" s="1" t="s">
        <v>71</v>
      </c>
      <c r="L196" s="2" t="s">
        <v>180</v>
      </c>
      <c r="M196" s="3" t="s">
        <v>102</v>
      </c>
      <c r="N196" s="2" t="s">
        <v>178</v>
      </c>
      <c r="O196" s="2" t="s">
        <v>123</v>
      </c>
      <c r="P196" s="4">
        <v>30</v>
      </c>
      <c r="Q196" s="4">
        <f>12000</f>
        <v>12000</v>
      </c>
      <c r="R196" s="4">
        <f>T196/1000*Q196</f>
        <v>77520</v>
      </c>
      <c r="S196" s="4">
        <v>17</v>
      </c>
      <c r="T196" s="23">
        <v>6460</v>
      </c>
    </row>
    <row r="197" spans="1:20" x14ac:dyDescent="0.3">
      <c r="A197" s="22" t="s">
        <v>17</v>
      </c>
      <c r="B197" s="1" t="s">
        <v>165</v>
      </c>
      <c r="C197" s="1" t="s">
        <v>135</v>
      </c>
      <c r="D197" s="1" t="s">
        <v>83</v>
      </c>
      <c r="E197" s="6"/>
      <c r="F197" s="6"/>
      <c r="G197" s="6">
        <v>62</v>
      </c>
      <c r="H197" s="7"/>
      <c r="I197" s="1" t="s">
        <v>13</v>
      </c>
      <c r="J197" s="1" t="s">
        <v>10</v>
      </c>
      <c r="K197" s="1" t="s">
        <v>71</v>
      </c>
      <c r="L197" s="2" t="s">
        <v>180</v>
      </c>
      <c r="M197" s="3" t="s">
        <v>102</v>
      </c>
      <c r="N197" s="2" t="s">
        <v>178</v>
      </c>
      <c r="O197" s="2" t="s">
        <v>123</v>
      </c>
      <c r="P197" s="4">
        <v>30</v>
      </c>
      <c r="Q197" s="4">
        <v>12000</v>
      </c>
      <c r="R197" s="4">
        <f>T197/1000*Q197</f>
        <v>77520</v>
      </c>
      <c r="S197" s="4">
        <v>17</v>
      </c>
      <c r="T197" s="23">
        <v>6460</v>
      </c>
    </row>
    <row r="198" spans="1:20" x14ac:dyDescent="0.3">
      <c r="A198" s="22" t="s">
        <v>17</v>
      </c>
      <c r="B198" s="1" t="s">
        <v>165</v>
      </c>
      <c r="C198" s="1" t="s">
        <v>134</v>
      </c>
      <c r="D198" s="1" t="s">
        <v>84</v>
      </c>
      <c r="E198" s="6"/>
      <c r="F198" s="6"/>
      <c r="G198" s="6"/>
      <c r="H198" s="7">
        <v>93</v>
      </c>
      <c r="I198" s="1" t="s">
        <v>13</v>
      </c>
      <c r="J198" s="1" t="s">
        <v>79</v>
      </c>
      <c r="K198" s="1" t="s">
        <v>192</v>
      </c>
      <c r="L198" s="2" t="s">
        <v>91</v>
      </c>
      <c r="M198" s="3" t="s">
        <v>101</v>
      </c>
      <c r="N198" s="2" t="s">
        <v>106</v>
      </c>
      <c r="O198" s="2" t="s">
        <v>118</v>
      </c>
      <c r="P198" s="4">
        <v>16</v>
      </c>
      <c r="Q198" s="4" t="s">
        <v>96</v>
      </c>
      <c r="R198" s="4" t="s">
        <v>96</v>
      </c>
      <c r="S198" s="4" t="s">
        <v>96</v>
      </c>
      <c r="T198" s="23" t="s">
        <v>96</v>
      </c>
    </row>
    <row r="199" spans="1:20" x14ac:dyDescent="0.3">
      <c r="A199" s="22" t="s">
        <v>17</v>
      </c>
      <c r="B199" s="1" t="s">
        <v>165</v>
      </c>
      <c r="C199" s="1" t="s">
        <v>135</v>
      </c>
      <c r="D199" s="1" t="s">
        <v>84</v>
      </c>
      <c r="E199" s="6"/>
      <c r="F199" s="6"/>
      <c r="G199" s="6"/>
      <c r="H199" s="7">
        <v>83</v>
      </c>
      <c r="I199" s="1" t="s">
        <v>13</v>
      </c>
      <c r="J199" s="1" t="s">
        <v>10</v>
      </c>
      <c r="K199" s="1" t="s">
        <v>192</v>
      </c>
      <c r="L199" s="2" t="s">
        <v>91</v>
      </c>
      <c r="M199" s="3" t="s">
        <v>101</v>
      </c>
      <c r="N199" s="2" t="s">
        <v>106</v>
      </c>
      <c r="O199" s="2" t="s">
        <v>118</v>
      </c>
      <c r="P199" s="4">
        <v>39</v>
      </c>
      <c r="Q199" s="4" t="s">
        <v>96</v>
      </c>
      <c r="R199" s="4" t="s">
        <v>96</v>
      </c>
      <c r="S199" s="4" t="s">
        <v>96</v>
      </c>
      <c r="T199" s="23" t="s">
        <v>96</v>
      </c>
    </row>
    <row r="200" spans="1:20" x14ac:dyDescent="0.3">
      <c r="A200" s="22" t="s">
        <v>17</v>
      </c>
      <c r="B200" s="1" t="s">
        <v>164</v>
      </c>
      <c r="C200" s="1" t="s">
        <v>134</v>
      </c>
      <c r="D200" s="1" t="s">
        <v>82</v>
      </c>
      <c r="E200" s="6">
        <v>51.8</v>
      </c>
      <c r="F200" s="6">
        <v>13</v>
      </c>
      <c r="G200" s="6">
        <v>38.799999999999997</v>
      </c>
      <c r="H200" s="7">
        <v>74.900000000000006</v>
      </c>
      <c r="I200" s="1" t="s">
        <v>13</v>
      </c>
      <c r="J200" s="1" t="s">
        <v>79</v>
      </c>
      <c r="K200" s="1" t="s">
        <v>90</v>
      </c>
      <c r="L200" s="2" t="s">
        <v>174</v>
      </c>
      <c r="M200" s="3" t="s">
        <v>127</v>
      </c>
      <c r="N200" s="2" t="s">
        <v>106</v>
      </c>
      <c r="O200" s="2" t="s">
        <v>117</v>
      </c>
      <c r="P200" s="4" t="s">
        <v>96</v>
      </c>
      <c r="Q200" s="4">
        <v>3400</v>
      </c>
      <c r="R200" s="4" t="s">
        <v>96</v>
      </c>
      <c r="S200" s="4" t="s">
        <v>96</v>
      </c>
      <c r="T200" s="23">
        <f>0.79*365</f>
        <v>288.35000000000002</v>
      </c>
    </row>
    <row r="201" spans="1:20" x14ac:dyDescent="0.3">
      <c r="A201" s="22" t="s">
        <v>17</v>
      </c>
      <c r="B201" s="1" t="s">
        <v>164</v>
      </c>
      <c r="C201" s="1" t="s">
        <v>134</v>
      </c>
      <c r="D201" s="1" t="s">
        <v>83</v>
      </c>
      <c r="E201" s="6">
        <v>5.6</v>
      </c>
      <c r="F201" s="6">
        <v>3.9</v>
      </c>
      <c r="G201" s="6">
        <v>1.6999999999999997</v>
      </c>
      <c r="H201" s="7">
        <v>30</v>
      </c>
      <c r="I201" s="1" t="s">
        <v>13</v>
      </c>
      <c r="J201" s="1" t="s">
        <v>79</v>
      </c>
      <c r="K201" s="1" t="s">
        <v>90</v>
      </c>
      <c r="L201" s="2" t="s">
        <v>174</v>
      </c>
      <c r="M201" s="3" t="s">
        <v>127</v>
      </c>
      <c r="N201" s="2" t="s">
        <v>106</v>
      </c>
      <c r="O201" s="2" t="s">
        <v>117</v>
      </c>
      <c r="P201" s="4" t="s">
        <v>96</v>
      </c>
      <c r="Q201" s="4">
        <v>3400</v>
      </c>
      <c r="R201" s="4" t="s">
        <v>96</v>
      </c>
      <c r="S201" s="4" t="s">
        <v>96</v>
      </c>
      <c r="T201" s="23">
        <f>0.79*365</f>
        <v>288.35000000000002</v>
      </c>
    </row>
    <row r="202" spans="1:20" x14ac:dyDescent="0.3">
      <c r="A202" s="22" t="s">
        <v>17</v>
      </c>
      <c r="B202" s="1" t="s">
        <v>162</v>
      </c>
      <c r="C202" s="1" t="s">
        <v>134</v>
      </c>
      <c r="D202" s="1" t="s">
        <v>84</v>
      </c>
      <c r="E202" s="6">
        <v>8.02</v>
      </c>
      <c r="F202" s="6">
        <v>8.0200000000000493E-2</v>
      </c>
      <c r="G202" s="6">
        <v>7.9397999999999991</v>
      </c>
      <c r="H202" s="7">
        <v>99</v>
      </c>
      <c r="I202" s="1" t="s">
        <v>13</v>
      </c>
      <c r="J202" s="1" t="s">
        <v>79</v>
      </c>
      <c r="K202" s="1" t="s">
        <v>221</v>
      </c>
      <c r="L202" s="2" t="s">
        <v>100</v>
      </c>
      <c r="M202" s="3" t="s">
        <v>101</v>
      </c>
      <c r="N202" s="2" t="s">
        <v>115</v>
      </c>
      <c r="O202" s="2" t="s">
        <v>118</v>
      </c>
      <c r="P202" s="4">
        <v>16</v>
      </c>
      <c r="Q202" s="4" t="s">
        <v>96</v>
      </c>
      <c r="R202" s="4" t="s">
        <v>96</v>
      </c>
      <c r="S202" s="4" t="s">
        <v>96</v>
      </c>
      <c r="T202" s="23">
        <f>0.08*365</f>
        <v>29.2</v>
      </c>
    </row>
    <row r="203" spans="1:20" x14ac:dyDescent="0.3">
      <c r="A203" s="22" t="s">
        <v>17</v>
      </c>
      <c r="B203" s="1" t="s">
        <v>160</v>
      </c>
      <c r="C203" s="1" t="s">
        <v>134</v>
      </c>
      <c r="D203" s="1" t="s">
        <v>181</v>
      </c>
      <c r="E203" s="6">
        <v>1.4</v>
      </c>
      <c r="F203" s="6">
        <f t="shared" ref="F203:F208" si="24">E203-G203</f>
        <v>1.1479999999999999</v>
      </c>
      <c r="G203" s="6">
        <f t="shared" ref="G203:G208" si="25">E203*H203/100</f>
        <v>0.252</v>
      </c>
      <c r="H203" s="7">
        <v>18</v>
      </c>
      <c r="I203" s="1" t="s">
        <v>13</v>
      </c>
      <c r="J203" s="1" t="s">
        <v>80</v>
      </c>
      <c r="K203" s="1" t="s">
        <v>31</v>
      </c>
      <c r="L203" s="2" t="s">
        <v>104</v>
      </c>
      <c r="M203" s="3" t="s">
        <v>102</v>
      </c>
      <c r="N203" s="2" t="s">
        <v>122</v>
      </c>
      <c r="O203" s="2" t="s">
        <v>123</v>
      </c>
      <c r="P203" s="4">
        <v>180</v>
      </c>
      <c r="Q203" s="4">
        <v>13000</v>
      </c>
      <c r="R203" s="4">
        <f t="shared" ref="R203:R208" si="26">(121115+14888)/2</f>
        <v>68001.5</v>
      </c>
      <c r="S203" s="4" t="s">
        <v>96</v>
      </c>
      <c r="T203" s="23">
        <f t="shared" ref="T203:T208" si="27">R203/Q203*1000</f>
        <v>5230.8846153846162</v>
      </c>
    </row>
    <row r="204" spans="1:20" x14ac:dyDescent="0.3">
      <c r="A204" s="22" t="s">
        <v>17</v>
      </c>
      <c r="B204" s="1" t="s">
        <v>160</v>
      </c>
      <c r="C204" s="1" t="s">
        <v>134</v>
      </c>
      <c r="D204" s="1" t="s">
        <v>83</v>
      </c>
      <c r="E204" s="6">
        <v>7.6</v>
      </c>
      <c r="F204" s="6">
        <f t="shared" si="24"/>
        <v>5.548</v>
      </c>
      <c r="G204" s="6">
        <f t="shared" si="25"/>
        <v>2.052</v>
      </c>
      <c r="H204" s="7">
        <v>27</v>
      </c>
      <c r="I204" s="1" t="s">
        <v>13</v>
      </c>
      <c r="J204" s="1" t="s">
        <v>80</v>
      </c>
      <c r="K204" s="1" t="s">
        <v>31</v>
      </c>
      <c r="L204" s="2" t="s">
        <v>104</v>
      </c>
      <c r="M204" s="3" t="s">
        <v>102</v>
      </c>
      <c r="N204" s="2" t="s">
        <v>122</v>
      </c>
      <c r="O204" s="2" t="s">
        <v>123</v>
      </c>
      <c r="P204" s="4">
        <v>180</v>
      </c>
      <c r="Q204" s="4">
        <v>13000</v>
      </c>
      <c r="R204" s="4">
        <f t="shared" si="26"/>
        <v>68001.5</v>
      </c>
      <c r="S204" s="4" t="s">
        <v>96</v>
      </c>
      <c r="T204" s="23">
        <f t="shared" si="27"/>
        <v>5230.8846153846162</v>
      </c>
    </row>
    <row r="205" spans="1:20" x14ac:dyDescent="0.3">
      <c r="A205" s="22" t="s">
        <v>17</v>
      </c>
      <c r="B205" s="1" t="s">
        <v>160</v>
      </c>
      <c r="C205" s="1" t="s">
        <v>134</v>
      </c>
      <c r="D205" s="1" t="s">
        <v>84</v>
      </c>
      <c r="E205" s="6">
        <v>12</v>
      </c>
      <c r="F205" s="6">
        <f t="shared" si="24"/>
        <v>5.76</v>
      </c>
      <c r="G205" s="6">
        <f t="shared" si="25"/>
        <v>6.24</v>
      </c>
      <c r="H205" s="7">
        <v>52</v>
      </c>
      <c r="I205" s="1" t="s">
        <v>13</v>
      </c>
      <c r="J205" s="1" t="s">
        <v>80</v>
      </c>
      <c r="K205" s="1" t="s">
        <v>31</v>
      </c>
      <c r="L205" s="2" t="s">
        <v>104</v>
      </c>
      <c r="M205" s="3" t="s">
        <v>102</v>
      </c>
      <c r="N205" s="2" t="s">
        <v>122</v>
      </c>
      <c r="O205" s="2" t="s">
        <v>123</v>
      </c>
      <c r="P205" s="4">
        <v>180</v>
      </c>
      <c r="Q205" s="4">
        <v>13000</v>
      </c>
      <c r="R205" s="4">
        <f t="shared" si="26"/>
        <v>68001.5</v>
      </c>
      <c r="S205" s="4" t="s">
        <v>96</v>
      </c>
      <c r="T205" s="23">
        <f t="shared" si="27"/>
        <v>5230.8846153846162</v>
      </c>
    </row>
    <row r="206" spans="1:20" x14ac:dyDescent="0.3">
      <c r="A206" s="22" t="s">
        <v>17</v>
      </c>
      <c r="B206" s="1" t="s">
        <v>160</v>
      </c>
      <c r="C206" s="1" t="s">
        <v>134</v>
      </c>
      <c r="D206" s="1" t="s">
        <v>85</v>
      </c>
      <c r="E206" s="6">
        <v>2.7</v>
      </c>
      <c r="F206" s="6">
        <f t="shared" si="24"/>
        <v>2.0250000000000004</v>
      </c>
      <c r="G206" s="6">
        <f t="shared" si="25"/>
        <v>0.67500000000000004</v>
      </c>
      <c r="H206" s="7">
        <v>25</v>
      </c>
      <c r="I206" s="1" t="s">
        <v>13</v>
      </c>
      <c r="J206" s="1" t="s">
        <v>80</v>
      </c>
      <c r="K206" s="1" t="s">
        <v>31</v>
      </c>
      <c r="L206" s="2" t="s">
        <v>104</v>
      </c>
      <c r="M206" s="3" t="s">
        <v>102</v>
      </c>
      <c r="N206" s="2" t="s">
        <v>122</v>
      </c>
      <c r="O206" s="2" t="s">
        <v>123</v>
      </c>
      <c r="P206" s="4">
        <v>180</v>
      </c>
      <c r="Q206" s="4">
        <v>13000</v>
      </c>
      <c r="R206" s="4">
        <f t="shared" si="26"/>
        <v>68001.5</v>
      </c>
      <c r="S206" s="4" t="s">
        <v>96</v>
      </c>
      <c r="T206" s="23">
        <f t="shared" si="27"/>
        <v>5230.8846153846162</v>
      </c>
    </row>
    <row r="207" spans="1:20" x14ac:dyDescent="0.3">
      <c r="A207" s="22" t="s">
        <v>17</v>
      </c>
      <c r="B207" s="1" t="s">
        <v>160</v>
      </c>
      <c r="C207" s="1" t="s">
        <v>134</v>
      </c>
      <c r="D207" s="1" t="s">
        <v>82</v>
      </c>
      <c r="E207" s="6">
        <v>17</v>
      </c>
      <c r="F207" s="6">
        <f t="shared" si="24"/>
        <v>14.620000000000001</v>
      </c>
      <c r="G207" s="6">
        <f t="shared" si="25"/>
        <v>2.38</v>
      </c>
      <c r="H207" s="7">
        <v>14</v>
      </c>
      <c r="I207" s="1" t="s">
        <v>13</v>
      </c>
      <c r="J207" s="1" t="s">
        <v>80</v>
      </c>
      <c r="K207" s="1" t="s">
        <v>31</v>
      </c>
      <c r="L207" s="2" t="s">
        <v>104</v>
      </c>
      <c r="M207" s="3" t="s">
        <v>102</v>
      </c>
      <c r="N207" s="2" t="s">
        <v>122</v>
      </c>
      <c r="O207" s="2" t="s">
        <v>123</v>
      </c>
      <c r="P207" s="4">
        <v>180</v>
      </c>
      <c r="Q207" s="4">
        <v>13000</v>
      </c>
      <c r="R207" s="4">
        <f t="shared" si="26"/>
        <v>68001.5</v>
      </c>
      <c r="S207" s="4" t="s">
        <v>96</v>
      </c>
      <c r="T207" s="23">
        <f t="shared" si="27"/>
        <v>5230.8846153846162</v>
      </c>
    </row>
    <row r="208" spans="1:20" x14ac:dyDescent="0.3">
      <c r="A208" s="22" t="s">
        <v>17</v>
      </c>
      <c r="B208" s="1" t="s">
        <v>160</v>
      </c>
      <c r="C208" s="1" t="s">
        <v>134</v>
      </c>
      <c r="D208" s="1" t="s">
        <v>89</v>
      </c>
      <c r="E208" s="6">
        <v>7.9</v>
      </c>
      <c r="F208" s="6">
        <f t="shared" si="24"/>
        <v>7.2522000000000002</v>
      </c>
      <c r="G208" s="6">
        <f t="shared" si="25"/>
        <v>0.64780000000000004</v>
      </c>
      <c r="H208" s="7">
        <v>8.1999999999999993</v>
      </c>
      <c r="I208" s="1" t="s">
        <v>13</v>
      </c>
      <c r="J208" s="1" t="s">
        <v>80</v>
      </c>
      <c r="K208" s="1" t="s">
        <v>31</v>
      </c>
      <c r="L208" s="2" t="s">
        <v>104</v>
      </c>
      <c r="M208" s="3" t="s">
        <v>102</v>
      </c>
      <c r="N208" s="2" t="s">
        <v>122</v>
      </c>
      <c r="O208" s="2" t="s">
        <v>123</v>
      </c>
      <c r="P208" s="4">
        <v>180</v>
      </c>
      <c r="Q208" s="4">
        <v>13000</v>
      </c>
      <c r="R208" s="4">
        <f t="shared" si="26"/>
        <v>68001.5</v>
      </c>
      <c r="S208" s="4" t="s">
        <v>96</v>
      </c>
      <c r="T208" s="23">
        <f t="shared" si="27"/>
        <v>5230.8846153846162</v>
      </c>
    </row>
    <row r="209" spans="1:20" x14ac:dyDescent="0.3">
      <c r="A209" s="22" t="s">
        <v>17</v>
      </c>
      <c r="B209" s="1" t="s">
        <v>160</v>
      </c>
      <c r="C209" s="1" t="s">
        <v>134</v>
      </c>
      <c r="D209" s="1" t="s">
        <v>83</v>
      </c>
      <c r="E209" s="6">
        <v>54.02000000000001</v>
      </c>
      <c r="F209" s="6">
        <v>17.826599999999999</v>
      </c>
      <c r="G209" s="6">
        <v>36.193400000000011</v>
      </c>
      <c r="H209" s="7">
        <v>67</v>
      </c>
      <c r="I209" s="1" t="s">
        <v>13</v>
      </c>
      <c r="J209" s="1" t="s">
        <v>10</v>
      </c>
      <c r="K209" s="1" t="s">
        <v>60</v>
      </c>
      <c r="L209" s="2" t="s">
        <v>177</v>
      </c>
      <c r="M209" s="3" t="s">
        <v>102</v>
      </c>
      <c r="N209" s="2" t="s">
        <v>178</v>
      </c>
      <c r="O209" s="2" t="s">
        <v>123</v>
      </c>
      <c r="P209" s="4">
        <v>46</v>
      </c>
      <c r="Q209" s="4">
        <f>30*46</f>
        <v>1380</v>
      </c>
      <c r="R209" s="4">
        <f>T209/1000*Q209</f>
        <v>14103.6</v>
      </c>
      <c r="S209" s="4" t="s">
        <v>96</v>
      </c>
      <c r="T209" s="23">
        <f>28*365</f>
        <v>10220</v>
      </c>
    </row>
    <row r="210" spans="1:20" x14ac:dyDescent="0.3">
      <c r="A210" s="22" t="s">
        <v>17</v>
      </c>
      <c r="B210" s="1" t="s">
        <v>160</v>
      </c>
      <c r="C210" s="1" t="s">
        <v>135</v>
      </c>
      <c r="D210" s="1" t="s">
        <v>84</v>
      </c>
      <c r="E210" s="6"/>
      <c r="F210" s="6"/>
      <c r="G210" s="6"/>
      <c r="H210" s="7">
        <v>96</v>
      </c>
      <c r="I210" s="1" t="s">
        <v>13</v>
      </c>
      <c r="J210" s="1" t="s">
        <v>79</v>
      </c>
      <c r="K210" s="1" t="s">
        <v>18</v>
      </c>
      <c r="L210" s="2" t="s">
        <v>91</v>
      </c>
      <c r="M210" s="3" t="s">
        <v>101</v>
      </c>
      <c r="N210" s="2" t="s">
        <v>106</v>
      </c>
      <c r="O210" s="2" t="s">
        <v>118</v>
      </c>
      <c r="P210" s="4">
        <v>55</v>
      </c>
      <c r="Q210" s="4" t="s">
        <v>96</v>
      </c>
      <c r="R210" s="4" t="s">
        <v>96</v>
      </c>
      <c r="S210" s="4" t="s">
        <v>96</v>
      </c>
      <c r="T210" s="23" t="s">
        <v>96</v>
      </c>
    </row>
    <row r="211" spans="1:20" x14ac:dyDescent="0.3">
      <c r="A211" s="22" t="s">
        <v>17</v>
      </c>
      <c r="B211" s="1" t="s">
        <v>163</v>
      </c>
      <c r="C211" s="1" t="s">
        <v>135</v>
      </c>
      <c r="D211" s="1" t="s">
        <v>84</v>
      </c>
      <c r="E211" s="6">
        <v>21.5</v>
      </c>
      <c r="F211" s="6">
        <v>1.9349999999999987</v>
      </c>
      <c r="G211" s="6">
        <v>19.565000000000001</v>
      </c>
      <c r="H211" s="7">
        <v>91</v>
      </c>
      <c r="I211" s="1" t="s">
        <v>13</v>
      </c>
      <c r="J211" s="1" t="s">
        <v>79</v>
      </c>
      <c r="K211" s="1" t="s">
        <v>221</v>
      </c>
      <c r="L211" s="2" t="s">
        <v>100</v>
      </c>
      <c r="M211" s="3" t="s">
        <v>101</v>
      </c>
      <c r="N211" s="2" t="s">
        <v>115</v>
      </c>
      <c r="O211" s="2" t="s">
        <v>118</v>
      </c>
      <c r="P211" s="4">
        <v>47</v>
      </c>
      <c r="Q211" s="4" t="s">
        <v>96</v>
      </c>
      <c r="R211" s="4" t="s">
        <v>96</v>
      </c>
      <c r="S211" s="4" t="s">
        <v>96</v>
      </c>
      <c r="T211" s="23">
        <f>0.08*365</f>
        <v>29.2</v>
      </c>
    </row>
    <row r="212" spans="1:20" x14ac:dyDescent="0.3">
      <c r="A212" s="22" t="s">
        <v>17</v>
      </c>
      <c r="B212" s="1" t="s">
        <v>223</v>
      </c>
      <c r="C212" s="1" t="s">
        <v>135</v>
      </c>
      <c r="D212" s="1" t="s">
        <v>84</v>
      </c>
      <c r="E212" s="6">
        <v>1081.5999999999999</v>
      </c>
      <c r="F212" s="6">
        <v>708.3</v>
      </c>
      <c r="G212" s="6">
        <v>373.2</v>
      </c>
      <c r="H212" s="7">
        <f>G212/E212*100</f>
        <v>34.504437869822482</v>
      </c>
      <c r="I212" s="1" t="s">
        <v>13</v>
      </c>
      <c r="J212" s="1" t="s">
        <v>80</v>
      </c>
      <c r="K212" s="1" t="s">
        <v>75</v>
      </c>
      <c r="L212" s="2" t="s">
        <v>143</v>
      </c>
      <c r="M212" s="3" t="s">
        <v>107</v>
      </c>
      <c r="N212" s="2" t="s">
        <v>178</v>
      </c>
      <c r="O212" s="2" t="s">
        <v>119</v>
      </c>
      <c r="P212" s="4">
        <v>30</v>
      </c>
      <c r="Q212" s="4">
        <f>10000</f>
        <v>10000</v>
      </c>
      <c r="R212" s="4">
        <f t="shared" ref="R212:R221" si="28">T212/1000*Q212</f>
        <v>25000</v>
      </c>
      <c r="S212" s="4" t="s">
        <v>96</v>
      </c>
      <c r="T212" s="23">
        <v>2500</v>
      </c>
    </row>
    <row r="213" spans="1:20" x14ac:dyDescent="0.3">
      <c r="A213" s="22" t="s">
        <v>17</v>
      </c>
      <c r="B213" s="1" t="s">
        <v>224</v>
      </c>
      <c r="C213" s="1" t="s">
        <v>135</v>
      </c>
      <c r="D213" s="1" t="s">
        <v>84</v>
      </c>
      <c r="E213" s="6">
        <v>1078.2222222222222</v>
      </c>
      <c r="F213" s="6">
        <v>670</v>
      </c>
      <c r="G213" s="6">
        <f>E213-F213</f>
        <v>408.22222222222217</v>
      </c>
      <c r="H213" s="7">
        <f>G213/E213*100</f>
        <v>37.860676009892828</v>
      </c>
      <c r="I213" s="1" t="s">
        <v>13</v>
      </c>
      <c r="J213" s="1" t="s">
        <v>80</v>
      </c>
      <c r="K213" s="1" t="s">
        <v>75</v>
      </c>
      <c r="L213" s="2" t="s">
        <v>143</v>
      </c>
      <c r="M213" s="3" t="s">
        <v>107</v>
      </c>
      <c r="N213" s="2" t="s">
        <v>178</v>
      </c>
      <c r="O213" s="2" t="s">
        <v>119</v>
      </c>
      <c r="P213" s="4">
        <v>30</v>
      </c>
      <c r="Q213" s="4">
        <v>10000</v>
      </c>
      <c r="R213" s="4">
        <f t="shared" si="28"/>
        <v>25000</v>
      </c>
      <c r="S213" s="4" t="s">
        <v>96</v>
      </c>
      <c r="T213" s="23">
        <v>2500</v>
      </c>
    </row>
    <row r="214" spans="1:20" x14ac:dyDescent="0.3">
      <c r="A214" s="22" t="s">
        <v>17</v>
      </c>
      <c r="B214" s="1" t="s">
        <v>69</v>
      </c>
      <c r="C214" s="1" t="s">
        <v>135</v>
      </c>
      <c r="D214" s="1" t="s">
        <v>84</v>
      </c>
      <c r="E214" s="6">
        <v>322</v>
      </c>
      <c r="F214" s="6">
        <v>168</v>
      </c>
      <c r="G214" s="6">
        <v>154</v>
      </c>
      <c r="H214" s="6">
        <v>48</v>
      </c>
      <c r="I214" s="1" t="s">
        <v>13</v>
      </c>
      <c r="J214" s="1" t="s">
        <v>80</v>
      </c>
      <c r="K214" s="1" t="s">
        <v>270</v>
      </c>
      <c r="L214" s="2" t="s">
        <v>143</v>
      </c>
      <c r="M214" s="3" t="s">
        <v>107</v>
      </c>
      <c r="N214" s="2" t="s">
        <v>178</v>
      </c>
      <c r="O214" s="2" t="s">
        <v>119</v>
      </c>
      <c r="P214" s="4" t="s">
        <v>96</v>
      </c>
      <c r="Q214" s="4">
        <v>30000</v>
      </c>
      <c r="R214" s="4">
        <f t="shared" si="28"/>
        <v>600000</v>
      </c>
      <c r="S214" s="4" t="s">
        <v>96</v>
      </c>
      <c r="T214" s="23">
        <v>20000</v>
      </c>
    </row>
    <row r="215" spans="1:20" x14ac:dyDescent="0.3">
      <c r="A215" s="22" t="s">
        <v>17</v>
      </c>
      <c r="B215" s="1" t="s">
        <v>69</v>
      </c>
      <c r="C215" s="1" t="s">
        <v>135</v>
      </c>
      <c r="D215" s="1" t="s">
        <v>82</v>
      </c>
      <c r="E215" s="6">
        <v>645</v>
      </c>
      <c r="F215" s="6">
        <f>E215-G215</f>
        <v>322</v>
      </c>
      <c r="G215" s="6">
        <v>323</v>
      </c>
      <c r="H215" s="6">
        <v>50</v>
      </c>
      <c r="I215" s="1" t="s">
        <v>13</v>
      </c>
      <c r="J215" s="1" t="s">
        <v>80</v>
      </c>
      <c r="K215" s="1" t="s">
        <v>270</v>
      </c>
      <c r="L215" s="2" t="s">
        <v>143</v>
      </c>
      <c r="M215" s="3" t="s">
        <v>107</v>
      </c>
      <c r="N215" s="2" t="s">
        <v>178</v>
      </c>
      <c r="O215" s="2" t="s">
        <v>119</v>
      </c>
      <c r="P215" s="4" t="s">
        <v>96</v>
      </c>
      <c r="Q215" s="4">
        <v>30000</v>
      </c>
      <c r="R215" s="4">
        <f t="shared" si="28"/>
        <v>600000</v>
      </c>
      <c r="S215" s="4" t="s">
        <v>96</v>
      </c>
      <c r="T215" s="23">
        <v>20000</v>
      </c>
    </row>
    <row r="216" spans="1:20" x14ac:dyDescent="0.3">
      <c r="A216" s="22" t="s">
        <v>17</v>
      </c>
      <c r="B216" s="1" t="s">
        <v>69</v>
      </c>
      <c r="C216" s="1" t="s">
        <v>135</v>
      </c>
      <c r="D216" s="1" t="s">
        <v>181</v>
      </c>
      <c r="E216" s="6">
        <v>4.8</v>
      </c>
      <c r="F216" s="6">
        <v>4.3</v>
      </c>
      <c r="G216" s="6">
        <v>0.5</v>
      </c>
      <c r="H216" s="6">
        <v>10</v>
      </c>
      <c r="I216" s="1" t="s">
        <v>13</v>
      </c>
      <c r="J216" s="1" t="s">
        <v>80</v>
      </c>
      <c r="K216" s="1" t="s">
        <v>270</v>
      </c>
      <c r="L216" s="2" t="s">
        <v>143</v>
      </c>
      <c r="M216" s="3" t="s">
        <v>107</v>
      </c>
      <c r="N216" s="2" t="s">
        <v>178</v>
      </c>
      <c r="O216" s="2" t="s">
        <v>119</v>
      </c>
      <c r="P216" s="4" t="s">
        <v>96</v>
      </c>
      <c r="Q216" s="4">
        <v>30000</v>
      </c>
      <c r="R216" s="4">
        <f t="shared" si="28"/>
        <v>600000</v>
      </c>
      <c r="S216" s="4" t="s">
        <v>96</v>
      </c>
      <c r="T216" s="23">
        <v>20000</v>
      </c>
    </row>
    <row r="217" spans="1:20" x14ac:dyDescent="0.3">
      <c r="A217" s="22" t="s">
        <v>17</v>
      </c>
      <c r="B217" s="1" t="s">
        <v>69</v>
      </c>
      <c r="C217" s="1" t="s">
        <v>135</v>
      </c>
      <c r="D217" s="1" t="s">
        <v>83</v>
      </c>
      <c r="E217" s="6">
        <v>61</v>
      </c>
      <c r="F217" s="6">
        <v>16.2</v>
      </c>
      <c r="G217" s="6">
        <v>44.8</v>
      </c>
      <c r="H217" s="6">
        <v>73</v>
      </c>
      <c r="I217" s="1" t="s">
        <v>13</v>
      </c>
      <c r="J217" s="1" t="s">
        <v>80</v>
      </c>
      <c r="K217" s="1" t="s">
        <v>270</v>
      </c>
      <c r="L217" s="2" t="s">
        <v>143</v>
      </c>
      <c r="M217" s="3" t="s">
        <v>107</v>
      </c>
      <c r="N217" s="2" t="s">
        <v>178</v>
      </c>
      <c r="O217" s="2" t="s">
        <v>119</v>
      </c>
      <c r="P217" s="4" t="s">
        <v>96</v>
      </c>
      <c r="Q217" s="4">
        <v>30000</v>
      </c>
      <c r="R217" s="4">
        <f t="shared" si="28"/>
        <v>600000</v>
      </c>
      <c r="S217" s="4" t="s">
        <v>96</v>
      </c>
      <c r="T217" s="23">
        <v>20000</v>
      </c>
    </row>
    <row r="218" spans="1:20" x14ac:dyDescent="0.3">
      <c r="A218" s="22" t="s">
        <v>17</v>
      </c>
      <c r="B218" s="1" t="s">
        <v>166</v>
      </c>
      <c r="C218" s="1" t="s">
        <v>135</v>
      </c>
      <c r="D218" s="1" t="s">
        <v>84</v>
      </c>
      <c r="E218" s="6">
        <f>100/H218*G218</f>
        <v>1006.4516129032257</v>
      </c>
      <c r="F218" s="6">
        <f>E218-G218</f>
        <v>850.45161290322574</v>
      </c>
      <c r="G218" s="6">
        <v>156</v>
      </c>
      <c r="H218" s="6">
        <v>15.5</v>
      </c>
      <c r="I218" s="1" t="s">
        <v>13</v>
      </c>
      <c r="J218" s="1" t="s">
        <v>80</v>
      </c>
      <c r="K218" s="1" t="s">
        <v>72</v>
      </c>
      <c r="L218" s="2" t="s">
        <v>143</v>
      </c>
      <c r="M218" s="3" t="s">
        <v>107</v>
      </c>
      <c r="N218" s="2" t="s">
        <v>122</v>
      </c>
      <c r="O218" s="2" t="s">
        <v>119</v>
      </c>
      <c r="P218" s="4">
        <v>30</v>
      </c>
      <c r="Q218" s="4">
        <f>2*1*10000</f>
        <v>20000</v>
      </c>
      <c r="R218" s="4">
        <f t="shared" si="28"/>
        <v>795060</v>
      </c>
      <c r="S218" s="4" t="s">
        <v>96</v>
      </c>
      <c r="T218" s="23">
        <v>39753</v>
      </c>
    </row>
    <row r="219" spans="1:20" x14ac:dyDescent="0.3">
      <c r="A219" s="22" t="s">
        <v>17</v>
      </c>
      <c r="B219" s="1" t="s">
        <v>166</v>
      </c>
      <c r="C219" s="1" t="s">
        <v>135</v>
      </c>
      <c r="D219" s="1" t="s">
        <v>82</v>
      </c>
      <c r="E219" s="6">
        <f>100/H219*G219</f>
        <v>1216.3009404388715</v>
      </c>
      <c r="F219" s="6">
        <f>E219-G219</f>
        <v>828.30094043887152</v>
      </c>
      <c r="G219" s="6">
        <v>388</v>
      </c>
      <c r="H219" s="6">
        <v>31.9</v>
      </c>
      <c r="I219" s="1" t="s">
        <v>13</v>
      </c>
      <c r="J219" s="1" t="s">
        <v>80</v>
      </c>
      <c r="K219" s="1" t="s">
        <v>72</v>
      </c>
      <c r="L219" s="2" t="s">
        <v>143</v>
      </c>
      <c r="M219" s="3" t="s">
        <v>107</v>
      </c>
      <c r="N219" s="2" t="s">
        <v>122</v>
      </c>
      <c r="O219" s="2" t="s">
        <v>119</v>
      </c>
      <c r="P219" s="4">
        <v>30</v>
      </c>
      <c r="Q219" s="4">
        <f>2*1*10000</f>
        <v>20000</v>
      </c>
      <c r="R219" s="4">
        <f t="shared" si="28"/>
        <v>795060</v>
      </c>
      <c r="S219" s="4" t="s">
        <v>96</v>
      </c>
      <c r="T219" s="23">
        <v>39753</v>
      </c>
    </row>
    <row r="220" spans="1:20" x14ac:dyDescent="0.3">
      <c r="A220" s="22" t="s">
        <v>17</v>
      </c>
      <c r="B220" s="1" t="s">
        <v>166</v>
      </c>
      <c r="C220" s="1" t="s">
        <v>135</v>
      </c>
      <c r="D220" s="1" t="s">
        <v>181</v>
      </c>
      <c r="E220" s="6">
        <f>100/H220*G220</f>
        <v>21.588089330024815</v>
      </c>
      <c r="F220" s="6">
        <f>E220-G220</f>
        <v>12.888089330024815</v>
      </c>
      <c r="G220" s="6">
        <v>8.6999999999999993</v>
      </c>
      <c r="H220" s="6">
        <v>40.299999999999997</v>
      </c>
      <c r="I220" s="1" t="s">
        <v>13</v>
      </c>
      <c r="J220" s="1" t="s">
        <v>80</v>
      </c>
      <c r="K220" s="1" t="s">
        <v>72</v>
      </c>
      <c r="L220" s="2" t="s">
        <v>143</v>
      </c>
      <c r="M220" s="3" t="s">
        <v>107</v>
      </c>
      <c r="N220" s="2" t="s">
        <v>122</v>
      </c>
      <c r="O220" s="2" t="s">
        <v>119</v>
      </c>
      <c r="P220" s="4">
        <v>30</v>
      </c>
      <c r="Q220" s="4">
        <f>2*1*10000</f>
        <v>20000</v>
      </c>
      <c r="R220" s="4">
        <f t="shared" si="28"/>
        <v>795060</v>
      </c>
      <c r="S220" s="4" t="s">
        <v>96</v>
      </c>
      <c r="T220" s="23">
        <v>39753</v>
      </c>
    </row>
    <row r="221" spans="1:20" x14ac:dyDescent="0.3">
      <c r="A221" s="22" t="s">
        <v>17</v>
      </c>
      <c r="B221" s="1" t="s">
        <v>166</v>
      </c>
      <c r="C221" s="1" t="s">
        <v>135</v>
      </c>
      <c r="D221" s="1" t="s">
        <v>83</v>
      </c>
      <c r="E221" s="6">
        <f>100/H221*G221</f>
        <v>56.206088992974237</v>
      </c>
      <c r="F221" s="6">
        <f>E221-G221</f>
        <v>32.206088992974237</v>
      </c>
      <c r="G221" s="6">
        <v>24</v>
      </c>
      <c r="H221" s="6">
        <v>42.7</v>
      </c>
      <c r="I221" s="1" t="s">
        <v>13</v>
      </c>
      <c r="J221" s="1" t="s">
        <v>80</v>
      </c>
      <c r="K221" s="1" t="s">
        <v>72</v>
      </c>
      <c r="L221" s="2" t="s">
        <v>143</v>
      </c>
      <c r="M221" s="3" t="s">
        <v>107</v>
      </c>
      <c r="N221" s="2" t="s">
        <v>122</v>
      </c>
      <c r="O221" s="2" t="s">
        <v>119</v>
      </c>
      <c r="P221" s="4">
        <v>30</v>
      </c>
      <c r="Q221" s="4">
        <f>2*1*10000</f>
        <v>20000</v>
      </c>
      <c r="R221" s="4">
        <f t="shared" si="28"/>
        <v>795060</v>
      </c>
      <c r="S221" s="4" t="s">
        <v>96</v>
      </c>
      <c r="T221" s="23">
        <v>39753</v>
      </c>
    </row>
    <row r="222" spans="1:20" x14ac:dyDescent="0.3">
      <c r="A222" s="22" t="s">
        <v>17</v>
      </c>
      <c r="B222" s="1" t="s">
        <v>21</v>
      </c>
      <c r="C222" s="1" t="s">
        <v>134</v>
      </c>
      <c r="D222" s="1" t="s">
        <v>84</v>
      </c>
      <c r="E222" s="6"/>
      <c r="F222" s="6"/>
      <c r="G222" s="6"/>
      <c r="H222" s="7">
        <v>40</v>
      </c>
      <c r="I222" s="1" t="s">
        <v>13</v>
      </c>
      <c r="J222" s="1" t="s">
        <v>10</v>
      </c>
      <c r="K222" s="1" t="s">
        <v>22</v>
      </c>
      <c r="L222" s="2" t="s">
        <v>91</v>
      </c>
      <c r="M222" s="3" t="s">
        <v>101</v>
      </c>
      <c r="N222" s="2" t="s">
        <v>113</v>
      </c>
      <c r="O222" s="2" t="s">
        <v>116</v>
      </c>
      <c r="P222" s="4">
        <v>18</v>
      </c>
      <c r="Q222" s="4" t="s">
        <v>96</v>
      </c>
      <c r="R222" s="4" t="s">
        <v>96</v>
      </c>
      <c r="S222" s="4"/>
      <c r="T222" s="23" t="s">
        <v>96</v>
      </c>
    </row>
    <row r="223" spans="1:20" x14ac:dyDescent="0.3">
      <c r="A223" s="22" t="s">
        <v>17</v>
      </c>
      <c r="B223" s="1" t="s">
        <v>222</v>
      </c>
      <c r="C223" s="1" t="s">
        <v>134</v>
      </c>
      <c r="D223" s="1" t="s">
        <v>83</v>
      </c>
      <c r="E223" s="6">
        <v>3.63</v>
      </c>
      <c r="F223" s="6">
        <v>0.73</v>
      </c>
      <c r="G223" s="6">
        <v>2.9</v>
      </c>
      <c r="H223" s="7">
        <v>79.889807162534439</v>
      </c>
      <c r="I223" s="1" t="s">
        <v>13</v>
      </c>
      <c r="J223" s="1" t="s">
        <v>79</v>
      </c>
      <c r="K223" s="1" t="s">
        <v>187</v>
      </c>
      <c r="L223" s="2" t="s">
        <v>91</v>
      </c>
      <c r="M223" s="3" t="s">
        <v>101</v>
      </c>
      <c r="N223" s="2" t="s">
        <v>106</v>
      </c>
      <c r="O223" s="2" t="s">
        <v>118</v>
      </c>
      <c r="P223" s="4">
        <v>40</v>
      </c>
      <c r="Q223" s="4">
        <v>59000</v>
      </c>
      <c r="R223" s="4">
        <f>10040*0.23*S223</f>
        <v>37639.960000000006</v>
      </c>
      <c r="S223" s="5">
        <v>16.3</v>
      </c>
      <c r="T223" s="23">
        <f>R223/Q223*1000</f>
        <v>637.96542372881368</v>
      </c>
    </row>
    <row r="224" spans="1:20" x14ac:dyDescent="0.3">
      <c r="A224" s="22" t="s">
        <v>17</v>
      </c>
      <c r="B224" s="1" t="s">
        <v>222</v>
      </c>
      <c r="C224" s="1" t="s">
        <v>134</v>
      </c>
      <c r="D224" s="1" t="s">
        <v>82</v>
      </c>
      <c r="E224" s="6">
        <v>83</v>
      </c>
      <c r="F224" s="6">
        <v>9.1999999999999993</v>
      </c>
      <c r="G224" s="6">
        <f>E224-F224</f>
        <v>73.8</v>
      </c>
      <c r="H224" s="7">
        <f>G224/E224*100</f>
        <v>88.915662650602414</v>
      </c>
      <c r="I224" s="1" t="s">
        <v>13</v>
      </c>
      <c r="J224" s="1" t="s">
        <v>79</v>
      </c>
      <c r="K224" s="1" t="s">
        <v>188</v>
      </c>
      <c r="L224" s="2" t="s">
        <v>91</v>
      </c>
      <c r="M224" s="3" t="s">
        <v>101</v>
      </c>
      <c r="N224" s="2" t="s">
        <v>106</v>
      </c>
      <c r="O224" s="2" t="s">
        <v>118</v>
      </c>
      <c r="P224" s="4">
        <v>40</v>
      </c>
      <c r="Q224" s="4">
        <v>59000</v>
      </c>
      <c r="R224" s="4">
        <f>10040*0.23*S224</f>
        <v>37639.960000000006</v>
      </c>
      <c r="S224" s="5">
        <v>16.3</v>
      </c>
      <c r="T224" s="23">
        <f>R224/Q224*1000</f>
        <v>637.96542372881368</v>
      </c>
    </row>
    <row r="225" spans="1:20" x14ac:dyDescent="0.3">
      <c r="A225" s="22" t="s">
        <v>17</v>
      </c>
      <c r="B225" s="1" t="s">
        <v>161</v>
      </c>
      <c r="C225" s="1" t="s">
        <v>134</v>
      </c>
      <c r="D225" s="1" t="s">
        <v>83</v>
      </c>
      <c r="E225" s="6"/>
      <c r="F225" s="6"/>
      <c r="G225" s="6"/>
      <c r="H225" s="7">
        <f>4.3/12.5*100</f>
        <v>34.4</v>
      </c>
      <c r="I225" s="1" t="s">
        <v>13</v>
      </c>
      <c r="J225" s="1" t="s">
        <v>80</v>
      </c>
      <c r="K225" s="1" t="s">
        <v>32</v>
      </c>
      <c r="L225" s="2" t="s">
        <v>104</v>
      </c>
      <c r="M225" s="3" t="s">
        <v>102</v>
      </c>
      <c r="N225" s="2" t="s">
        <v>124</v>
      </c>
      <c r="O225" s="2" t="s">
        <v>123</v>
      </c>
      <c r="P225" s="4">
        <v>135</v>
      </c>
      <c r="Q225" s="4">
        <v>2000</v>
      </c>
      <c r="R225" s="4" t="s">
        <v>96</v>
      </c>
      <c r="S225" s="5">
        <v>6.1</v>
      </c>
      <c r="T225" s="23" t="s">
        <v>96</v>
      </c>
    </row>
    <row r="226" spans="1:20" x14ac:dyDescent="0.3">
      <c r="A226" s="22" t="s">
        <v>17</v>
      </c>
      <c r="B226" s="1" t="s">
        <v>161</v>
      </c>
      <c r="C226" s="1" t="s">
        <v>134</v>
      </c>
      <c r="D226" s="1" t="s">
        <v>181</v>
      </c>
      <c r="E226" s="6"/>
      <c r="F226" s="6"/>
      <c r="G226" s="6"/>
      <c r="H226" s="7">
        <f>5.2/12.5*100</f>
        <v>41.6</v>
      </c>
      <c r="I226" s="1" t="s">
        <v>13</v>
      </c>
      <c r="J226" s="1" t="s">
        <v>80</v>
      </c>
      <c r="K226" s="1" t="s">
        <v>32</v>
      </c>
      <c r="L226" s="2" t="s">
        <v>104</v>
      </c>
      <c r="M226" s="3" t="s">
        <v>102</v>
      </c>
      <c r="N226" s="2" t="s">
        <v>124</v>
      </c>
      <c r="O226" s="2" t="s">
        <v>123</v>
      </c>
      <c r="P226" s="4">
        <v>135</v>
      </c>
      <c r="Q226" s="4">
        <v>2000</v>
      </c>
      <c r="R226" s="4" t="s">
        <v>96</v>
      </c>
      <c r="S226" s="5">
        <v>6.1</v>
      </c>
      <c r="T226" s="23" t="s">
        <v>96</v>
      </c>
    </row>
    <row r="227" spans="1:20" x14ac:dyDescent="0.3">
      <c r="A227" s="22" t="s">
        <v>17</v>
      </c>
      <c r="B227" s="1" t="s">
        <v>161</v>
      </c>
      <c r="C227" s="1" t="s">
        <v>134</v>
      </c>
      <c r="D227" s="1" t="s">
        <v>84</v>
      </c>
      <c r="E227" s="6"/>
      <c r="F227" s="6"/>
      <c r="G227" s="6"/>
      <c r="H227" s="7">
        <f>7.5/12.5*100</f>
        <v>60</v>
      </c>
      <c r="I227" s="1" t="s">
        <v>13</v>
      </c>
      <c r="J227" s="1" t="s">
        <v>80</v>
      </c>
      <c r="K227" s="1" t="s">
        <v>32</v>
      </c>
      <c r="L227" s="2" t="s">
        <v>104</v>
      </c>
      <c r="M227" s="3" t="s">
        <v>102</v>
      </c>
      <c r="N227" s="2" t="s">
        <v>124</v>
      </c>
      <c r="O227" s="2" t="s">
        <v>123</v>
      </c>
      <c r="P227" s="4">
        <v>135</v>
      </c>
      <c r="Q227" s="4">
        <v>2000</v>
      </c>
      <c r="R227" s="4" t="s">
        <v>96</v>
      </c>
      <c r="S227" s="5">
        <v>6.1</v>
      </c>
      <c r="T227" s="23" t="s">
        <v>96</v>
      </c>
    </row>
    <row r="228" spans="1:20" x14ac:dyDescent="0.3">
      <c r="A228" s="22" t="s">
        <v>17</v>
      </c>
      <c r="B228" s="1" t="s">
        <v>161</v>
      </c>
      <c r="C228" s="1" t="s">
        <v>134</v>
      </c>
      <c r="D228" s="1" t="s">
        <v>82</v>
      </c>
      <c r="E228" s="6"/>
      <c r="F228" s="6"/>
      <c r="G228" s="6"/>
      <c r="H228" s="7">
        <f>5.1/12.5*100</f>
        <v>40.799999999999997</v>
      </c>
      <c r="I228" s="1" t="s">
        <v>13</v>
      </c>
      <c r="J228" s="1" t="s">
        <v>80</v>
      </c>
      <c r="K228" s="1" t="s">
        <v>32</v>
      </c>
      <c r="L228" s="2" t="s">
        <v>104</v>
      </c>
      <c r="M228" s="3" t="s">
        <v>102</v>
      </c>
      <c r="N228" s="2" t="s">
        <v>124</v>
      </c>
      <c r="O228" s="2" t="s">
        <v>123</v>
      </c>
      <c r="P228" s="4">
        <v>135</v>
      </c>
      <c r="Q228" s="4">
        <v>2000</v>
      </c>
      <c r="R228" s="4" t="s">
        <v>96</v>
      </c>
      <c r="S228" s="5">
        <v>6.1</v>
      </c>
      <c r="T228" s="23" t="s">
        <v>96</v>
      </c>
    </row>
    <row r="229" spans="1:20" x14ac:dyDescent="0.3">
      <c r="A229" s="22" t="s">
        <v>17</v>
      </c>
      <c r="B229" s="1" t="s">
        <v>161</v>
      </c>
      <c r="C229" s="1" t="s">
        <v>134</v>
      </c>
      <c r="D229" s="1" t="s">
        <v>83</v>
      </c>
      <c r="E229" s="6"/>
      <c r="F229" s="6"/>
      <c r="G229" s="6"/>
      <c r="H229" s="7">
        <f>0.9/12.5*100</f>
        <v>7.2000000000000011</v>
      </c>
      <c r="I229" s="1" t="s">
        <v>13</v>
      </c>
      <c r="J229" s="1" t="s">
        <v>80</v>
      </c>
      <c r="K229" s="1" t="s">
        <v>32</v>
      </c>
      <c r="L229" s="2" t="s">
        <v>104</v>
      </c>
      <c r="M229" s="3" t="s">
        <v>102</v>
      </c>
      <c r="N229" s="2" t="s">
        <v>125</v>
      </c>
      <c r="O229" s="2" t="s">
        <v>123</v>
      </c>
      <c r="P229" s="4">
        <v>115</v>
      </c>
      <c r="Q229" s="4">
        <v>2000</v>
      </c>
      <c r="R229" s="4" t="s">
        <v>96</v>
      </c>
      <c r="S229" s="5">
        <v>9.3000000000000007</v>
      </c>
      <c r="T229" s="23" t="s">
        <v>96</v>
      </c>
    </row>
    <row r="230" spans="1:20" x14ac:dyDescent="0.3">
      <c r="A230" s="22" t="s">
        <v>17</v>
      </c>
      <c r="B230" s="1" t="s">
        <v>161</v>
      </c>
      <c r="C230" s="1" t="s">
        <v>134</v>
      </c>
      <c r="D230" s="1" t="s">
        <v>181</v>
      </c>
      <c r="E230" s="6"/>
      <c r="F230" s="6"/>
      <c r="G230" s="6"/>
      <c r="H230" s="7">
        <f>1.35/12.5*100</f>
        <v>10.8</v>
      </c>
      <c r="I230" s="1" t="s">
        <v>13</v>
      </c>
      <c r="J230" s="1" t="s">
        <v>80</v>
      </c>
      <c r="K230" s="1" t="s">
        <v>32</v>
      </c>
      <c r="L230" s="2" t="s">
        <v>104</v>
      </c>
      <c r="M230" s="3" t="s">
        <v>102</v>
      </c>
      <c r="N230" s="2" t="s">
        <v>125</v>
      </c>
      <c r="O230" s="2" t="s">
        <v>123</v>
      </c>
      <c r="P230" s="4">
        <v>115</v>
      </c>
      <c r="Q230" s="4">
        <v>2000</v>
      </c>
      <c r="R230" s="4" t="s">
        <v>96</v>
      </c>
      <c r="S230" s="5">
        <v>9.3000000000000007</v>
      </c>
      <c r="T230" s="23" t="s">
        <v>96</v>
      </c>
    </row>
    <row r="231" spans="1:20" x14ac:dyDescent="0.3">
      <c r="A231" s="22" t="s">
        <v>17</v>
      </c>
      <c r="B231" s="1" t="s">
        <v>161</v>
      </c>
      <c r="C231" s="1" t="s">
        <v>134</v>
      </c>
      <c r="D231" s="1" t="s">
        <v>84</v>
      </c>
      <c r="E231" s="6"/>
      <c r="F231" s="6"/>
      <c r="G231" s="6"/>
      <c r="H231" s="7">
        <f>-3.9/12.5*100</f>
        <v>-31.2</v>
      </c>
      <c r="I231" s="1" t="s">
        <v>13</v>
      </c>
      <c r="J231" s="1" t="s">
        <v>80</v>
      </c>
      <c r="K231" s="1" t="s">
        <v>32</v>
      </c>
      <c r="L231" s="2" t="s">
        <v>104</v>
      </c>
      <c r="M231" s="3" t="s">
        <v>102</v>
      </c>
      <c r="N231" s="2" t="s">
        <v>125</v>
      </c>
      <c r="O231" s="2" t="s">
        <v>123</v>
      </c>
      <c r="P231" s="4">
        <v>115</v>
      </c>
      <c r="Q231" s="4">
        <v>2000</v>
      </c>
      <c r="R231" s="4" t="s">
        <v>96</v>
      </c>
      <c r="S231" s="5">
        <v>9.3000000000000007</v>
      </c>
      <c r="T231" s="23" t="s">
        <v>96</v>
      </c>
    </row>
    <row r="232" spans="1:20" x14ac:dyDescent="0.3">
      <c r="A232" s="22" t="s">
        <v>17</v>
      </c>
      <c r="B232" s="1" t="s">
        <v>161</v>
      </c>
      <c r="C232" s="1" t="s">
        <v>134</v>
      </c>
      <c r="D232" s="1" t="s">
        <v>82</v>
      </c>
      <c r="E232" s="6"/>
      <c r="F232" s="6"/>
      <c r="G232" s="6"/>
      <c r="H232" s="7">
        <f>0.4/12.5*100</f>
        <v>3.2</v>
      </c>
      <c r="I232" s="1" t="s">
        <v>13</v>
      </c>
      <c r="J232" s="1" t="s">
        <v>80</v>
      </c>
      <c r="K232" s="1" t="s">
        <v>32</v>
      </c>
      <c r="L232" s="2" t="s">
        <v>104</v>
      </c>
      <c r="M232" s="3" t="s">
        <v>102</v>
      </c>
      <c r="N232" s="2" t="s">
        <v>125</v>
      </c>
      <c r="O232" s="2" t="s">
        <v>123</v>
      </c>
      <c r="P232" s="4">
        <v>115</v>
      </c>
      <c r="Q232" s="4">
        <v>2000</v>
      </c>
      <c r="R232" s="4" t="s">
        <v>96</v>
      </c>
      <c r="S232" s="5">
        <v>9.3000000000000007</v>
      </c>
      <c r="T232" s="23" t="s">
        <v>96</v>
      </c>
    </row>
    <row r="233" spans="1:20" x14ac:dyDescent="0.3">
      <c r="A233" s="22" t="s">
        <v>17</v>
      </c>
      <c r="B233" s="1" t="s">
        <v>182</v>
      </c>
      <c r="C233" s="1" t="s">
        <v>134</v>
      </c>
      <c r="D233" s="1" t="s">
        <v>84</v>
      </c>
      <c r="E233" s="6">
        <f>AVERAGE(374,861,635)/Q233*10000</f>
        <v>1038.8888888888889</v>
      </c>
      <c r="F233" s="6">
        <f>AVERAGE(253,571,286)/Q233*10000</f>
        <v>616.66666666666663</v>
      </c>
      <c r="G233" s="6">
        <f t="shared" ref="G233:G245" si="29">E233-F233</f>
        <v>422.22222222222229</v>
      </c>
      <c r="H233" s="7">
        <f>G233/E233*100</f>
        <v>40.64171122994653</v>
      </c>
      <c r="I233" s="1" t="s">
        <v>13</v>
      </c>
      <c r="J233" s="1" t="s">
        <v>10</v>
      </c>
      <c r="K233" s="1" t="s">
        <v>189</v>
      </c>
      <c r="L233" s="2" t="s">
        <v>104</v>
      </c>
      <c r="M233" s="3" t="s">
        <v>102</v>
      </c>
      <c r="N233" s="2" t="s">
        <v>185</v>
      </c>
      <c r="O233" s="2" t="s">
        <v>123</v>
      </c>
      <c r="P233" s="4" t="s">
        <v>96</v>
      </c>
      <c r="Q233" s="4">
        <f t="shared" ref="Q233:Q238" si="30">0.6*10000</f>
        <v>6000</v>
      </c>
      <c r="R233" s="4">
        <f t="shared" ref="R233:R238" si="31">(30500+59200+54300+3500+4200+4900-5000-4400-5500)/3</f>
        <v>47233.333333333336</v>
      </c>
      <c r="S233" s="4">
        <v>15</v>
      </c>
      <c r="T233" s="23">
        <f t="shared" ref="T233:T245" si="32">R233/Q233*1000</f>
        <v>7872.2222222222226</v>
      </c>
    </row>
    <row r="234" spans="1:20" x14ac:dyDescent="0.3">
      <c r="A234" s="22" t="s">
        <v>17</v>
      </c>
      <c r="B234" s="1" t="s">
        <v>182</v>
      </c>
      <c r="C234" s="1" t="s">
        <v>134</v>
      </c>
      <c r="D234" s="1" t="s">
        <v>85</v>
      </c>
      <c r="E234" s="6">
        <f>AVERAGE(3.4,0.3,141.5)/Q234*10000</f>
        <v>80.666666666666657</v>
      </c>
      <c r="F234" s="6">
        <f>AVERAGE(3.2,1.7,62.5)/Q234*10000</f>
        <v>37.44444444444445</v>
      </c>
      <c r="G234" s="6">
        <f t="shared" si="29"/>
        <v>43.222222222222207</v>
      </c>
      <c r="H234" s="7">
        <f>G234/E234*100</f>
        <v>53.581267217630845</v>
      </c>
      <c r="I234" s="1" t="s">
        <v>13</v>
      </c>
      <c r="J234" s="1" t="s">
        <v>10</v>
      </c>
      <c r="K234" s="1" t="s">
        <v>189</v>
      </c>
      <c r="L234" s="2" t="s">
        <v>104</v>
      </c>
      <c r="M234" s="3" t="s">
        <v>102</v>
      </c>
      <c r="N234" s="2" t="s">
        <v>185</v>
      </c>
      <c r="O234" s="2" t="s">
        <v>123</v>
      </c>
      <c r="P234" s="4" t="s">
        <v>96</v>
      </c>
      <c r="Q234" s="4">
        <f t="shared" si="30"/>
        <v>6000</v>
      </c>
      <c r="R234" s="4">
        <f t="shared" si="31"/>
        <v>47233.333333333336</v>
      </c>
      <c r="S234" s="4">
        <v>15</v>
      </c>
      <c r="T234" s="23">
        <f t="shared" si="32"/>
        <v>7872.2222222222226</v>
      </c>
    </row>
    <row r="235" spans="1:20" x14ac:dyDescent="0.3">
      <c r="A235" s="22" t="s">
        <v>17</v>
      </c>
      <c r="B235" s="1" t="s">
        <v>182</v>
      </c>
      <c r="C235" s="1" t="s">
        <v>134</v>
      </c>
      <c r="D235" s="1" t="s">
        <v>89</v>
      </c>
      <c r="E235" s="6">
        <f>AVERAGE(0,0,0)/Q235*10000</f>
        <v>0</v>
      </c>
      <c r="F235" s="6">
        <f>AVERAGE(3,2,21)/Q235*10000</f>
        <v>14.444444444444445</v>
      </c>
      <c r="G235" s="6">
        <f t="shared" si="29"/>
        <v>-14.444444444444445</v>
      </c>
      <c r="H235" s="7" t="s">
        <v>186</v>
      </c>
      <c r="I235" s="1" t="s">
        <v>13</v>
      </c>
      <c r="J235" s="1" t="s">
        <v>10</v>
      </c>
      <c r="K235" s="1" t="s">
        <v>189</v>
      </c>
      <c r="L235" s="2" t="s">
        <v>104</v>
      </c>
      <c r="M235" s="3" t="s">
        <v>102</v>
      </c>
      <c r="N235" s="2" t="s">
        <v>185</v>
      </c>
      <c r="O235" s="2" t="s">
        <v>123</v>
      </c>
      <c r="P235" s="4" t="s">
        <v>96</v>
      </c>
      <c r="Q235" s="4">
        <f t="shared" si="30"/>
        <v>6000</v>
      </c>
      <c r="R235" s="4">
        <f t="shared" si="31"/>
        <v>47233.333333333336</v>
      </c>
      <c r="S235" s="4">
        <v>15</v>
      </c>
      <c r="T235" s="23">
        <f t="shared" si="32"/>
        <v>7872.2222222222226</v>
      </c>
    </row>
    <row r="236" spans="1:20" x14ac:dyDescent="0.3">
      <c r="A236" s="22" t="s">
        <v>17</v>
      </c>
      <c r="B236" s="1" t="s">
        <v>182</v>
      </c>
      <c r="C236" s="1" t="s">
        <v>134</v>
      </c>
      <c r="D236" s="1" t="s">
        <v>82</v>
      </c>
      <c r="E236" s="6">
        <f>AVERAGE(378,861,777)/Q236*10000</f>
        <v>1120</v>
      </c>
      <c r="F236" s="6">
        <f>AVERAGE(259,574,370)/Q236*10000</f>
        <v>668.33333333333326</v>
      </c>
      <c r="G236" s="6">
        <f t="shared" si="29"/>
        <v>451.66666666666674</v>
      </c>
      <c r="H236" s="7">
        <f>G236/E236*100</f>
        <v>40.327380952380956</v>
      </c>
      <c r="I236" s="1" t="s">
        <v>13</v>
      </c>
      <c r="J236" s="1" t="s">
        <v>10</v>
      </c>
      <c r="K236" s="1" t="s">
        <v>189</v>
      </c>
      <c r="L236" s="2" t="s">
        <v>104</v>
      </c>
      <c r="M236" s="3" t="s">
        <v>102</v>
      </c>
      <c r="N236" s="2" t="s">
        <v>185</v>
      </c>
      <c r="O236" s="2" t="s">
        <v>123</v>
      </c>
      <c r="P236" s="4" t="s">
        <v>96</v>
      </c>
      <c r="Q236" s="4">
        <f t="shared" si="30"/>
        <v>6000</v>
      </c>
      <c r="R236" s="4">
        <f t="shared" si="31"/>
        <v>47233.333333333336</v>
      </c>
      <c r="S236" s="4">
        <v>15</v>
      </c>
      <c r="T236" s="23">
        <f t="shared" si="32"/>
        <v>7872.2222222222226</v>
      </c>
    </row>
    <row r="237" spans="1:20" x14ac:dyDescent="0.3">
      <c r="A237" s="22" t="s">
        <v>17</v>
      </c>
      <c r="B237" s="1" t="s">
        <v>182</v>
      </c>
      <c r="C237" s="1" t="s">
        <v>134</v>
      </c>
      <c r="D237" s="1" t="s">
        <v>181</v>
      </c>
      <c r="E237" s="6">
        <f>AVERAGE(5.4,9.9,15)/Q237*10000</f>
        <v>16.833333333333332</v>
      </c>
      <c r="F237" s="6">
        <f>AVERAGE(4.5,8,8)/Q237*10000</f>
        <v>11.388888888888889</v>
      </c>
      <c r="G237" s="6">
        <f t="shared" si="29"/>
        <v>5.4444444444444429</v>
      </c>
      <c r="H237" s="7">
        <f>G237/E237*100</f>
        <v>32.343234323432334</v>
      </c>
      <c r="I237" s="1" t="s">
        <v>13</v>
      </c>
      <c r="J237" s="1" t="s">
        <v>10</v>
      </c>
      <c r="K237" s="1" t="s">
        <v>189</v>
      </c>
      <c r="L237" s="2" t="s">
        <v>104</v>
      </c>
      <c r="M237" s="3" t="s">
        <v>102</v>
      </c>
      <c r="N237" s="2" t="s">
        <v>185</v>
      </c>
      <c r="O237" s="2" t="s">
        <v>123</v>
      </c>
      <c r="P237" s="4" t="s">
        <v>96</v>
      </c>
      <c r="Q237" s="4">
        <f t="shared" si="30"/>
        <v>6000</v>
      </c>
      <c r="R237" s="4">
        <f t="shared" si="31"/>
        <v>47233.333333333336</v>
      </c>
      <c r="S237" s="4">
        <v>15</v>
      </c>
      <c r="T237" s="23">
        <f t="shared" si="32"/>
        <v>7872.2222222222226</v>
      </c>
    </row>
    <row r="238" spans="1:20" x14ac:dyDescent="0.3">
      <c r="A238" s="22" t="s">
        <v>17</v>
      </c>
      <c r="B238" s="1" t="s">
        <v>182</v>
      </c>
      <c r="C238" s="1" t="s">
        <v>134</v>
      </c>
      <c r="D238" s="1" t="s">
        <v>83</v>
      </c>
      <c r="E238" s="6">
        <f>AVERAGE(5.4,9.9,14.7)/Q238*10000</f>
        <v>16.666666666666668</v>
      </c>
      <c r="F238" s="6">
        <f>AVERAGE(4.5,8.9,9.6)/Q238*10000</f>
        <v>12.777777777777779</v>
      </c>
      <c r="G238" s="6">
        <f t="shared" si="29"/>
        <v>3.8888888888888893</v>
      </c>
      <c r="H238" s="7">
        <f>G238/E238*100</f>
        <v>23.333333333333332</v>
      </c>
      <c r="I238" s="1" t="s">
        <v>13</v>
      </c>
      <c r="J238" s="1" t="s">
        <v>10</v>
      </c>
      <c r="K238" s="1" t="s">
        <v>189</v>
      </c>
      <c r="L238" s="2" t="s">
        <v>104</v>
      </c>
      <c r="M238" s="3" t="s">
        <v>102</v>
      </c>
      <c r="N238" s="2" t="s">
        <v>185</v>
      </c>
      <c r="O238" s="2" t="s">
        <v>123</v>
      </c>
      <c r="P238" s="4" t="s">
        <v>96</v>
      </c>
      <c r="Q238" s="4">
        <f t="shared" si="30"/>
        <v>6000</v>
      </c>
      <c r="R238" s="4">
        <f t="shared" si="31"/>
        <v>47233.333333333336</v>
      </c>
      <c r="S238" s="4">
        <v>15</v>
      </c>
      <c r="T238" s="23">
        <f t="shared" si="32"/>
        <v>7872.2222222222226</v>
      </c>
    </row>
    <row r="239" spans="1:20" x14ac:dyDescent="0.3">
      <c r="A239" s="22" t="s">
        <v>17</v>
      </c>
      <c r="B239" s="1" t="s">
        <v>183</v>
      </c>
      <c r="C239" s="1" t="s">
        <v>134</v>
      </c>
      <c r="D239" s="1" t="s">
        <v>84</v>
      </c>
      <c r="E239" s="6">
        <f>AVERAGE(105,238,149)/Q239*10000</f>
        <v>546.66666666666674</v>
      </c>
      <c r="F239" s="6">
        <f>AVERAGE(66,128,77)/Q239*10000</f>
        <v>301.11111111111109</v>
      </c>
      <c r="G239" s="6">
        <f t="shared" si="29"/>
        <v>245.55555555555566</v>
      </c>
      <c r="H239" s="7">
        <f>G239/E239*100</f>
        <v>44.918699186991887</v>
      </c>
      <c r="I239" s="1" t="s">
        <v>13</v>
      </c>
      <c r="J239" s="1" t="s">
        <v>10</v>
      </c>
      <c r="K239" s="1" t="s">
        <v>189</v>
      </c>
      <c r="L239" s="2" t="s">
        <v>104</v>
      </c>
      <c r="M239" s="3" t="s">
        <v>102</v>
      </c>
      <c r="N239" s="2" t="s">
        <v>185</v>
      </c>
      <c r="O239" s="2" t="s">
        <v>123</v>
      </c>
      <c r="P239" s="4" t="s">
        <v>96</v>
      </c>
      <c r="Q239" s="4">
        <f t="shared" ref="Q239:Q244" si="33">0.3*10000</f>
        <v>3000</v>
      </c>
      <c r="R239" s="4">
        <f t="shared" ref="R239:R244" si="34">(13000+19300+15400+1600+2400+2800-2100-2800-3100)/3</f>
        <v>15500</v>
      </c>
      <c r="S239" s="4">
        <v>5</v>
      </c>
      <c r="T239" s="23">
        <f t="shared" si="32"/>
        <v>5166.666666666667</v>
      </c>
    </row>
    <row r="240" spans="1:20" x14ac:dyDescent="0.3">
      <c r="A240" s="22" t="s">
        <v>17</v>
      </c>
      <c r="B240" s="1" t="s">
        <v>183</v>
      </c>
      <c r="C240" s="1" t="s">
        <v>134</v>
      </c>
      <c r="D240" s="1" t="s">
        <v>85</v>
      </c>
      <c r="E240" s="6">
        <f>AVERAGE(0.7,0.4,4)/Q240*10000</f>
        <v>5.6666666666666661</v>
      </c>
      <c r="F240" s="6">
        <f>AVERAGE(0.8,1,1)/Q240*10000</f>
        <v>3.1111111111111107</v>
      </c>
      <c r="G240" s="6">
        <f t="shared" si="29"/>
        <v>2.5555555555555554</v>
      </c>
      <c r="H240" s="7">
        <f>G240/E240*100</f>
        <v>45.098039215686278</v>
      </c>
      <c r="I240" s="1" t="s">
        <v>13</v>
      </c>
      <c r="J240" s="1" t="s">
        <v>10</v>
      </c>
      <c r="K240" s="1" t="s">
        <v>189</v>
      </c>
      <c r="L240" s="2" t="s">
        <v>104</v>
      </c>
      <c r="M240" s="3" t="s">
        <v>102</v>
      </c>
      <c r="N240" s="2" t="s">
        <v>185</v>
      </c>
      <c r="O240" s="2" t="s">
        <v>123</v>
      </c>
      <c r="P240" s="4" t="s">
        <v>96</v>
      </c>
      <c r="Q240" s="4">
        <f t="shared" si="33"/>
        <v>3000</v>
      </c>
      <c r="R240" s="4">
        <f t="shared" si="34"/>
        <v>15500</v>
      </c>
      <c r="S240" s="4">
        <v>5</v>
      </c>
      <c r="T240" s="23">
        <f t="shared" si="32"/>
        <v>5166.666666666667</v>
      </c>
    </row>
    <row r="241" spans="1:20" x14ac:dyDescent="0.3">
      <c r="A241" s="22" t="s">
        <v>17</v>
      </c>
      <c r="B241" s="1" t="s">
        <v>183</v>
      </c>
      <c r="C241" s="1" t="s">
        <v>134</v>
      </c>
      <c r="D241" s="1" t="s">
        <v>89</v>
      </c>
      <c r="E241" s="6">
        <f>AVERAGE(0,0,0)/Q241*10000</f>
        <v>0</v>
      </c>
      <c r="F241" s="6">
        <f>AVERAGE(1,2.8,2)/Q241*10000</f>
        <v>6.4444444444444446</v>
      </c>
      <c r="G241" s="6">
        <f t="shared" si="29"/>
        <v>-6.4444444444444446</v>
      </c>
      <c r="H241" s="7" t="s">
        <v>186</v>
      </c>
      <c r="I241" s="1" t="s">
        <v>13</v>
      </c>
      <c r="J241" s="1" t="s">
        <v>10</v>
      </c>
      <c r="K241" s="1" t="s">
        <v>189</v>
      </c>
      <c r="L241" s="2" t="s">
        <v>104</v>
      </c>
      <c r="M241" s="3" t="s">
        <v>102</v>
      </c>
      <c r="N241" s="2" t="s">
        <v>185</v>
      </c>
      <c r="O241" s="2" t="s">
        <v>123</v>
      </c>
      <c r="P241" s="4" t="s">
        <v>96</v>
      </c>
      <c r="Q241" s="4">
        <f t="shared" si="33"/>
        <v>3000</v>
      </c>
      <c r="R241" s="4">
        <f t="shared" si="34"/>
        <v>15500</v>
      </c>
      <c r="S241" s="4">
        <v>5</v>
      </c>
      <c r="T241" s="23">
        <f t="shared" si="32"/>
        <v>5166.666666666667</v>
      </c>
    </row>
    <row r="242" spans="1:20" x14ac:dyDescent="0.3">
      <c r="A242" s="22" t="s">
        <v>17</v>
      </c>
      <c r="B242" s="1" t="s">
        <v>183</v>
      </c>
      <c r="C242" s="1" t="s">
        <v>134</v>
      </c>
      <c r="D242" s="1" t="s">
        <v>82</v>
      </c>
      <c r="E242" s="6">
        <f>AVERAGE(106,238,153)/Q242*10000</f>
        <v>552.22222222222217</v>
      </c>
      <c r="F242" s="6">
        <f>AVERAGE(68,131,80)/Q242*10000</f>
        <v>310</v>
      </c>
      <c r="G242" s="6">
        <f t="shared" si="29"/>
        <v>242.22222222222217</v>
      </c>
      <c r="H242" s="7">
        <f>G242/E242*100</f>
        <v>43.86317907444667</v>
      </c>
      <c r="I242" s="1" t="s">
        <v>13</v>
      </c>
      <c r="J242" s="1" t="s">
        <v>10</v>
      </c>
      <c r="K242" s="1" t="s">
        <v>189</v>
      </c>
      <c r="L242" s="2" t="s">
        <v>104</v>
      </c>
      <c r="M242" s="3" t="s">
        <v>102</v>
      </c>
      <c r="N242" s="2" t="s">
        <v>185</v>
      </c>
      <c r="O242" s="2" t="s">
        <v>123</v>
      </c>
      <c r="P242" s="4" t="s">
        <v>96</v>
      </c>
      <c r="Q242" s="4">
        <f t="shared" si="33"/>
        <v>3000</v>
      </c>
      <c r="R242" s="4">
        <f t="shared" si="34"/>
        <v>15500</v>
      </c>
      <c r="S242" s="4">
        <v>5</v>
      </c>
      <c r="T242" s="23">
        <f t="shared" si="32"/>
        <v>5166.666666666667</v>
      </c>
    </row>
    <row r="243" spans="1:20" x14ac:dyDescent="0.3">
      <c r="A243" s="22" t="s">
        <v>17</v>
      </c>
      <c r="B243" s="1" t="s">
        <v>183</v>
      </c>
      <c r="C243" s="1" t="s">
        <v>134</v>
      </c>
      <c r="D243" s="1" t="s">
        <v>181</v>
      </c>
      <c r="E243" s="6">
        <f>AVERAGE(1.5,2.4,2.1)/Q243*10000</f>
        <v>6.6666666666666661</v>
      </c>
      <c r="F243" s="6">
        <f>AVERAGE(0.2,2.3,1.3)/Q243*10000</f>
        <v>4.2222222222222223</v>
      </c>
      <c r="G243" s="6">
        <f t="shared" si="29"/>
        <v>2.4444444444444438</v>
      </c>
      <c r="H243" s="7">
        <f>G243/E243*100</f>
        <v>36.666666666666657</v>
      </c>
      <c r="I243" s="1" t="s">
        <v>13</v>
      </c>
      <c r="J243" s="1" t="s">
        <v>10</v>
      </c>
      <c r="K243" s="1" t="s">
        <v>189</v>
      </c>
      <c r="L243" s="2" t="s">
        <v>104</v>
      </c>
      <c r="M243" s="3" t="s">
        <v>102</v>
      </c>
      <c r="N243" s="2" t="s">
        <v>185</v>
      </c>
      <c r="O243" s="2" t="s">
        <v>123</v>
      </c>
      <c r="P243" s="4" t="s">
        <v>96</v>
      </c>
      <c r="Q243" s="4">
        <f t="shared" si="33"/>
        <v>3000</v>
      </c>
      <c r="R243" s="4">
        <f t="shared" si="34"/>
        <v>15500</v>
      </c>
      <c r="S243" s="4">
        <v>5</v>
      </c>
      <c r="T243" s="23">
        <f t="shared" si="32"/>
        <v>5166.666666666667</v>
      </c>
    </row>
    <row r="244" spans="1:20" x14ac:dyDescent="0.3">
      <c r="A244" s="22" t="s">
        <v>17</v>
      </c>
      <c r="B244" s="1" t="s">
        <v>183</v>
      </c>
      <c r="C244" s="1" t="s">
        <v>134</v>
      </c>
      <c r="D244" s="1" t="s">
        <v>83</v>
      </c>
      <c r="E244" s="6">
        <f>AVERAGE(1.5,2.4,2.1)/Q244*10000</f>
        <v>6.6666666666666661</v>
      </c>
      <c r="F244" s="6">
        <f>AVERAGE(0.3,2.7,1.4)/Q244*10000</f>
        <v>4.8888888888888893</v>
      </c>
      <c r="G244" s="6">
        <f t="shared" si="29"/>
        <v>1.7777777777777768</v>
      </c>
      <c r="H244" s="7">
        <f>G244/E244*100</f>
        <v>26.666666666666654</v>
      </c>
      <c r="I244" s="1" t="s">
        <v>13</v>
      </c>
      <c r="J244" s="1" t="s">
        <v>10</v>
      </c>
      <c r="K244" s="1" t="s">
        <v>189</v>
      </c>
      <c r="L244" s="2" t="s">
        <v>104</v>
      </c>
      <c r="M244" s="3" t="s">
        <v>102</v>
      </c>
      <c r="N244" s="2" t="s">
        <v>185</v>
      </c>
      <c r="O244" s="2" t="s">
        <v>123</v>
      </c>
      <c r="P244" s="4" t="s">
        <v>96</v>
      </c>
      <c r="Q244" s="4">
        <f t="shared" si="33"/>
        <v>3000</v>
      </c>
      <c r="R244" s="4">
        <f t="shared" si="34"/>
        <v>15500</v>
      </c>
      <c r="S244" s="4">
        <v>5</v>
      </c>
      <c r="T244" s="23">
        <f t="shared" si="32"/>
        <v>5166.666666666667</v>
      </c>
    </row>
    <row r="245" spans="1:20" x14ac:dyDescent="0.3">
      <c r="A245" s="22" t="s">
        <v>17</v>
      </c>
      <c r="B245" s="1" t="s">
        <v>184</v>
      </c>
      <c r="C245" s="1" t="s">
        <v>134</v>
      </c>
      <c r="D245" s="1" t="s">
        <v>84</v>
      </c>
      <c r="E245" s="6">
        <f>AVERAGE(506,999,578)/Q245*10000</f>
        <v>867.91666666666674</v>
      </c>
      <c r="F245" s="6">
        <f>AVERAGE(327,651,390)/Q245*10000</f>
        <v>570</v>
      </c>
      <c r="G245" s="6">
        <f t="shared" si="29"/>
        <v>297.91666666666674</v>
      </c>
      <c r="H245" s="7">
        <f>G245/E245*100</f>
        <v>34.325492078732609</v>
      </c>
      <c r="I245" s="1" t="s">
        <v>13</v>
      </c>
      <c r="J245" s="1" t="s">
        <v>10</v>
      </c>
      <c r="K245" s="1" t="s">
        <v>189</v>
      </c>
      <c r="L245" s="2" t="s">
        <v>104</v>
      </c>
      <c r="M245" s="3" t="s">
        <v>102</v>
      </c>
      <c r="N245" s="2" t="s">
        <v>185</v>
      </c>
      <c r="O245" s="2" t="s">
        <v>123</v>
      </c>
      <c r="P245" s="4" t="s">
        <v>96</v>
      </c>
      <c r="Q245" s="4">
        <f>0.8*10000</f>
        <v>8000</v>
      </c>
      <c r="R245" s="4">
        <f>(58400+10600+81200+3700+4800+6100-5500-5200-7000)/3</f>
        <v>49033.333333333336</v>
      </c>
      <c r="S245" s="4">
        <v>25</v>
      </c>
      <c r="T245" s="23">
        <f t="shared" si="32"/>
        <v>6129.166666666667</v>
      </c>
    </row>
    <row r="246" spans="1:20" x14ac:dyDescent="0.3">
      <c r="A246" s="22" t="s">
        <v>17</v>
      </c>
      <c r="B246" s="1" t="s">
        <v>184</v>
      </c>
      <c r="C246" s="1" t="s">
        <v>134</v>
      </c>
      <c r="D246" s="1" t="s">
        <v>85</v>
      </c>
      <c r="E246" s="6">
        <f>AVERAGE(6.9,2.5,33)/Q246*10000</f>
        <v>17.666666666666664</v>
      </c>
      <c r="F246" s="6">
        <f>AVERAGE(3.4,3.7,17.5)/Q246*10000</f>
        <v>10.25</v>
      </c>
      <c r="G246" s="6">
        <f t="shared" ref="G246:G250" si="35">E246-F246</f>
        <v>7.4166666666666643</v>
      </c>
      <c r="H246" s="7">
        <f>G246/E246*100</f>
        <v>41.981132075471692</v>
      </c>
      <c r="I246" s="1" t="s">
        <v>13</v>
      </c>
      <c r="J246" s="1" t="s">
        <v>10</v>
      </c>
      <c r="K246" s="1" t="s">
        <v>189</v>
      </c>
      <c r="L246" s="2" t="s">
        <v>104</v>
      </c>
      <c r="M246" s="3" t="s">
        <v>102</v>
      </c>
      <c r="N246" s="2" t="s">
        <v>185</v>
      </c>
      <c r="O246" s="2" t="s">
        <v>123</v>
      </c>
      <c r="P246" s="4" t="s">
        <v>96</v>
      </c>
      <c r="Q246" s="4">
        <f t="shared" ref="Q246:Q250" si="36">0.8*10000</f>
        <v>8000</v>
      </c>
      <c r="R246" s="4">
        <f t="shared" ref="R246:R250" si="37">(58400+10600+81200+3700+4800+6100-5500-5200-7000)/3</f>
        <v>49033.333333333336</v>
      </c>
      <c r="S246" s="4">
        <v>25</v>
      </c>
      <c r="T246" s="23">
        <f t="shared" ref="T246:T250" si="38">R246/Q246*1000</f>
        <v>6129.166666666667</v>
      </c>
    </row>
    <row r="247" spans="1:20" x14ac:dyDescent="0.3">
      <c r="A247" s="22" t="s">
        <v>17</v>
      </c>
      <c r="B247" s="1" t="s">
        <v>184</v>
      </c>
      <c r="C247" s="1" t="s">
        <v>134</v>
      </c>
      <c r="D247" s="1" t="s">
        <v>89</v>
      </c>
      <c r="E247" s="6">
        <f>AVERAGE(0,0,0)/Q247*10000</f>
        <v>0</v>
      </c>
      <c r="F247" s="6">
        <f>AVERAGE(6,20,43)/Q247*10000</f>
        <v>28.75</v>
      </c>
      <c r="G247" s="6">
        <f t="shared" si="35"/>
        <v>-28.75</v>
      </c>
      <c r="H247" s="7" t="s">
        <v>186</v>
      </c>
      <c r="I247" s="1" t="s">
        <v>13</v>
      </c>
      <c r="J247" s="1" t="s">
        <v>10</v>
      </c>
      <c r="K247" s="1" t="s">
        <v>189</v>
      </c>
      <c r="L247" s="2" t="s">
        <v>104</v>
      </c>
      <c r="M247" s="3" t="s">
        <v>102</v>
      </c>
      <c r="N247" s="2" t="s">
        <v>185</v>
      </c>
      <c r="O247" s="2" t="s">
        <v>123</v>
      </c>
      <c r="P247" s="4" t="s">
        <v>96</v>
      </c>
      <c r="Q247" s="4">
        <f t="shared" si="36"/>
        <v>8000</v>
      </c>
      <c r="R247" s="4">
        <f t="shared" si="37"/>
        <v>49033.333333333336</v>
      </c>
      <c r="S247" s="4">
        <v>25</v>
      </c>
      <c r="T247" s="23">
        <f t="shared" si="38"/>
        <v>6129.166666666667</v>
      </c>
    </row>
    <row r="248" spans="1:20" x14ac:dyDescent="0.3">
      <c r="A248" s="22" t="s">
        <v>17</v>
      </c>
      <c r="B248" s="1" t="s">
        <v>184</v>
      </c>
      <c r="C248" s="1" t="s">
        <v>134</v>
      </c>
      <c r="D248" s="1" t="s">
        <v>82</v>
      </c>
      <c r="E248" s="6">
        <f>AVERAGE(513,1002,611)/Q248*10000</f>
        <v>885.83333333333337</v>
      </c>
      <c r="F248" s="6">
        <f>AVERAGE(337,675,449)/Q248*10000</f>
        <v>608.75</v>
      </c>
      <c r="G248" s="6">
        <f t="shared" si="35"/>
        <v>277.08333333333337</v>
      </c>
      <c r="H248" s="7">
        <f>G248/E248*100</f>
        <v>31.279397930385706</v>
      </c>
      <c r="I248" s="1" t="s">
        <v>13</v>
      </c>
      <c r="J248" s="1" t="s">
        <v>10</v>
      </c>
      <c r="K248" s="1" t="s">
        <v>189</v>
      </c>
      <c r="L248" s="2" t="s">
        <v>104</v>
      </c>
      <c r="M248" s="3" t="s">
        <v>102</v>
      </c>
      <c r="N248" s="2" t="s">
        <v>185</v>
      </c>
      <c r="O248" s="2" t="s">
        <v>123</v>
      </c>
      <c r="P248" s="4" t="s">
        <v>96</v>
      </c>
      <c r="Q248" s="4">
        <f t="shared" si="36"/>
        <v>8000</v>
      </c>
      <c r="R248" s="4">
        <f t="shared" si="37"/>
        <v>49033.333333333336</v>
      </c>
      <c r="S248" s="4">
        <v>25</v>
      </c>
      <c r="T248" s="23">
        <f t="shared" si="38"/>
        <v>6129.166666666667</v>
      </c>
    </row>
    <row r="249" spans="1:20" x14ac:dyDescent="0.3">
      <c r="A249" s="22" t="s">
        <v>17</v>
      </c>
      <c r="B249" s="1" t="s">
        <v>184</v>
      </c>
      <c r="C249" s="1" t="s">
        <v>134</v>
      </c>
      <c r="D249" s="1" t="s">
        <v>181</v>
      </c>
      <c r="E249" s="6">
        <f>AVERAGE(5,11,11)/Q249*10000</f>
        <v>11.25</v>
      </c>
      <c r="F249" s="6">
        <f>AVERAGE(3,8,14)/Q249*10000</f>
        <v>10.416666666666666</v>
      </c>
      <c r="G249" s="6">
        <f t="shared" si="35"/>
        <v>0.83333333333333393</v>
      </c>
      <c r="H249" s="7">
        <f>G249/E249*100</f>
        <v>7.4074074074074128</v>
      </c>
      <c r="I249" s="1" t="s">
        <v>13</v>
      </c>
      <c r="J249" s="1" t="s">
        <v>10</v>
      </c>
      <c r="K249" s="1" t="s">
        <v>189</v>
      </c>
      <c r="L249" s="2" t="s">
        <v>104</v>
      </c>
      <c r="M249" s="3" t="s">
        <v>102</v>
      </c>
      <c r="N249" s="2" t="s">
        <v>185</v>
      </c>
      <c r="O249" s="2" t="s">
        <v>123</v>
      </c>
      <c r="P249" s="4" t="s">
        <v>96</v>
      </c>
      <c r="Q249" s="4">
        <f t="shared" si="36"/>
        <v>8000</v>
      </c>
      <c r="R249" s="4">
        <f t="shared" si="37"/>
        <v>49033.333333333336</v>
      </c>
      <c r="S249" s="4">
        <v>25</v>
      </c>
      <c r="T249" s="23">
        <f t="shared" si="38"/>
        <v>6129.166666666667</v>
      </c>
    </row>
    <row r="250" spans="1:20" x14ac:dyDescent="0.3">
      <c r="A250" s="22" t="s">
        <v>17</v>
      </c>
      <c r="B250" s="1" t="s">
        <v>184</v>
      </c>
      <c r="C250" s="1" t="s">
        <v>134</v>
      </c>
      <c r="D250" s="1" t="s">
        <v>83</v>
      </c>
      <c r="E250" s="6">
        <f>AVERAGE(4.8,11.4,11.4)/Q250*10000</f>
        <v>11.500000000000002</v>
      </c>
      <c r="F250" s="6">
        <f>AVERAGE(4.1,13.1,17.5)/Q250*10000</f>
        <v>14.458333333333334</v>
      </c>
      <c r="G250" s="6">
        <f t="shared" si="35"/>
        <v>-2.9583333333333321</v>
      </c>
      <c r="H250" s="7">
        <f>G250/E250*100</f>
        <v>-25.724637681159408</v>
      </c>
      <c r="I250" s="1" t="s">
        <v>13</v>
      </c>
      <c r="J250" s="1" t="s">
        <v>10</v>
      </c>
      <c r="K250" s="1" t="s">
        <v>189</v>
      </c>
      <c r="L250" s="2" t="s">
        <v>104</v>
      </c>
      <c r="M250" s="3" t="s">
        <v>102</v>
      </c>
      <c r="N250" s="2" t="s">
        <v>185</v>
      </c>
      <c r="O250" s="2" t="s">
        <v>123</v>
      </c>
      <c r="P250" s="4" t="s">
        <v>96</v>
      </c>
      <c r="Q250" s="4">
        <f t="shared" si="36"/>
        <v>8000</v>
      </c>
      <c r="R250" s="4">
        <f t="shared" si="37"/>
        <v>49033.333333333336</v>
      </c>
      <c r="S250" s="4">
        <v>25</v>
      </c>
      <c r="T250" s="23">
        <f t="shared" si="38"/>
        <v>6129.166666666667</v>
      </c>
    </row>
    <row r="251" spans="1:20" x14ac:dyDescent="0.3">
      <c r="A251" s="22" t="s">
        <v>17</v>
      </c>
      <c r="B251" s="1" t="s">
        <v>35</v>
      </c>
      <c r="C251" s="1" t="s">
        <v>133</v>
      </c>
      <c r="D251" s="1" t="s">
        <v>83</v>
      </c>
      <c r="E251" s="6">
        <v>14.91</v>
      </c>
      <c r="F251" s="6">
        <v>13.83</v>
      </c>
      <c r="G251" s="6">
        <v>1.08</v>
      </c>
      <c r="H251" s="7">
        <v>7</v>
      </c>
      <c r="I251" s="1" t="s">
        <v>77</v>
      </c>
      <c r="J251" s="1" t="s">
        <v>10</v>
      </c>
      <c r="K251" s="1" t="s">
        <v>36</v>
      </c>
      <c r="L251" s="2" t="s">
        <v>91</v>
      </c>
      <c r="M251" s="3" t="s">
        <v>101</v>
      </c>
      <c r="N251" s="2" t="s">
        <v>132</v>
      </c>
      <c r="O251" s="2" t="s">
        <v>116</v>
      </c>
      <c r="P251" s="4">
        <v>400</v>
      </c>
      <c r="Q251" s="4">
        <v>485623</v>
      </c>
      <c r="R251" s="4">
        <f>T251/1000*Q251</f>
        <v>5427322.648</v>
      </c>
      <c r="S251" s="12">
        <v>234.7</v>
      </c>
      <c r="T251" s="23">
        <f>(29.9+5.5+189.6+113.9+101.1)*25.4</f>
        <v>11176</v>
      </c>
    </row>
    <row r="252" spans="1:20" x14ac:dyDescent="0.3">
      <c r="A252" s="30" t="s">
        <v>17</v>
      </c>
      <c r="B252" s="31" t="s">
        <v>35</v>
      </c>
      <c r="C252" s="31" t="s">
        <v>133</v>
      </c>
      <c r="D252" s="31" t="s">
        <v>82</v>
      </c>
      <c r="E252" s="32">
        <v>704</v>
      </c>
      <c r="F252" s="32">
        <f>E252-G252</f>
        <v>556.16</v>
      </c>
      <c r="G252" s="32">
        <f>E252*H252/100</f>
        <v>147.84</v>
      </c>
      <c r="H252" s="32">
        <v>21</v>
      </c>
      <c r="I252" s="31" t="s">
        <v>77</v>
      </c>
      <c r="J252" s="31" t="s">
        <v>10</v>
      </c>
      <c r="K252" s="31" t="s">
        <v>36</v>
      </c>
      <c r="L252" s="33" t="s">
        <v>91</v>
      </c>
      <c r="M252" s="34" t="s">
        <v>101</v>
      </c>
      <c r="N252" s="33" t="s">
        <v>132</v>
      </c>
      <c r="O252" s="33" t="s">
        <v>116</v>
      </c>
      <c r="P252" s="35">
        <v>400</v>
      </c>
      <c r="Q252" s="35">
        <v>485623</v>
      </c>
      <c r="R252" s="35">
        <f>T252/1000*Q252</f>
        <v>5427322.648</v>
      </c>
      <c r="S252" s="36">
        <v>234.7</v>
      </c>
      <c r="T252" s="37">
        <f>(29.9+5.5+189.6+113.9+101.1)*25.4</f>
        <v>11176</v>
      </c>
    </row>
  </sheetData>
  <sortState xmlns:xlrd2="http://schemas.microsoft.com/office/spreadsheetml/2017/richdata2" ref="A2:T257">
    <sortCondition ref="A2:A258"/>
    <sortCondition ref="B2:B258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601F-ADF1-4226-98F3-210C235435AC}">
  <dimension ref="A1:J63"/>
  <sheetViews>
    <sheetView topLeftCell="K1" zoomScaleNormal="100" workbookViewId="0">
      <selection activeCell="Y24" sqref="Y24"/>
    </sheetView>
  </sheetViews>
  <sheetFormatPr defaultRowHeight="14.4" x14ac:dyDescent="0.3"/>
  <cols>
    <col min="7" max="7" width="19.88671875" customWidth="1"/>
  </cols>
  <sheetData>
    <row r="1" spans="1:10" ht="43.2" x14ac:dyDescent="0.3">
      <c r="A1" s="38" t="s">
        <v>193</v>
      </c>
      <c r="B1" s="38" t="s">
        <v>195</v>
      </c>
      <c r="C1" s="39" t="s">
        <v>3</v>
      </c>
      <c r="D1" s="44" t="s">
        <v>93</v>
      </c>
      <c r="E1" s="44" t="s">
        <v>94</v>
      </c>
      <c r="F1" t="s">
        <v>445</v>
      </c>
      <c r="G1" t="str">
        <f>IF(A1="",NA(),A1)</f>
        <v>Load (kg N, P/ha/yr)</v>
      </c>
      <c r="H1" t="str">
        <f t="shared" ref="H1:I1" si="0">IF(B1="",NA(),B1)</f>
        <v>Retention (kg N, P/ha/yr)</v>
      </c>
      <c r="I1" t="str">
        <f t="shared" si="0"/>
        <v>Efficiency (%)</v>
      </c>
    </row>
    <row r="2" spans="1:10" x14ac:dyDescent="0.3">
      <c r="A2" s="40">
        <v>105</v>
      </c>
      <c r="B2" s="40">
        <v>5.6</v>
      </c>
      <c r="C2" s="41">
        <v>5</v>
      </c>
      <c r="D2" s="4">
        <v>1000</v>
      </c>
      <c r="E2" s="4">
        <v>34600</v>
      </c>
      <c r="F2">
        <f>IFERROR(E2/D2/365.25,NA())</f>
        <v>9.4729637234770708E-2</v>
      </c>
      <c r="G2">
        <f>IF(A2="",NA(),A2)</f>
        <v>105</v>
      </c>
      <c r="H2">
        <f>IF(B2="",NA(),B2)</f>
        <v>5.6</v>
      </c>
      <c r="I2">
        <f>IF(C2="",NA(),IF(C2&lt;=0,NA(),C2))</f>
        <v>5</v>
      </c>
      <c r="J2">
        <f>100-I2</f>
        <v>95</v>
      </c>
    </row>
    <row r="3" spans="1:10" x14ac:dyDescent="0.3">
      <c r="A3" s="6"/>
      <c r="B3" s="6">
        <v>141</v>
      </c>
      <c r="C3" s="7"/>
      <c r="D3" s="11">
        <v>630000</v>
      </c>
      <c r="E3" s="4">
        <v>7716000</v>
      </c>
      <c r="F3">
        <f t="shared" ref="F3:F63" si="1">IFERROR(E3/D3/365.25,NA())</f>
        <v>3.3532153450017921E-2</v>
      </c>
      <c r="G3" t="e">
        <f>IF(A3="",NA(),A3)</f>
        <v>#N/A</v>
      </c>
      <c r="H3">
        <f t="shared" ref="H3:H63" si="2">IF(B3="",NA(),B3)</f>
        <v>141</v>
      </c>
      <c r="I3" t="e">
        <f t="shared" ref="I3:I63" si="3">IF(C3="",NA(),IF(C3&lt;=0,NA(),C3))</f>
        <v>#N/A</v>
      </c>
      <c r="J3" t="e">
        <f t="shared" ref="J3:J63" si="4">100-I3</f>
        <v>#N/A</v>
      </c>
    </row>
    <row r="4" spans="1:10" x14ac:dyDescent="0.3">
      <c r="A4" s="40">
        <v>78.873239436619727</v>
      </c>
      <c r="B4" s="40">
        <v>56</v>
      </c>
      <c r="C4" s="41">
        <v>71</v>
      </c>
      <c r="D4" s="11">
        <v>340000</v>
      </c>
      <c r="E4" s="4">
        <v>412759</v>
      </c>
      <c r="F4">
        <f t="shared" si="1"/>
        <v>3.3237428030760559E-3</v>
      </c>
      <c r="G4">
        <f t="shared" ref="G4:G63" si="5">IF(A4="",NA(),A4)</f>
        <v>78.873239436619727</v>
      </c>
      <c r="H4">
        <f t="shared" si="2"/>
        <v>56</v>
      </c>
      <c r="I4">
        <f t="shared" si="3"/>
        <v>71</v>
      </c>
      <c r="J4">
        <f t="shared" si="4"/>
        <v>29</v>
      </c>
    </row>
    <row r="5" spans="1:10" x14ac:dyDescent="0.3">
      <c r="A5" s="6">
        <v>159.5</v>
      </c>
      <c r="B5" s="6">
        <v>74.5</v>
      </c>
      <c r="C5" s="7">
        <v>46.708463949843257</v>
      </c>
      <c r="D5" s="4">
        <v>6200</v>
      </c>
      <c r="E5" s="4">
        <v>17614.2</v>
      </c>
      <c r="F5">
        <f t="shared" si="1"/>
        <v>7.7782340862422999E-3</v>
      </c>
      <c r="G5">
        <f t="shared" si="5"/>
        <v>159.5</v>
      </c>
      <c r="H5">
        <f t="shared" si="2"/>
        <v>74.5</v>
      </c>
      <c r="I5">
        <f t="shared" si="3"/>
        <v>46.708463949843257</v>
      </c>
      <c r="J5">
        <f t="shared" si="4"/>
        <v>53.291536050156743</v>
      </c>
    </row>
    <row r="6" spans="1:10" x14ac:dyDescent="0.3">
      <c r="A6" s="40">
        <v>80.685862835029837</v>
      </c>
      <c r="B6" s="40">
        <v>31.585862835029836</v>
      </c>
      <c r="C6" s="41">
        <v>39</v>
      </c>
      <c r="D6" s="4">
        <v>11510</v>
      </c>
      <c r="E6" s="4">
        <v>1571.115</v>
      </c>
      <c r="F6">
        <f t="shared" si="1"/>
        <v>3.7371663244353186E-4</v>
      </c>
      <c r="G6">
        <f t="shared" si="5"/>
        <v>80.685862835029837</v>
      </c>
      <c r="H6">
        <f t="shared" si="2"/>
        <v>31.585862835029836</v>
      </c>
      <c r="I6">
        <f t="shared" si="3"/>
        <v>39</v>
      </c>
      <c r="J6">
        <f t="shared" si="4"/>
        <v>61</v>
      </c>
    </row>
    <row r="7" spans="1:10" x14ac:dyDescent="0.3">
      <c r="A7" s="1">
        <v>1170</v>
      </c>
      <c r="B7" s="6">
        <v>13</v>
      </c>
      <c r="C7" s="7">
        <v>1</v>
      </c>
      <c r="D7" s="4">
        <v>1130</v>
      </c>
      <c r="E7" s="4">
        <v>1590.4749999999999</v>
      </c>
      <c r="F7">
        <f t="shared" si="1"/>
        <v>3.8535249828884326E-3</v>
      </c>
      <c r="G7">
        <f t="shared" si="5"/>
        <v>1170</v>
      </c>
      <c r="H7">
        <f t="shared" si="2"/>
        <v>13</v>
      </c>
      <c r="I7">
        <f t="shared" si="3"/>
        <v>1</v>
      </c>
      <c r="J7">
        <f t="shared" si="4"/>
        <v>99</v>
      </c>
    </row>
    <row r="8" spans="1:10" x14ac:dyDescent="0.3">
      <c r="A8" s="42">
        <v>515</v>
      </c>
      <c r="B8" s="40">
        <v>288</v>
      </c>
      <c r="C8" s="41">
        <v>56</v>
      </c>
      <c r="D8" s="4">
        <v>11690</v>
      </c>
      <c r="E8" s="4">
        <v>5538.7219999999998</v>
      </c>
      <c r="F8">
        <f t="shared" si="1"/>
        <v>1.2971937029431896E-3</v>
      </c>
      <c r="G8">
        <f t="shared" si="5"/>
        <v>515</v>
      </c>
      <c r="H8">
        <f t="shared" si="2"/>
        <v>288</v>
      </c>
      <c r="I8">
        <f t="shared" si="3"/>
        <v>56</v>
      </c>
      <c r="J8">
        <f t="shared" si="4"/>
        <v>44</v>
      </c>
    </row>
    <row r="9" spans="1:10" x14ac:dyDescent="0.3">
      <c r="A9" s="1">
        <v>445</v>
      </c>
      <c r="B9" s="6">
        <v>178</v>
      </c>
      <c r="C9" s="7">
        <v>40</v>
      </c>
      <c r="D9" s="4">
        <v>4768</v>
      </c>
      <c r="E9" s="4">
        <v>2508.4448000000002</v>
      </c>
      <c r="F9">
        <f t="shared" si="1"/>
        <v>1.4403832991101986E-3</v>
      </c>
      <c r="G9">
        <f t="shared" si="5"/>
        <v>445</v>
      </c>
      <c r="H9">
        <f t="shared" si="2"/>
        <v>178</v>
      </c>
      <c r="I9">
        <f t="shared" si="3"/>
        <v>40</v>
      </c>
      <c r="J9">
        <f t="shared" si="4"/>
        <v>60</v>
      </c>
    </row>
    <row r="10" spans="1:10" x14ac:dyDescent="0.3">
      <c r="A10" s="40"/>
      <c r="B10" s="40">
        <v>83</v>
      </c>
      <c r="C10" s="41"/>
      <c r="D10" s="4">
        <v>270000</v>
      </c>
      <c r="E10" s="4" t="s">
        <v>96</v>
      </c>
      <c r="F10" t="e">
        <f t="shared" si="1"/>
        <v>#N/A</v>
      </c>
      <c r="G10" t="e">
        <f t="shared" si="5"/>
        <v>#N/A</v>
      </c>
      <c r="H10">
        <f t="shared" si="2"/>
        <v>83</v>
      </c>
      <c r="I10" t="e">
        <f t="shared" si="3"/>
        <v>#N/A</v>
      </c>
      <c r="J10" t="e">
        <f t="shared" si="4"/>
        <v>#N/A</v>
      </c>
    </row>
    <row r="11" spans="1:10" x14ac:dyDescent="0.3">
      <c r="A11" s="1">
        <v>230</v>
      </c>
      <c r="B11" s="6">
        <v>89.93</v>
      </c>
      <c r="C11" s="7">
        <v>39.1</v>
      </c>
      <c r="D11" s="4">
        <v>390000</v>
      </c>
      <c r="E11" s="4" t="s">
        <v>96</v>
      </c>
      <c r="F11" t="e">
        <f t="shared" si="1"/>
        <v>#N/A</v>
      </c>
      <c r="G11">
        <f t="shared" si="5"/>
        <v>230</v>
      </c>
      <c r="H11">
        <f t="shared" si="2"/>
        <v>89.93</v>
      </c>
      <c r="I11">
        <f t="shared" si="3"/>
        <v>39.1</v>
      </c>
      <c r="J11">
        <f t="shared" si="4"/>
        <v>60.9</v>
      </c>
    </row>
    <row r="12" spans="1:10" x14ac:dyDescent="0.3">
      <c r="A12" s="42">
        <v>2210</v>
      </c>
      <c r="B12" s="41">
        <v>44.2</v>
      </c>
      <c r="C12" s="41">
        <v>2</v>
      </c>
      <c r="D12" s="4">
        <v>200000</v>
      </c>
      <c r="E12" s="4">
        <v>4925000</v>
      </c>
      <c r="F12">
        <f t="shared" si="1"/>
        <v>6.741957563312799E-2</v>
      </c>
      <c r="G12">
        <f t="shared" si="5"/>
        <v>2210</v>
      </c>
      <c r="H12">
        <f t="shared" si="2"/>
        <v>44.2</v>
      </c>
      <c r="I12">
        <f t="shared" si="3"/>
        <v>2</v>
      </c>
      <c r="J12">
        <f t="shared" si="4"/>
        <v>98</v>
      </c>
    </row>
    <row r="13" spans="1:10" x14ac:dyDescent="0.3">
      <c r="A13" s="1">
        <v>243.7</v>
      </c>
      <c r="B13" s="7">
        <v>97.48</v>
      </c>
      <c r="C13" s="7">
        <v>40</v>
      </c>
      <c r="D13" s="4">
        <v>254000</v>
      </c>
      <c r="E13" s="4">
        <v>1404620</v>
      </c>
      <c r="F13">
        <f t="shared" si="1"/>
        <v>1.5140314852840521E-2</v>
      </c>
      <c r="G13">
        <f t="shared" si="5"/>
        <v>243.7</v>
      </c>
      <c r="H13">
        <f t="shared" si="2"/>
        <v>97.48</v>
      </c>
      <c r="I13">
        <f t="shared" si="3"/>
        <v>40</v>
      </c>
      <c r="J13">
        <f t="shared" si="4"/>
        <v>60</v>
      </c>
    </row>
    <row r="14" spans="1:10" x14ac:dyDescent="0.3">
      <c r="A14" s="40"/>
      <c r="B14" s="40">
        <v>170</v>
      </c>
      <c r="C14" s="41"/>
      <c r="D14" s="4">
        <v>310000</v>
      </c>
      <c r="E14" s="4" t="s">
        <v>96</v>
      </c>
      <c r="F14" t="e">
        <f t="shared" si="1"/>
        <v>#N/A</v>
      </c>
      <c r="G14" t="e">
        <f t="shared" si="5"/>
        <v>#N/A</v>
      </c>
      <c r="H14">
        <f t="shared" si="2"/>
        <v>170</v>
      </c>
      <c r="I14" t="e">
        <f t="shared" si="3"/>
        <v>#N/A</v>
      </c>
      <c r="J14" t="e">
        <f t="shared" si="4"/>
        <v>#N/A</v>
      </c>
    </row>
    <row r="15" spans="1:10" x14ac:dyDescent="0.3">
      <c r="A15" s="1">
        <v>310</v>
      </c>
      <c r="B15" s="6">
        <v>220.1</v>
      </c>
      <c r="C15" s="7">
        <v>71</v>
      </c>
      <c r="D15" s="4">
        <v>150000</v>
      </c>
      <c r="E15" s="4" t="s">
        <v>96</v>
      </c>
      <c r="F15" t="e">
        <f t="shared" si="1"/>
        <v>#N/A</v>
      </c>
      <c r="G15">
        <f t="shared" si="5"/>
        <v>310</v>
      </c>
      <c r="H15">
        <f t="shared" si="2"/>
        <v>220.1</v>
      </c>
      <c r="I15">
        <f t="shared" si="3"/>
        <v>71</v>
      </c>
      <c r="J15">
        <f t="shared" si="4"/>
        <v>29</v>
      </c>
    </row>
    <row r="16" spans="1:10" x14ac:dyDescent="0.3">
      <c r="A16" s="42">
        <v>39</v>
      </c>
      <c r="B16" s="40">
        <v>14.000999999999999</v>
      </c>
      <c r="C16" s="41">
        <v>35.9</v>
      </c>
      <c r="D16" s="4">
        <v>280000</v>
      </c>
      <c r="E16" s="4" t="s">
        <v>96</v>
      </c>
      <c r="F16" t="e">
        <f t="shared" si="1"/>
        <v>#N/A</v>
      </c>
      <c r="G16">
        <f t="shared" si="5"/>
        <v>39</v>
      </c>
      <c r="H16">
        <f t="shared" si="2"/>
        <v>14.000999999999999</v>
      </c>
      <c r="I16">
        <f t="shared" si="3"/>
        <v>35.9</v>
      </c>
      <c r="J16">
        <f t="shared" si="4"/>
        <v>64.099999999999994</v>
      </c>
    </row>
    <row r="17" spans="1:10" x14ac:dyDescent="0.3">
      <c r="A17" s="6">
        <v>674</v>
      </c>
      <c r="B17" s="6">
        <v>337</v>
      </c>
      <c r="C17" s="7">
        <v>50</v>
      </c>
      <c r="D17" s="11">
        <v>650000</v>
      </c>
      <c r="E17" s="4" t="s">
        <v>96</v>
      </c>
      <c r="F17" t="e">
        <f t="shared" si="1"/>
        <v>#N/A</v>
      </c>
      <c r="G17">
        <f t="shared" si="5"/>
        <v>674</v>
      </c>
      <c r="H17">
        <f t="shared" si="2"/>
        <v>337</v>
      </c>
      <c r="I17">
        <f t="shared" si="3"/>
        <v>50</v>
      </c>
      <c r="J17">
        <f t="shared" si="4"/>
        <v>50</v>
      </c>
    </row>
    <row r="18" spans="1:10" x14ac:dyDescent="0.3">
      <c r="A18" s="42">
        <v>668</v>
      </c>
      <c r="B18" s="40">
        <v>336.67200000000003</v>
      </c>
      <c r="C18" s="41">
        <v>50.4</v>
      </c>
      <c r="D18" s="4">
        <v>650000</v>
      </c>
      <c r="E18" s="4" t="s">
        <v>96</v>
      </c>
      <c r="F18" t="e">
        <f t="shared" si="1"/>
        <v>#N/A</v>
      </c>
      <c r="G18">
        <f t="shared" si="5"/>
        <v>668</v>
      </c>
      <c r="H18">
        <f t="shared" si="2"/>
        <v>336.67200000000003</v>
      </c>
      <c r="I18">
        <f t="shared" si="3"/>
        <v>50.4</v>
      </c>
      <c r="J18">
        <f t="shared" si="4"/>
        <v>49.6</v>
      </c>
    </row>
    <row r="19" spans="1:10" x14ac:dyDescent="0.3">
      <c r="A19" s="1">
        <v>297</v>
      </c>
      <c r="B19" s="6">
        <v>190.971</v>
      </c>
      <c r="C19" s="7">
        <v>64.3</v>
      </c>
      <c r="D19" s="4">
        <v>840000</v>
      </c>
      <c r="E19" s="4" t="s">
        <v>96</v>
      </c>
      <c r="F19" t="e">
        <f t="shared" si="1"/>
        <v>#N/A</v>
      </c>
      <c r="G19">
        <f t="shared" si="5"/>
        <v>297</v>
      </c>
      <c r="H19">
        <f t="shared" si="2"/>
        <v>190.971</v>
      </c>
      <c r="I19">
        <f t="shared" si="3"/>
        <v>64.3</v>
      </c>
      <c r="J19">
        <f t="shared" si="4"/>
        <v>35.700000000000003</v>
      </c>
    </row>
    <row r="20" spans="1:10" x14ac:dyDescent="0.3">
      <c r="A20" s="42">
        <v>2631.3</v>
      </c>
      <c r="B20" s="41">
        <v>307.8621</v>
      </c>
      <c r="C20" s="41">
        <v>11.7</v>
      </c>
      <c r="D20" s="4">
        <v>400000</v>
      </c>
      <c r="E20" s="4">
        <v>22652000</v>
      </c>
      <c r="F20">
        <f t="shared" si="1"/>
        <v>0.15504449007529089</v>
      </c>
      <c r="G20">
        <f t="shared" si="5"/>
        <v>2631.3</v>
      </c>
      <c r="H20">
        <f t="shared" si="2"/>
        <v>307.8621</v>
      </c>
      <c r="I20">
        <f t="shared" si="3"/>
        <v>11.7</v>
      </c>
      <c r="J20">
        <f t="shared" si="4"/>
        <v>88.3</v>
      </c>
    </row>
    <row r="21" spans="1:10" x14ac:dyDescent="0.3">
      <c r="A21" s="6"/>
      <c r="B21" s="6">
        <v>163</v>
      </c>
      <c r="C21" s="7"/>
      <c r="D21" s="4">
        <v>640000</v>
      </c>
      <c r="E21" s="4" t="s">
        <v>96</v>
      </c>
      <c r="F21" t="e">
        <f t="shared" si="1"/>
        <v>#N/A</v>
      </c>
      <c r="G21" t="e">
        <f t="shared" si="5"/>
        <v>#N/A</v>
      </c>
      <c r="H21">
        <f t="shared" si="2"/>
        <v>163</v>
      </c>
      <c r="I21" t="e">
        <f t="shared" si="3"/>
        <v>#N/A</v>
      </c>
      <c r="J21" t="e">
        <f t="shared" si="4"/>
        <v>#N/A</v>
      </c>
    </row>
    <row r="22" spans="1:10" x14ac:dyDescent="0.3">
      <c r="A22" s="42">
        <v>421.7</v>
      </c>
      <c r="B22" s="41">
        <v>176.2706</v>
      </c>
      <c r="C22" s="41">
        <v>41.8</v>
      </c>
      <c r="D22" s="4">
        <v>58000</v>
      </c>
      <c r="E22" s="4">
        <v>461680</v>
      </c>
      <c r="F22">
        <f t="shared" si="1"/>
        <v>2.1793292265571525E-2</v>
      </c>
      <c r="G22">
        <f t="shared" si="5"/>
        <v>421.7</v>
      </c>
      <c r="H22">
        <f t="shared" si="2"/>
        <v>176.2706</v>
      </c>
      <c r="I22">
        <f t="shared" si="3"/>
        <v>41.8</v>
      </c>
      <c r="J22">
        <f t="shared" si="4"/>
        <v>58.2</v>
      </c>
    </row>
    <row r="23" spans="1:10" x14ac:dyDescent="0.3">
      <c r="A23" s="1">
        <v>496.3</v>
      </c>
      <c r="B23" s="7">
        <v>191.5718</v>
      </c>
      <c r="C23" s="7">
        <v>38.6</v>
      </c>
      <c r="D23" s="4">
        <v>310000</v>
      </c>
      <c r="E23" s="4">
        <v>1726700</v>
      </c>
      <c r="F23">
        <f t="shared" si="1"/>
        <v>1.5249828884325805E-2</v>
      </c>
      <c r="G23">
        <f t="shared" si="5"/>
        <v>496.3</v>
      </c>
      <c r="H23">
        <f t="shared" si="2"/>
        <v>191.5718</v>
      </c>
      <c r="I23">
        <f t="shared" si="3"/>
        <v>38.6</v>
      </c>
      <c r="J23">
        <f t="shared" si="4"/>
        <v>61.4</v>
      </c>
    </row>
    <row r="24" spans="1:10" x14ac:dyDescent="0.3">
      <c r="A24" s="42">
        <v>812</v>
      </c>
      <c r="B24" s="40">
        <v>228.17200000000003</v>
      </c>
      <c r="C24" s="41">
        <v>28.1</v>
      </c>
      <c r="D24" s="4">
        <v>340000</v>
      </c>
      <c r="E24" s="4" t="s">
        <v>96</v>
      </c>
      <c r="F24" t="e">
        <f t="shared" si="1"/>
        <v>#N/A</v>
      </c>
      <c r="G24">
        <f t="shared" si="5"/>
        <v>812</v>
      </c>
      <c r="H24">
        <f t="shared" si="2"/>
        <v>228.17200000000003</v>
      </c>
      <c r="I24">
        <f t="shared" si="3"/>
        <v>28.1</v>
      </c>
      <c r="J24">
        <f t="shared" si="4"/>
        <v>71.900000000000006</v>
      </c>
    </row>
    <row r="25" spans="1:10" x14ac:dyDescent="0.3">
      <c r="A25" s="6">
        <v>60</v>
      </c>
      <c r="B25" s="6">
        <v>57</v>
      </c>
      <c r="C25" s="7">
        <v>95</v>
      </c>
      <c r="D25" s="4">
        <v>400</v>
      </c>
      <c r="E25" s="4">
        <v>712</v>
      </c>
      <c r="F25">
        <f t="shared" si="1"/>
        <v>4.8733744010951404E-3</v>
      </c>
      <c r="G25">
        <f t="shared" si="5"/>
        <v>60</v>
      </c>
      <c r="H25">
        <f t="shared" si="2"/>
        <v>57</v>
      </c>
      <c r="I25">
        <f t="shared" si="3"/>
        <v>95</v>
      </c>
      <c r="J25">
        <f t="shared" si="4"/>
        <v>5</v>
      </c>
    </row>
    <row r="26" spans="1:10" x14ac:dyDescent="0.3">
      <c r="A26" s="40">
        <v>672.5</v>
      </c>
      <c r="B26" s="40">
        <v>193</v>
      </c>
      <c r="C26" s="41">
        <v>28.698884758364311</v>
      </c>
      <c r="D26" s="4">
        <v>5870</v>
      </c>
      <c r="E26" s="4">
        <v>25907.244999999999</v>
      </c>
      <c r="F26">
        <f t="shared" si="1"/>
        <v>1.2083504449007529E-2</v>
      </c>
      <c r="G26">
        <f t="shared" si="5"/>
        <v>672.5</v>
      </c>
      <c r="H26">
        <f t="shared" si="2"/>
        <v>193</v>
      </c>
      <c r="I26">
        <f t="shared" si="3"/>
        <v>28.698884758364311</v>
      </c>
      <c r="J26">
        <f t="shared" si="4"/>
        <v>71.301115241635685</v>
      </c>
    </row>
    <row r="27" spans="1:10" x14ac:dyDescent="0.3">
      <c r="A27" s="6"/>
      <c r="B27" s="6">
        <v>428</v>
      </c>
      <c r="C27" s="7"/>
      <c r="D27" s="4">
        <v>852</v>
      </c>
      <c r="E27" s="4">
        <v>13589.631637500001</v>
      </c>
      <c r="F27">
        <f t="shared" si="1"/>
        <v>4.366946440793977E-2</v>
      </c>
      <c r="G27" t="e">
        <f t="shared" si="5"/>
        <v>#N/A</v>
      </c>
      <c r="H27">
        <f t="shared" si="2"/>
        <v>428</v>
      </c>
      <c r="I27" t="e">
        <f t="shared" si="3"/>
        <v>#N/A</v>
      </c>
      <c r="J27" t="e">
        <f t="shared" si="4"/>
        <v>#N/A</v>
      </c>
    </row>
    <row r="28" spans="1:10" x14ac:dyDescent="0.3">
      <c r="A28" s="42">
        <v>1337</v>
      </c>
      <c r="B28" s="41">
        <v>69.524000000000001</v>
      </c>
      <c r="C28" s="41">
        <v>5.2</v>
      </c>
      <c r="D28" s="4">
        <v>1520000</v>
      </c>
      <c r="E28" s="4">
        <v>77337600</v>
      </c>
      <c r="F28">
        <f t="shared" si="1"/>
        <v>0.13930184804928133</v>
      </c>
      <c r="G28">
        <f t="shared" si="5"/>
        <v>1337</v>
      </c>
      <c r="H28">
        <f t="shared" si="2"/>
        <v>69.524000000000001</v>
      </c>
      <c r="I28">
        <f t="shared" si="3"/>
        <v>5.2</v>
      </c>
      <c r="J28">
        <f t="shared" si="4"/>
        <v>94.8</v>
      </c>
    </row>
    <row r="29" spans="1:10" x14ac:dyDescent="0.3">
      <c r="A29" s="1">
        <v>198</v>
      </c>
      <c r="B29" s="6">
        <v>133.05600000000001</v>
      </c>
      <c r="C29" s="7">
        <v>67.2</v>
      </c>
      <c r="D29" s="4">
        <v>130000</v>
      </c>
      <c r="E29" s="4" t="s">
        <v>96</v>
      </c>
      <c r="F29" t="e">
        <f t="shared" si="1"/>
        <v>#N/A</v>
      </c>
      <c r="G29">
        <f t="shared" si="5"/>
        <v>198</v>
      </c>
      <c r="H29">
        <f t="shared" si="2"/>
        <v>133.05600000000001</v>
      </c>
      <c r="I29">
        <f t="shared" si="3"/>
        <v>67.2</v>
      </c>
      <c r="J29">
        <f t="shared" si="4"/>
        <v>32.799999999999997</v>
      </c>
    </row>
    <row r="30" spans="1:10" x14ac:dyDescent="0.3">
      <c r="A30" s="42">
        <v>305</v>
      </c>
      <c r="B30" s="41">
        <v>71.064999999999998</v>
      </c>
      <c r="C30" s="41">
        <v>23.3</v>
      </c>
      <c r="D30" s="4">
        <v>9130000</v>
      </c>
      <c r="E30" s="4">
        <v>44189200</v>
      </c>
      <c r="F30">
        <f t="shared" si="1"/>
        <v>1.3251197809719371E-2</v>
      </c>
      <c r="G30">
        <f t="shared" si="5"/>
        <v>305</v>
      </c>
      <c r="H30">
        <f t="shared" si="2"/>
        <v>71.064999999999998</v>
      </c>
      <c r="I30">
        <f t="shared" si="3"/>
        <v>23.3</v>
      </c>
      <c r="J30">
        <f t="shared" si="4"/>
        <v>76.7</v>
      </c>
    </row>
    <row r="31" spans="1:10" x14ac:dyDescent="0.3">
      <c r="A31" s="1">
        <v>1701.3</v>
      </c>
      <c r="B31" s="7">
        <v>260.2989</v>
      </c>
      <c r="C31" s="7">
        <v>15.3</v>
      </c>
      <c r="D31" s="4">
        <v>2150000</v>
      </c>
      <c r="E31" s="4">
        <v>103096385.54216866</v>
      </c>
      <c r="F31">
        <f t="shared" si="1"/>
        <v>0.13128489316609351</v>
      </c>
      <c r="G31">
        <f t="shared" si="5"/>
        <v>1701.3</v>
      </c>
      <c r="H31">
        <f t="shared" si="2"/>
        <v>260.2989</v>
      </c>
      <c r="I31">
        <f t="shared" si="3"/>
        <v>15.3</v>
      </c>
      <c r="J31">
        <f t="shared" si="4"/>
        <v>84.7</v>
      </c>
    </row>
    <row r="32" spans="1:10" x14ac:dyDescent="0.3">
      <c r="A32" s="40">
        <v>110.4</v>
      </c>
      <c r="B32" s="40">
        <v>97.2</v>
      </c>
      <c r="C32" s="41">
        <v>88.043478260869563</v>
      </c>
      <c r="D32" s="4" t="s">
        <v>96</v>
      </c>
      <c r="E32" s="4" t="s">
        <v>96</v>
      </c>
      <c r="F32" t="e">
        <f t="shared" si="1"/>
        <v>#N/A</v>
      </c>
      <c r="G32">
        <f t="shared" si="5"/>
        <v>110.4</v>
      </c>
      <c r="H32">
        <f t="shared" si="2"/>
        <v>97.2</v>
      </c>
      <c r="I32">
        <f t="shared" si="3"/>
        <v>88.043478260869563</v>
      </c>
      <c r="J32">
        <f t="shared" si="4"/>
        <v>11.956521739130437</v>
      </c>
    </row>
    <row r="33" spans="1:10" x14ac:dyDescent="0.3">
      <c r="A33" s="6">
        <v>72.900000000000006</v>
      </c>
      <c r="B33" s="6">
        <v>63.900000000000006</v>
      </c>
      <c r="C33" s="7">
        <v>87.654320987654316</v>
      </c>
      <c r="D33" s="4" t="s">
        <v>96</v>
      </c>
      <c r="E33" s="4" t="s">
        <v>96</v>
      </c>
      <c r="F33" t="e">
        <f t="shared" si="1"/>
        <v>#N/A</v>
      </c>
      <c r="G33">
        <f t="shared" si="5"/>
        <v>72.900000000000006</v>
      </c>
      <c r="H33">
        <f t="shared" si="2"/>
        <v>63.900000000000006</v>
      </c>
      <c r="I33">
        <f t="shared" si="3"/>
        <v>87.654320987654316</v>
      </c>
      <c r="J33">
        <f t="shared" si="4"/>
        <v>12.345679012345684</v>
      </c>
    </row>
    <row r="34" spans="1:10" x14ac:dyDescent="0.3">
      <c r="A34" s="40">
        <v>518.18181818181824</v>
      </c>
      <c r="B34" s="40">
        <v>57</v>
      </c>
      <c r="C34" s="41">
        <v>11</v>
      </c>
      <c r="D34" s="4">
        <v>600000</v>
      </c>
      <c r="E34" s="4">
        <v>268686.71999999997</v>
      </c>
      <c r="F34">
        <f t="shared" si="1"/>
        <v>1.2260402464065708E-3</v>
      </c>
      <c r="G34">
        <f t="shared" si="5"/>
        <v>518.18181818181824</v>
      </c>
      <c r="H34">
        <f t="shared" si="2"/>
        <v>57</v>
      </c>
      <c r="I34">
        <f t="shared" si="3"/>
        <v>11</v>
      </c>
      <c r="J34">
        <f t="shared" si="4"/>
        <v>89</v>
      </c>
    </row>
    <row r="35" spans="1:10" x14ac:dyDescent="0.3">
      <c r="A35" s="6">
        <v>540</v>
      </c>
      <c r="B35" s="6">
        <v>27</v>
      </c>
      <c r="C35" s="7">
        <v>5</v>
      </c>
      <c r="D35" s="4">
        <v>600000</v>
      </c>
      <c r="E35" s="4">
        <v>228951.36000000004</v>
      </c>
      <c r="F35">
        <f t="shared" si="1"/>
        <v>1.0447244353182755E-3</v>
      </c>
      <c r="G35">
        <f t="shared" si="5"/>
        <v>540</v>
      </c>
      <c r="H35">
        <f t="shared" si="2"/>
        <v>27</v>
      </c>
      <c r="I35">
        <f t="shared" si="3"/>
        <v>5</v>
      </c>
      <c r="J35">
        <f t="shared" si="4"/>
        <v>95</v>
      </c>
    </row>
    <row r="36" spans="1:10" x14ac:dyDescent="0.3">
      <c r="A36" s="40">
        <v>777.77777777777771</v>
      </c>
      <c r="B36" s="40">
        <v>280</v>
      </c>
      <c r="C36" s="41">
        <v>36</v>
      </c>
      <c r="D36" s="4">
        <v>600</v>
      </c>
      <c r="E36" s="4">
        <v>204.35328000000004</v>
      </c>
      <c r="F36">
        <f t="shared" si="1"/>
        <v>9.3248131416837803E-4</v>
      </c>
      <c r="G36">
        <f t="shared" si="5"/>
        <v>777.77777777777771</v>
      </c>
      <c r="H36">
        <f t="shared" si="2"/>
        <v>280</v>
      </c>
      <c r="I36">
        <f t="shared" si="3"/>
        <v>36</v>
      </c>
      <c r="J36">
        <f t="shared" si="4"/>
        <v>64</v>
      </c>
    </row>
    <row r="37" spans="1:10" x14ac:dyDescent="0.3">
      <c r="A37" s="6">
        <v>930.95238095238096</v>
      </c>
      <c r="B37" s="6">
        <v>391</v>
      </c>
      <c r="C37" s="7">
        <v>42</v>
      </c>
      <c r="D37" s="4">
        <v>14000</v>
      </c>
      <c r="E37" s="4">
        <v>153300</v>
      </c>
      <c r="F37">
        <f t="shared" si="1"/>
        <v>2.9979466119096507E-2</v>
      </c>
      <c r="G37">
        <f t="shared" si="5"/>
        <v>930.95238095238096</v>
      </c>
      <c r="H37">
        <f t="shared" si="2"/>
        <v>391</v>
      </c>
      <c r="I37">
        <f t="shared" si="3"/>
        <v>42</v>
      </c>
      <c r="J37">
        <f t="shared" si="4"/>
        <v>58</v>
      </c>
    </row>
    <row r="38" spans="1:10" x14ac:dyDescent="0.3">
      <c r="A38" s="40">
        <v>1334.1463414634145</v>
      </c>
      <c r="B38" s="40">
        <v>547</v>
      </c>
      <c r="C38" s="41">
        <v>41</v>
      </c>
      <c r="D38" s="4">
        <v>22000</v>
      </c>
      <c r="E38" s="4">
        <v>289080</v>
      </c>
      <c r="F38">
        <f t="shared" si="1"/>
        <v>3.5975359342915812E-2</v>
      </c>
      <c r="G38">
        <f t="shared" si="5"/>
        <v>1334.1463414634145</v>
      </c>
      <c r="H38">
        <f t="shared" si="2"/>
        <v>547</v>
      </c>
      <c r="I38">
        <f t="shared" si="3"/>
        <v>41</v>
      </c>
      <c r="J38">
        <f t="shared" si="4"/>
        <v>59</v>
      </c>
    </row>
    <row r="39" spans="1:10" x14ac:dyDescent="0.3">
      <c r="A39" s="6">
        <v>642.85714285714289</v>
      </c>
      <c r="B39" s="6">
        <v>45</v>
      </c>
      <c r="C39" s="7">
        <v>7</v>
      </c>
      <c r="D39" s="4">
        <v>26000</v>
      </c>
      <c r="E39" s="4">
        <v>237250</v>
      </c>
      <c r="F39">
        <f t="shared" si="1"/>
        <v>2.4982888432580425E-2</v>
      </c>
      <c r="G39">
        <f t="shared" si="5"/>
        <v>642.85714285714289</v>
      </c>
      <c r="H39">
        <f t="shared" si="2"/>
        <v>45</v>
      </c>
      <c r="I39">
        <f t="shared" si="3"/>
        <v>7</v>
      </c>
      <c r="J39">
        <f t="shared" si="4"/>
        <v>93</v>
      </c>
    </row>
    <row r="40" spans="1:10" x14ac:dyDescent="0.3">
      <c r="A40" s="40">
        <v>51.5</v>
      </c>
      <c r="B40" s="40">
        <v>15</v>
      </c>
      <c r="C40" s="41">
        <v>29.126213592233007</v>
      </c>
      <c r="D40" s="4">
        <v>425000</v>
      </c>
      <c r="E40" s="4">
        <v>191250</v>
      </c>
      <c r="F40">
        <f t="shared" si="1"/>
        <v>1.2320328542094457E-3</v>
      </c>
      <c r="G40">
        <f t="shared" si="5"/>
        <v>51.5</v>
      </c>
      <c r="H40">
        <f t="shared" si="2"/>
        <v>15</v>
      </c>
      <c r="I40">
        <f t="shared" si="3"/>
        <v>29.126213592233007</v>
      </c>
      <c r="J40">
        <f t="shared" si="4"/>
        <v>70.873786407767</v>
      </c>
    </row>
    <row r="41" spans="1:10" x14ac:dyDescent="0.3">
      <c r="A41" s="6">
        <v>511</v>
      </c>
      <c r="B41" s="6">
        <v>45.666666666666664</v>
      </c>
      <c r="C41" s="7">
        <v>8.9367253750815383</v>
      </c>
      <c r="D41" s="4">
        <v>400000</v>
      </c>
      <c r="E41" s="4" t="s">
        <v>96</v>
      </c>
      <c r="F41" t="e">
        <f t="shared" si="1"/>
        <v>#N/A</v>
      </c>
      <c r="G41">
        <f t="shared" si="5"/>
        <v>511</v>
      </c>
      <c r="H41">
        <f t="shared" si="2"/>
        <v>45.666666666666664</v>
      </c>
      <c r="I41">
        <f t="shared" si="3"/>
        <v>8.9367253750815383</v>
      </c>
      <c r="J41">
        <f t="shared" si="4"/>
        <v>91.063274624918463</v>
      </c>
    </row>
    <row r="42" spans="1:10" x14ac:dyDescent="0.3">
      <c r="A42" s="40">
        <v>21.2</v>
      </c>
      <c r="B42" s="40">
        <v>-3.6</v>
      </c>
      <c r="C42" s="41">
        <v>-16.981132075471699</v>
      </c>
      <c r="D42" s="4">
        <v>600000</v>
      </c>
      <c r="E42" s="4" t="s">
        <v>96</v>
      </c>
      <c r="F42" t="e">
        <f t="shared" si="1"/>
        <v>#N/A</v>
      </c>
      <c r="G42">
        <f t="shared" si="5"/>
        <v>21.2</v>
      </c>
      <c r="H42">
        <f t="shared" si="2"/>
        <v>-3.6</v>
      </c>
      <c r="I42" t="e">
        <f t="shared" si="3"/>
        <v>#N/A</v>
      </c>
      <c r="J42" t="e">
        <f t="shared" si="4"/>
        <v>#N/A</v>
      </c>
    </row>
    <row r="43" spans="1:10" x14ac:dyDescent="0.3">
      <c r="A43" s="6">
        <v>46.9</v>
      </c>
      <c r="B43" s="6">
        <v>45.3</v>
      </c>
      <c r="C43" s="7">
        <v>96.588486140724939</v>
      </c>
      <c r="D43" s="4" t="s">
        <v>96</v>
      </c>
      <c r="E43" s="4" t="s">
        <v>96</v>
      </c>
      <c r="F43" t="e">
        <f t="shared" si="1"/>
        <v>#N/A</v>
      </c>
      <c r="G43">
        <f t="shared" si="5"/>
        <v>46.9</v>
      </c>
      <c r="H43">
        <f t="shared" si="2"/>
        <v>45.3</v>
      </c>
      <c r="I43">
        <f t="shared" si="3"/>
        <v>96.588486140724939</v>
      </c>
      <c r="J43">
        <f t="shared" si="4"/>
        <v>3.4115138592750611</v>
      </c>
    </row>
    <row r="44" spans="1:10" x14ac:dyDescent="0.3">
      <c r="A44" s="40">
        <v>65</v>
      </c>
      <c r="B44" s="40">
        <v>48.7</v>
      </c>
      <c r="C44" s="41">
        <v>74.92307692307692</v>
      </c>
      <c r="D44" s="4" t="s">
        <v>96</v>
      </c>
      <c r="E44" s="4" t="s">
        <v>96</v>
      </c>
      <c r="F44" t="e">
        <f t="shared" si="1"/>
        <v>#N/A</v>
      </c>
      <c r="G44">
        <f t="shared" si="5"/>
        <v>65</v>
      </c>
      <c r="H44">
        <f t="shared" si="2"/>
        <v>48.7</v>
      </c>
      <c r="I44">
        <f t="shared" si="3"/>
        <v>74.92307692307692</v>
      </c>
      <c r="J44">
        <f t="shared" si="4"/>
        <v>25.07692307692308</v>
      </c>
    </row>
    <row r="45" spans="1:10" x14ac:dyDescent="0.3">
      <c r="A45" s="6">
        <v>53.1</v>
      </c>
      <c r="B45" s="6">
        <v>42.8</v>
      </c>
      <c r="C45" s="7">
        <v>80.602636534839917</v>
      </c>
      <c r="D45" s="4">
        <v>1500</v>
      </c>
      <c r="E45" s="4">
        <v>993</v>
      </c>
      <c r="F45">
        <f t="shared" si="1"/>
        <v>1.8124572210814511E-3</v>
      </c>
      <c r="G45">
        <f t="shared" si="5"/>
        <v>53.1</v>
      </c>
      <c r="H45">
        <f t="shared" si="2"/>
        <v>42.8</v>
      </c>
      <c r="I45">
        <f t="shared" si="3"/>
        <v>80.602636534839917</v>
      </c>
      <c r="J45">
        <f t="shared" si="4"/>
        <v>19.397363465160083</v>
      </c>
    </row>
    <row r="46" spans="1:10" x14ac:dyDescent="0.3">
      <c r="A46" s="40">
        <v>41.18</v>
      </c>
      <c r="B46" s="40">
        <v>38.14</v>
      </c>
      <c r="C46" s="41">
        <v>92.617775619232631</v>
      </c>
      <c r="D46" s="4" t="s">
        <v>96</v>
      </c>
      <c r="E46" s="4" t="s">
        <v>96</v>
      </c>
      <c r="F46" t="e">
        <f t="shared" si="1"/>
        <v>#N/A</v>
      </c>
      <c r="G46">
        <f t="shared" si="5"/>
        <v>41.18</v>
      </c>
      <c r="H46">
        <f t="shared" si="2"/>
        <v>38.14</v>
      </c>
      <c r="I46">
        <f t="shared" si="3"/>
        <v>92.617775619232631</v>
      </c>
      <c r="J46">
        <f t="shared" si="4"/>
        <v>7.3822243807673686</v>
      </c>
    </row>
    <row r="47" spans="1:10" x14ac:dyDescent="0.3">
      <c r="A47" s="6">
        <v>42.59</v>
      </c>
      <c r="B47" s="6">
        <v>41.96</v>
      </c>
      <c r="C47" s="7">
        <v>98.520779525710253</v>
      </c>
      <c r="D47" s="4" t="s">
        <v>96</v>
      </c>
      <c r="E47" s="4" t="s">
        <v>96</v>
      </c>
      <c r="F47" t="e">
        <f t="shared" si="1"/>
        <v>#N/A</v>
      </c>
      <c r="G47">
        <f t="shared" si="5"/>
        <v>42.59</v>
      </c>
      <c r="H47">
        <f t="shared" si="2"/>
        <v>41.96</v>
      </c>
      <c r="I47">
        <f t="shared" si="3"/>
        <v>98.520779525710253</v>
      </c>
      <c r="J47">
        <f t="shared" si="4"/>
        <v>1.4792204742897468</v>
      </c>
    </row>
    <row r="48" spans="1:10" x14ac:dyDescent="0.3">
      <c r="A48" s="40">
        <v>75.599999999999994</v>
      </c>
      <c r="B48" s="40">
        <v>54.399999999999991</v>
      </c>
      <c r="C48" s="41">
        <v>71.957671957671948</v>
      </c>
      <c r="D48" s="4">
        <v>3200</v>
      </c>
      <c r="E48" s="4">
        <v>4537.5999999999995</v>
      </c>
      <c r="F48">
        <f t="shared" si="1"/>
        <v>3.8822724161533192E-3</v>
      </c>
      <c r="G48">
        <f t="shared" si="5"/>
        <v>75.599999999999994</v>
      </c>
      <c r="H48">
        <f t="shared" si="2"/>
        <v>54.399999999999991</v>
      </c>
      <c r="I48">
        <f t="shared" si="3"/>
        <v>71.957671957671948</v>
      </c>
      <c r="J48">
        <f t="shared" si="4"/>
        <v>28.042328042328052</v>
      </c>
    </row>
    <row r="49" spans="1:10" x14ac:dyDescent="0.3">
      <c r="A49" s="6">
        <v>9.8000000000000007</v>
      </c>
      <c r="B49" s="6">
        <v>9.4</v>
      </c>
      <c r="C49" s="7">
        <v>95.918367346938766</v>
      </c>
      <c r="D49" s="4" t="s">
        <v>96</v>
      </c>
      <c r="E49" s="4" t="s">
        <v>96</v>
      </c>
      <c r="F49" t="e">
        <f t="shared" si="1"/>
        <v>#N/A</v>
      </c>
      <c r="G49">
        <f t="shared" si="5"/>
        <v>9.8000000000000007</v>
      </c>
      <c r="H49">
        <f t="shared" si="2"/>
        <v>9.4</v>
      </c>
      <c r="I49">
        <f t="shared" si="3"/>
        <v>95.918367346938766</v>
      </c>
      <c r="J49">
        <f t="shared" si="4"/>
        <v>4.0816326530612344</v>
      </c>
    </row>
    <row r="50" spans="1:10" x14ac:dyDescent="0.3">
      <c r="A50" s="40">
        <v>480</v>
      </c>
      <c r="B50" s="40">
        <v>0</v>
      </c>
      <c r="C50" s="41">
        <v>0</v>
      </c>
      <c r="D50" s="4">
        <v>60000</v>
      </c>
      <c r="E50" s="4">
        <v>1476000</v>
      </c>
      <c r="F50">
        <f t="shared" si="1"/>
        <v>6.7351129363449697E-2</v>
      </c>
      <c r="G50">
        <f t="shared" si="5"/>
        <v>480</v>
      </c>
      <c r="H50">
        <f t="shared" si="2"/>
        <v>0</v>
      </c>
      <c r="I50" t="e">
        <f t="shared" si="3"/>
        <v>#N/A</v>
      </c>
      <c r="J50" t="e">
        <f t="shared" si="4"/>
        <v>#N/A</v>
      </c>
    </row>
    <row r="51" spans="1:10" x14ac:dyDescent="0.3">
      <c r="A51" s="6">
        <v>702</v>
      </c>
      <c r="B51" s="6">
        <v>90</v>
      </c>
      <c r="C51" s="7">
        <v>12.820512820512819</v>
      </c>
      <c r="D51" s="4">
        <v>50000</v>
      </c>
      <c r="E51" s="4">
        <v>1860000.0000000002</v>
      </c>
      <c r="F51">
        <f t="shared" si="1"/>
        <v>0.10184804928131418</v>
      </c>
      <c r="G51">
        <f t="shared" si="5"/>
        <v>702</v>
      </c>
      <c r="H51">
        <f t="shared" si="2"/>
        <v>90</v>
      </c>
      <c r="I51">
        <f t="shared" si="3"/>
        <v>12.820512820512819</v>
      </c>
      <c r="J51">
        <f t="shared" si="4"/>
        <v>87.179487179487182</v>
      </c>
    </row>
    <row r="52" spans="1:10" x14ac:dyDescent="0.3">
      <c r="A52" s="40">
        <v>1066.5</v>
      </c>
      <c r="B52" s="40">
        <v>357</v>
      </c>
      <c r="C52" s="41">
        <v>33.473980309423347</v>
      </c>
      <c r="D52" s="4">
        <v>312.5</v>
      </c>
      <c r="E52" s="4" t="s">
        <v>96</v>
      </c>
      <c r="F52" t="e">
        <f t="shared" si="1"/>
        <v>#N/A</v>
      </c>
      <c r="G52">
        <f t="shared" si="5"/>
        <v>1066.5</v>
      </c>
      <c r="H52">
        <f t="shared" si="2"/>
        <v>357</v>
      </c>
      <c r="I52">
        <f t="shared" si="3"/>
        <v>33.473980309423347</v>
      </c>
      <c r="J52">
        <f t="shared" si="4"/>
        <v>66.526019690576646</v>
      </c>
    </row>
    <row r="53" spans="1:10" x14ac:dyDescent="0.3">
      <c r="A53" s="6">
        <v>51.8</v>
      </c>
      <c r="B53" s="6">
        <v>38.799999999999997</v>
      </c>
      <c r="C53" s="7">
        <v>74.900000000000006</v>
      </c>
      <c r="D53" s="4">
        <v>3400</v>
      </c>
      <c r="E53" s="4" t="s">
        <v>96</v>
      </c>
      <c r="F53" t="e">
        <f t="shared" si="1"/>
        <v>#N/A</v>
      </c>
      <c r="G53">
        <f t="shared" si="5"/>
        <v>51.8</v>
      </c>
      <c r="H53">
        <f t="shared" si="2"/>
        <v>38.799999999999997</v>
      </c>
      <c r="I53">
        <f t="shared" si="3"/>
        <v>74.900000000000006</v>
      </c>
      <c r="J53">
        <f t="shared" si="4"/>
        <v>25.099999999999994</v>
      </c>
    </row>
    <row r="54" spans="1:10" x14ac:dyDescent="0.3">
      <c r="A54" s="40">
        <v>17</v>
      </c>
      <c r="B54" s="40">
        <v>2.38</v>
      </c>
      <c r="C54" s="41">
        <v>14</v>
      </c>
      <c r="D54" s="4">
        <v>13000</v>
      </c>
      <c r="E54" s="4">
        <v>68001.5</v>
      </c>
      <c r="F54">
        <f t="shared" si="1"/>
        <v>1.4321381561627969E-2</v>
      </c>
      <c r="G54">
        <f t="shared" si="5"/>
        <v>17</v>
      </c>
      <c r="H54">
        <f t="shared" si="2"/>
        <v>2.38</v>
      </c>
      <c r="I54">
        <f t="shared" si="3"/>
        <v>14</v>
      </c>
      <c r="J54">
        <f t="shared" si="4"/>
        <v>86</v>
      </c>
    </row>
    <row r="55" spans="1:10" x14ac:dyDescent="0.3">
      <c r="A55" s="6">
        <v>645</v>
      </c>
      <c r="B55" s="6">
        <v>323</v>
      </c>
      <c r="C55" s="6">
        <v>50</v>
      </c>
      <c r="D55" s="4">
        <v>30000</v>
      </c>
      <c r="E55" s="4">
        <v>600000</v>
      </c>
      <c r="F55">
        <f t="shared" si="1"/>
        <v>5.4757015742642023E-2</v>
      </c>
      <c r="G55">
        <f t="shared" si="5"/>
        <v>645</v>
      </c>
      <c r="H55">
        <f t="shared" si="2"/>
        <v>323</v>
      </c>
      <c r="I55">
        <f t="shared" si="3"/>
        <v>50</v>
      </c>
      <c r="J55">
        <f t="shared" si="4"/>
        <v>50</v>
      </c>
    </row>
    <row r="56" spans="1:10" x14ac:dyDescent="0.3">
      <c r="A56" s="40">
        <v>1216.3009404388715</v>
      </c>
      <c r="B56" s="40">
        <v>388</v>
      </c>
      <c r="C56" s="40">
        <v>31.9</v>
      </c>
      <c r="D56" s="4">
        <v>20000</v>
      </c>
      <c r="E56" s="4">
        <v>795060</v>
      </c>
      <c r="F56">
        <f t="shared" si="1"/>
        <v>0.10883778234086243</v>
      </c>
      <c r="G56">
        <f t="shared" si="5"/>
        <v>1216.3009404388715</v>
      </c>
      <c r="H56">
        <f t="shared" si="2"/>
        <v>388</v>
      </c>
      <c r="I56">
        <f t="shared" si="3"/>
        <v>31.9</v>
      </c>
      <c r="J56">
        <f t="shared" si="4"/>
        <v>68.099999999999994</v>
      </c>
    </row>
    <row r="57" spans="1:10" x14ac:dyDescent="0.3">
      <c r="A57" s="6">
        <v>83</v>
      </c>
      <c r="B57" s="6">
        <v>73.8</v>
      </c>
      <c r="C57" s="7">
        <v>88.915662650602414</v>
      </c>
      <c r="D57" s="4">
        <v>59000</v>
      </c>
      <c r="E57" s="4">
        <v>37639.960000000006</v>
      </c>
      <c r="F57">
        <f t="shared" si="1"/>
        <v>1.7466541375189971E-3</v>
      </c>
      <c r="G57">
        <f t="shared" si="5"/>
        <v>83</v>
      </c>
      <c r="H57">
        <f t="shared" si="2"/>
        <v>73.8</v>
      </c>
      <c r="I57">
        <f t="shared" si="3"/>
        <v>88.915662650602414</v>
      </c>
      <c r="J57">
        <f t="shared" si="4"/>
        <v>11.084337349397586</v>
      </c>
    </row>
    <row r="58" spans="1:10" x14ac:dyDescent="0.3">
      <c r="A58" s="40"/>
      <c r="B58" s="40"/>
      <c r="C58" s="41">
        <v>40.799999999999997</v>
      </c>
      <c r="D58" s="4">
        <v>2000</v>
      </c>
      <c r="E58" s="4" t="s">
        <v>96</v>
      </c>
      <c r="F58" t="e">
        <f t="shared" si="1"/>
        <v>#N/A</v>
      </c>
      <c r="G58" t="e">
        <f t="shared" si="5"/>
        <v>#N/A</v>
      </c>
      <c r="H58" t="e">
        <f t="shared" si="2"/>
        <v>#N/A</v>
      </c>
      <c r="I58">
        <f t="shared" si="3"/>
        <v>40.799999999999997</v>
      </c>
      <c r="J58">
        <f t="shared" si="4"/>
        <v>59.2</v>
      </c>
    </row>
    <row r="59" spans="1:10" x14ac:dyDescent="0.3">
      <c r="A59" s="6"/>
      <c r="B59" s="6"/>
      <c r="C59" s="7">
        <v>3.2</v>
      </c>
      <c r="D59" s="4">
        <v>2000</v>
      </c>
      <c r="E59" s="4" t="s">
        <v>96</v>
      </c>
      <c r="F59" t="e">
        <f t="shared" si="1"/>
        <v>#N/A</v>
      </c>
      <c r="G59" t="e">
        <f t="shared" si="5"/>
        <v>#N/A</v>
      </c>
      <c r="H59" t="e">
        <f t="shared" si="2"/>
        <v>#N/A</v>
      </c>
      <c r="I59">
        <f t="shared" si="3"/>
        <v>3.2</v>
      </c>
      <c r="J59">
        <f t="shared" si="4"/>
        <v>96.8</v>
      </c>
    </row>
    <row r="60" spans="1:10" x14ac:dyDescent="0.3">
      <c r="A60" s="40">
        <v>1120</v>
      </c>
      <c r="B60" s="40">
        <v>451.66666666666674</v>
      </c>
      <c r="C60" s="41">
        <v>40.327380952380956</v>
      </c>
      <c r="D60" s="4">
        <v>6000</v>
      </c>
      <c r="E60" s="4">
        <v>47233.333333333336</v>
      </c>
      <c r="F60">
        <f t="shared" si="1"/>
        <v>2.1552969807589931E-2</v>
      </c>
      <c r="G60">
        <f t="shared" si="5"/>
        <v>1120</v>
      </c>
      <c r="H60">
        <f t="shared" si="2"/>
        <v>451.66666666666674</v>
      </c>
      <c r="I60">
        <f t="shared" si="3"/>
        <v>40.327380952380956</v>
      </c>
      <c r="J60">
        <f t="shared" si="4"/>
        <v>59.672619047619044</v>
      </c>
    </row>
    <row r="61" spans="1:10" x14ac:dyDescent="0.3">
      <c r="A61" s="6">
        <v>552.22222222222217</v>
      </c>
      <c r="B61" s="6">
        <v>242.22222222222217</v>
      </c>
      <c r="C61" s="7">
        <v>43.86317907444667</v>
      </c>
      <c r="D61" s="4">
        <v>3000</v>
      </c>
      <c r="E61" s="4">
        <v>15500</v>
      </c>
      <c r="F61">
        <f t="shared" si="1"/>
        <v>1.4145562400182525E-2</v>
      </c>
      <c r="G61">
        <f t="shared" si="5"/>
        <v>552.22222222222217</v>
      </c>
      <c r="H61">
        <f t="shared" si="2"/>
        <v>242.22222222222217</v>
      </c>
      <c r="I61">
        <f t="shared" si="3"/>
        <v>43.86317907444667</v>
      </c>
      <c r="J61">
        <f t="shared" si="4"/>
        <v>56.13682092555333</v>
      </c>
    </row>
    <row r="62" spans="1:10" x14ac:dyDescent="0.3">
      <c r="A62" s="40">
        <v>885.83333333333337</v>
      </c>
      <c r="B62" s="40">
        <v>277.08333333333337</v>
      </c>
      <c r="C62" s="41">
        <v>31.279397930385706</v>
      </c>
      <c r="D62" s="4">
        <v>8000</v>
      </c>
      <c r="E62" s="4">
        <v>49033.333333333336</v>
      </c>
      <c r="F62">
        <f t="shared" si="1"/>
        <v>1.6780743782797172E-2</v>
      </c>
      <c r="G62">
        <f t="shared" si="5"/>
        <v>885.83333333333337</v>
      </c>
      <c r="H62">
        <f t="shared" si="2"/>
        <v>277.08333333333337</v>
      </c>
      <c r="I62">
        <f t="shared" si="3"/>
        <v>31.279397930385706</v>
      </c>
      <c r="J62">
        <f t="shared" si="4"/>
        <v>68.720602069614301</v>
      </c>
    </row>
    <row r="63" spans="1:10" x14ac:dyDescent="0.3">
      <c r="A63" s="7">
        <v>704</v>
      </c>
      <c r="B63" s="7">
        <v>147.84</v>
      </c>
      <c r="C63" s="7">
        <v>21</v>
      </c>
      <c r="D63" s="4">
        <v>485623</v>
      </c>
      <c r="E63" s="4">
        <v>5427322.648</v>
      </c>
      <c r="F63">
        <f t="shared" si="1"/>
        <v>3.0598220396988365E-2</v>
      </c>
      <c r="G63">
        <f t="shared" si="5"/>
        <v>704</v>
      </c>
      <c r="H63">
        <f t="shared" si="2"/>
        <v>147.84</v>
      </c>
      <c r="I63">
        <f t="shared" si="3"/>
        <v>21</v>
      </c>
      <c r="J63">
        <f t="shared" si="4"/>
        <v>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6B0C-CC13-4722-A6F1-4DA646B5428D}">
  <dimension ref="A1:K60"/>
  <sheetViews>
    <sheetView tabSelected="1" zoomScale="115" zoomScaleNormal="115" workbookViewId="0">
      <selection activeCell="J18" sqref="J18"/>
    </sheetView>
  </sheetViews>
  <sheetFormatPr defaultRowHeight="14.4" x14ac:dyDescent="0.3"/>
  <cols>
    <col min="7" max="7" width="18.5546875" customWidth="1"/>
  </cols>
  <sheetData>
    <row r="1" spans="1:9" ht="43.2" x14ac:dyDescent="0.3">
      <c r="A1" s="38" t="s">
        <v>193</v>
      </c>
      <c r="B1" s="38" t="s">
        <v>195</v>
      </c>
      <c r="C1" s="39" t="s">
        <v>3</v>
      </c>
      <c r="D1" s="44" t="s">
        <v>93</v>
      </c>
      <c r="E1" s="44" t="s">
        <v>94</v>
      </c>
      <c r="F1" t="s">
        <v>445</v>
      </c>
      <c r="G1" t="str">
        <f>IF(A1="",NA(),A1)</f>
        <v>Load (kg N, P/ha/yr)</v>
      </c>
      <c r="H1" t="str">
        <f t="shared" ref="H1:I1" si="0">IF(B1="",NA(),B1)</f>
        <v>Retention (kg N, P/ha/yr)</v>
      </c>
      <c r="I1" t="str">
        <f t="shared" si="0"/>
        <v>Efficiency (%)</v>
      </c>
    </row>
    <row r="2" spans="1:9" x14ac:dyDescent="0.3">
      <c r="A2" s="40">
        <v>35.700000000000003</v>
      </c>
      <c r="B2" s="40">
        <v>8.6999999999999993</v>
      </c>
      <c r="C2" s="41">
        <v>24</v>
      </c>
      <c r="D2" s="4">
        <v>1000</v>
      </c>
      <c r="E2" s="4">
        <v>34600</v>
      </c>
      <c r="F2">
        <f t="shared" ref="F2:F33" si="1">E2/D2/365.25</f>
        <v>9.4729637234770708E-2</v>
      </c>
      <c r="G2">
        <f>IF(A2="",NA(),A2)</f>
        <v>35.700000000000003</v>
      </c>
      <c r="H2">
        <f t="shared" ref="H2" si="2">IF(B2="",NA(),B2)</f>
        <v>8.6999999999999993</v>
      </c>
      <c r="I2">
        <f>IF(C2="",NA(),IF(C2&lt;0,NA(),C2))</f>
        <v>24</v>
      </c>
    </row>
    <row r="3" spans="1:9" x14ac:dyDescent="0.3">
      <c r="A3" s="6">
        <v>91.578947368421055</v>
      </c>
      <c r="B3" s="6">
        <v>87</v>
      </c>
      <c r="C3" s="7">
        <v>95</v>
      </c>
      <c r="D3" s="11">
        <v>630000</v>
      </c>
      <c r="E3" s="4">
        <v>7716000</v>
      </c>
      <c r="F3">
        <f t="shared" si="1"/>
        <v>3.3532153450017921E-2</v>
      </c>
      <c r="G3">
        <f t="shared" ref="G3:G31" si="3">IF(A3="",NA(),A3)</f>
        <v>91.578947368421055</v>
      </c>
      <c r="H3">
        <f t="shared" ref="H3:H31" si="4">IF(B3="",NA(),B3)</f>
        <v>87</v>
      </c>
      <c r="I3">
        <f t="shared" ref="I3:I60" si="5">IF(C3="",NA(),IF(C3&lt;0,NA(),C3))</f>
        <v>95</v>
      </c>
    </row>
    <row r="4" spans="1:9" x14ac:dyDescent="0.3">
      <c r="A4" s="40">
        <v>54.736842105263158</v>
      </c>
      <c r="B4" s="40">
        <v>52</v>
      </c>
      <c r="C4" s="41">
        <v>95</v>
      </c>
      <c r="D4" s="11">
        <v>340000</v>
      </c>
      <c r="E4" s="4">
        <v>412759</v>
      </c>
      <c r="F4">
        <f t="shared" si="1"/>
        <v>3.3237428030760559E-3</v>
      </c>
      <c r="G4">
        <f t="shared" si="3"/>
        <v>54.736842105263158</v>
      </c>
      <c r="H4">
        <f t="shared" si="4"/>
        <v>52</v>
      </c>
      <c r="I4">
        <f t="shared" si="5"/>
        <v>95</v>
      </c>
    </row>
    <row r="5" spans="1:9" x14ac:dyDescent="0.3">
      <c r="A5" s="6">
        <v>138.5</v>
      </c>
      <c r="B5" s="6">
        <v>63.5</v>
      </c>
      <c r="C5" s="7">
        <v>45.848375451263543</v>
      </c>
      <c r="D5" s="4">
        <v>6200</v>
      </c>
      <c r="E5" s="4">
        <v>17614.2</v>
      </c>
      <c r="F5">
        <f t="shared" si="1"/>
        <v>7.7782340862422999E-3</v>
      </c>
      <c r="G5">
        <f t="shared" si="3"/>
        <v>138.5</v>
      </c>
      <c r="H5">
        <f t="shared" si="4"/>
        <v>63.5</v>
      </c>
      <c r="I5">
        <f t="shared" si="5"/>
        <v>45.848375451263543</v>
      </c>
    </row>
    <row r="6" spans="1:9" x14ac:dyDescent="0.3">
      <c r="A6" s="42">
        <v>68.400000000000006</v>
      </c>
      <c r="B6" s="40">
        <v>48.300000000000004</v>
      </c>
      <c r="C6" s="41">
        <v>71</v>
      </c>
      <c r="D6" s="4">
        <v>11510</v>
      </c>
      <c r="E6" s="4">
        <v>1571.115</v>
      </c>
      <c r="F6">
        <f t="shared" si="1"/>
        <v>3.7371663244353186E-4</v>
      </c>
      <c r="G6">
        <f t="shared" si="3"/>
        <v>68.400000000000006</v>
      </c>
      <c r="H6">
        <f t="shared" si="4"/>
        <v>48.300000000000004</v>
      </c>
      <c r="I6">
        <f t="shared" si="5"/>
        <v>71</v>
      </c>
    </row>
    <row r="7" spans="1:9" x14ac:dyDescent="0.3">
      <c r="A7" s="1">
        <v>1045</v>
      </c>
      <c r="B7" s="6">
        <v>259</v>
      </c>
      <c r="C7" s="7">
        <v>25</v>
      </c>
      <c r="D7" s="4">
        <v>1130</v>
      </c>
      <c r="E7" s="4">
        <v>1590.4749999999999</v>
      </c>
      <c r="F7">
        <f t="shared" si="1"/>
        <v>3.8535249828884326E-3</v>
      </c>
      <c r="G7">
        <f t="shared" si="3"/>
        <v>1045</v>
      </c>
      <c r="H7">
        <f t="shared" si="4"/>
        <v>259</v>
      </c>
      <c r="I7">
        <f t="shared" si="5"/>
        <v>25</v>
      </c>
    </row>
    <row r="8" spans="1:9" x14ac:dyDescent="0.3">
      <c r="A8" s="42">
        <v>397</v>
      </c>
      <c r="B8" s="40">
        <v>374.1</v>
      </c>
      <c r="C8" s="41">
        <v>94</v>
      </c>
      <c r="D8" s="4">
        <v>11690</v>
      </c>
      <c r="E8" s="4">
        <v>5538.7219999999998</v>
      </c>
      <c r="F8">
        <f t="shared" si="1"/>
        <v>1.2971937029431896E-3</v>
      </c>
      <c r="G8">
        <f t="shared" si="3"/>
        <v>397</v>
      </c>
      <c r="H8">
        <f t="shared" si="4"/>
        <v>374.1</v>
      </c>
      <c r="I8">
        <f t="shared" si="5"/>
        <v>94</v>
      </c>
    </row>
    <row r="9" spans="1:9" x14ac:dyDescent="0.3">
      <c r="A9" s="1">
        <v>282</v>
      </c>
      <c r="B9" s="6">
        <v>260.2</v>
      </c>
      <c r="C9" s="7">
        <v>92.269503546099287</v>
      </c>
      <c r="D9" s="4">
        <v>4768</v>
      </c>
      <c r="E9" s="4">
        <v>2508.4448000000002</v>
      </c>
      <c r="F9">
        <f t="shared" si="1"/>
        <v>1.4403832991101986E-3</v>
      </c>
      <c r="G9">
        <f t="shared" si="3"/>
        <v>282</v>
      </c>
      <c r="H9">
        <f t="shared" si="4"/>
        <v>260.2</v>
      </c>
      <c r="I9">
        <f t="shared" si="5"/>
        <v>92.269503546099287</v>
      </c>
    </row>
    <row r="10" spans="1:9" x14ac:dyDescent="0.3">
      <c r="A10" s="41">
        <v>2000</v>
      </c>
      <c r="B10" s="43">
        <v>56</v>
      </c>
      <c r="C10" s="41">
        <v>2.8000000000000003</v>
      </c>
      <c r="D10" s="4">
        <v>200000</v>
      </c>
      <c r="E10" s="4">
        <v>4925000</v>
      </c>
      <c r="F10">
        <f t="shared" si="1"/>
        <v>6.741957563312799E-2</v>
      </c>
      <c r="G10">
        <f t="shared" si="3"/>
        <v>2000</v>
      </c>
      <c r="H10">
        <f t="shared" si="4"/>
        <v>56</v>
      </c>
      <c r="I10">
        <f t="shared" si="5"/>
        <v>2.8000000000000003</v>
      </c>
    </row>
    <row r="11" spans="1:9" x14ac:dyDescent="0.3">
      <c r="A11" s="7">
        <v>178.64702076872402</v>
      </c>
      <c r="B11" s="8">
        <v>87.521429999999995</v>
      </c>
      <c r="C11" s="7">
        <v>48.991261999999999</v>
      </c>
      <c r="D11" s="4">
        <v>254000</v>
      </c>
      <c r="E11" s="4">
        <v>1404620</v>
      </c>
      <c r="F11">
        <f t="shared" si="1"/>
        <v>1.5140314852840521E-2</v>
      </c>
      <c r="G11">
        <f t="shared" si="3"/>
        <v>178.64702076872402</v>
      </c>
      <c r="H11">
        <f t="shared" si="4"/>
        <v>87.521429999999995</v>
      </c>
      <c r="I11">
        <f t="shared" si="5"/>
        <v>48.991261999999999</v>
      </c>
    </row>
    <row r="12" spans="1:9" x14ac:dyDescent="0.3">
      <c r="A12" s="40">
        <v>682.55000000000007</v>
      </c>
      <c r="B12" s="40">
        <v>491.43600000000004</v>
      </c>
      <c r="C12" s="41">
        <v>72</v>
      </c>
      <c r="D12" s="4">
        <v>1370</v>
      </c>
      <c r="E12" s="4">
        <v>24502.45</v>
      </c>
      <c r="F12">
        <f t="shared" si="1"/>
        <v>4.8966461327857633E-2</v>
      </c>
      <c r="G12">
        <f t="shared" si="3"/>
        <v>682.55000000000007</v>
      </c>
      <c r="H12">
        <f t="shared" si="4"/>
        <v>491.43600000000004</v>
      </c>
      <c r="I12">
        <f t="shared" si="5"/>
        <v>72</v>
      </c>
    </row>
    <row r="13" spans="1:9" x14ac:dyDescent="0.3">
      <c r="A13" s="7">
        <v>2379.0626935917812</v>
      </c>
      <c r="B13" s="8">
        <v>304.03924000000001</v>
      </c>
      <c r="C13" s="7">
        <v>12.779790999999999</v>
      </c>
      <c r="D13" s="4">
        <v>400000</v>
      </c>
      <c r="E13" s="4">
        <v>22652000</v>
      </c>
      <c r="F13">
        <f t="shared" si="1"/>
        <v>0.15504449007529089</v>
      </c>
      <c r="G13">
        <f t="shared" si="3"/>
        <v>2379.0626935917812</v>
      </c>
      <c r="H13">
        <f t="shared" si="4"/>
        <v>304.03924000000001</v>
      </c>
      <c r="I13">
        <f t="shared" si="5"/>
        <v>12.779790999999999</v>
      </c>
    </row>
    <row r="14" spans="1:9" x14ac:dyDescent="0.3">
      <c r="A14" s="40">
        <v>709.02</v>
      </c>
      <c r="B14" s="40">
        <v>390</v>
      </c>
      <c r="C14" s="41">
        <v>55</v>
      </c>
      <c r="D14" s="4">
        <v>1600</v>
      </c>
      <c r="E14" s="4">
        <v>8260</v>
      </c>
      <c r="F14">
        <f t="shared" si="1"/>
        <v>1.4134154688569472E-2</v>
      </c>
      <c r="G14">
        <f t="shared" si="3"/>
        <v>709.02</v>
      </c>
      <c r="H14">
        <f t="shared" si="4"/>
        <v>390</v>
      </c>
      <c r="I14">
        <f t="shared" si="5"/>
        <v>55</v>
      </c>
    </row>
    <row r="15" spans="1:9" x14ac:dyDescent="0.3">
      <c r="A15" s="7">
        <v>372.94009390488242</v>
      </c>
      <c r="B15" s="8">
        <v>203.19213999999999</v>
      </c>
      <c r="C15" s="7">
        <v>54.483855000000005</v>
      </c>
      <c r="D15" s="4">
        <v>58000</v>
      </c>
      <c r="E15" s="4">
        <v>461680</v>
      </c>
      <c r="F15">
        <f t="shared" si="1"/>
        <v>2.1793292265571525E-2</v>
      </c>
      <c r="G15">
        <f t="shared" si="3"/>
        <v>372.94009390488242</v>
      </c>
      <c r="H15">
        <f t="shared" si="4"/>
        <v>203.19213999999999</v>
      </c>
      <c r="I15">
        <f t="shared" si="5"/>
        <v>54.483855000000005</v>
      </c>
    </row>
    <row r="16" spans="1:9" x14ac:dyDescent="0.3">
      <c r="A16" s="41">
        <v>456.46047203932778</v>
      </c>
      <c r="B16" s="43">
        <v>190.44032999999999</v>
      </c>
      <c r="C16" s="41">
        <v>41.7211</v>
      </c>
      <c r="D16" s="4">
        <v>310000</v>
      </c>
      <c r="E16" s="4">
        <v>1726700</v>
      </c>
      <c r="F16">
        <f t="shared" si="1"/>
        <v>1.5249828884325805E-2</v>
      </c>
      <c r="G16">
        <f t="shared" si="3"/>
        <v>456.46047203932778</v>
      </c>
      <c r="H16">
        <f t="shared" si="4"/>
        <v>190.44032999999999</v>
      </c>
      <c r="I16">
        <f t="shared" si="5"/>
        <v>41.7211</v>
      </c>
    </row>
    <row r="17" spans="1:11" x14ac:dyDescent="0.3">
      <c r="A17" s="6">
        <v>637</v>
      </c>
      <c r="B17" s="6">
        <v>184.5</v>
      </c>
      <c r="C17" s="7">
        <v>28.963893249607537</v>
      </c>
      <c r="D17" s="4">
        <v>5870</v>
      </c>
      <c r="E17" s="4">
        <v>25907.244999999999</v>
      </c>
      <c r="F17">
        <f t="shared" si="1"/>
        <v>1.2083504449007529E-2</v>
      </c>
      <c r="G17">
        <f t="shared" si="3"/>
        <v>637</v>
      </c>
      <c r="H17">
        <f t="shared" si="4"/>
        <v>184.5</v>
      </c>
      <c r="I17">
        <f t="shared" si="5"/>
        <v>28.963893249607537</v>
      </c>
    </row>
    <row r="18" spans="1:11" x14ac:dyDescent="0.3">
      <c r="A18" s="40">
        <v>1502</v>
      </c>
      <c r="B18" s="40"/>
      <c r="C18" s="41"/>
      <c r="D18" s="4">
        <v>852</v>
      </c>
      <c r="E18" s="4">
        <v>13589.631637500001</v>
      </c>
      <c r="F18">
        <f t="shared" si="1"/>
        <v>4.366946440793977E-2</v>
      </c>
      <c r="G18">
        <f t="shared" si="3"/>
        <v>1502</v>
      </c>
      <c r="H18" t="e">
        <f t="shared" si="4"/>
        <v>#N/A</v>
      </c>
      <c r="I18" t="e">
        <f t="shared" si="5"/>
        <v>#N/A</v>
      </c>
    </row>
    <row r="19" spans="1:11" x14ac:dyDescent="0.3">
      <c r="A19" s="7">
        <v>910.3341261631183</v>
      </c>
      <c r="B19" s="8">
        <v>34.407989999999998</v>
      </c>
      <c r="C19" s="7">
        <v>3.7797100000000001</v>
      </c>
      <c r="D19" s="4">
        <v>1520000</v>
      </c>
      <c r="E19" s="4">
        <v>77337600</v>
      </c>
      <c r="F19">
        <f t="shared" si="1"/>
        <v>0.13930184804928133</v>
      </c>
      <c r="G19">
        <f t="shared" si="3"/>
        <v>910.3341261631183</v>
      </c>
      <c r="H19">
        <f t="shared" si="4"/>
        <v>34.407989999999998</v>
      </c>
      <c r="I19">
        <f t="shared" si="5"/>
        <v>3.7797100000000001</v>
      </c>
    </row>
    <row r="20" spans="1:11" x14ac:dyDescent="0.3">
      <c r="A20" s="41">
        <v>274.51637921110159</v>
      </c>
      <c r="B20" s="43">
        <v>111.97924999999999</v>
      </c>
      <c r="C20" s="41">
        <v>40.791463999999998</v>
      </c>
      <c r="D20" s="4">
        <v>9130000</v>
      </c>
      <c r="E20" s="4">
        <v>44189200</v>
      </c>
      <c r="F20">
        <f t="shared" si="1"/>
        <v>1.3251197809719371E-2</v>
      </c>
      <c r="G20">
        <f t="shared" si="3"/>
        <v>274.51637921110159</v>
      </c>
      <c r="H20">
        <f t="shared" si="4"/>
        <v>111.97924999999999</v>
      </c>
      <c r="I20">
        <f t="shared" si="5"/>
        <v>40.791463999999998</v>
      </c>
    </row>
    <row r="21" spans="1:11" x14ac:dyDescent="0.3">
      <c r="A21" s="6">
        <v>86.566666666666663</v>
      </c>
      <c r="B21" s="6">
        <v>56.300000000000004</v>
      </c>
      <c r="C21" s="7">
        <v>65.036580670003858</v>
      </c>
      <c r="D21" s="5">
        <v>21</v>
      </c>
      <c r="E21" s="4">
        <v>304.39999999999998</v>
      </c>
      <c r="F21">
        <f t="shared" si="1"/>
        <v>3.9685799028714837E-2</v>
      </c>
      <c r="G21">
        <f t="shared" si="3"/>
        <v>86.566666666666663</v>
      </c>
      <c r="H21">
        <f t="shared" si="4"/>
        <v>56.300000000000004</v>
      </c>
      <c r="I21">
        <f t="shared" si="5"/>
        <v>65.036580670003858</v>
      </c>
      <c r="K21">
        <v>1E-3</v>
      </c>
    </row>
    <row r="22" spans="1:11" x14ac:dyDescent="0.3">
      <c r="A22" s="41">
        <v>1431.0074153481862</v>
      </c>
      <c r="B22" s="43">
        <v>298.98835000000003</v>
      </c>
      <c r="C22" s="41">
        <v>20.893556999999998</v>
      </c>
      <c r="D22" s="4">
        <v>2150000</v>
      </c>
      <c r="E22" s="4">
        <v>103096385.54216866</v>
      </c>
      <c r="F22">
        <f t="shared" si="1"/>
        <v>0.13128489316609351</v>
      </c>
      <c r="G22">
        <f t="shared" si="3"/>
        <v>1431.0074153481862</v>
      </c>
      <c r="H22">
        <f t="shared" si="4"/>
        <v>298.98835000000003</v>
      </c>
      <c r="I22">
        <f t="shared" si="5"/>
        <v>20.893556999999998</v>
      </c>
    </row>
    <row r="23" spans="1:11" x14ac:dyDescent="0.3">
      <c r="A23" s="6"/>
      <c r="B23" s="6"/>
      <c r="C23" s="7">
        <v>99</v>
      </c>
      <c r="D23" s="4">
        <v>416</v>
      </c>
      <c r="E23" s="4">
        <v>6715.9999999999991</v>
      </c>
      <c r="F23">
        <f t="shared" si="1"/>
        <v>4.4200494919180745E-2</v>
      </c>
      <c r="G23" t="e">
        <f t="shared" si="3"/>
        <v>#N/A</v>
      </c>
      <c r="H23" t="e">
        <f t="shared" si="4"/>
        <v>#N/A</v>
      </c>
      <c r="I23">
        <f t="shared" si="5"/>
        <v>99</v>
      </c>
    </row>
    <row r="24" spans="1:11" x14ac:dyDescent="0.3">
      <c r="A24" s="40"/>
      <c r="B24" s="40"/>
      <c r="C24" s="41">
        <v>84</v>
      </c>
      <c r="D24" s="4">
        <v>352</v>
      </c>
      <c r="E24" s="4">
        <v>10745.6</v>
      </c>
      <c r="F24">
        <f t="shared" si="1"/>
        <v>8.357911766535997E-2</v>
      </c>
      <c r="G24" t="e">
        <f t="shared" si="3"/>
        <v>#N/A</v>
      </c>
      <c r="H24" t="e">
        <f t="shared" si="4"/>
        <v>#N/A</v>
      </c>
      <c r="I24">
        <f t="shared" si="5"/>
        <v>84</v>
      </c>
    </row>
    <row r="25" spans="1:11" x14ac:dyDescent="0.3">
      <c r="A25" s="6">
        <v>342.85714285714289</v>
      </c>
      <c r="B25" s="6">
        <v>48</v>
      </c>
      <c r="C25" s="7">
        <v>14</v>
      </c>
      <c r="D25" s="4">
        <v>600000</v>
      </c>
      <c r="E25" s="4">
        <v>268686.71999999997</v>
      </c>
      <c r="F25">
        <f t="shared" si="1"/>
        <v>1.2260402464065708E-3</v>
      </c>
      <c r="G25">
        <f t="shared" si="3"/>
        <v>342.85714285714289</v>
      </c>
      <c r="H25">
        <f t="shared" si="4"/>
        <v>48</v>
      </c>
      <c r="I25">
        <f t="shared" si="5"/>
        <v>14</v>
      </c>
    </row>
    <row r="26" spans="1:11" x14ac:dyDescent="0.3">
      <c r="A26" s="40">
        <v>466.66666666666669</v>
      </c>
      <c r="B26" s="40">
        <v>28</v>
      </c>
      <c r="C26" s="41">
        <v>6</v>
      </c>
      <c r="D26" s="4">
        <v>600000</v>
      </c>
      <c r="E26" s="4">
        <v>228951.36000000004</v>
      </c>
      <c r="F26">
        <f t="shared" si="1"/>
        <v>1.0447244353182755E-3</v>
      </c>
      <c r="G26">
        <f t="shared" si="3"/>
        <v>466.66666666666669</v>
      </c>
      <c r="H26">
        <f t="shared" si="4"/>
        <v>28</v>
      </c>
      <c r="I26">
        <f t="shared" si="5"/>
        <v>6</v>
      </c>
    </row>
    <row r="27" spans="1:11" x14ac:dyDescent="0.3">
      <c r="A27" s="6">
        <v>628.57142857142856</v>
      </c>
      <c r="B27" s="6">
        <v>220</v>
      </c>
      <c r="C27" s="7">
        <v>35</v>
      </c>
      <c r="D27" s="4">
        <v>600</v>
      </c>
      <c r="E27" s="4">
        <v>204.35328000000004</v>
      </c>
      <c r="F27">
        <f t="shared" si="1"/>
        <v>9.3248131416837803E-4</v>
      </c>
      <c r="G27">
        <f t="shared" si="3"/>
        <v>628.57142857142856</v>
      </c>
      <c r="H27">
        <f t="shared" si="4"/>
        <v>220</v>
      </c>
      <c r="I27">
        <f t="shared" si="5"/>
        <v>35</v>
      </c>
    </row>
    <row r="28" spans="1:11" x14ac:dyDescent="0.3">
      <c r="A28" s="40">
        <v>547.5</v>
      </c>
      <c r="B28" s="40">
        <v>180.67500000000001</v>
      </c>
      <c r="C28" s="41">
        <v>33</v>
      </c>
      <c r="D28" s="4">
        <v>50000</v>
      </c>
      <c r="E28" s="4">
        <v>109500</v>
      </c>
      <c r="F28">
        <f t="shared" si="1"/>
        <v>5.995893223819302E-3</v>
      </c>
      <c r="G28">
        <f t="shared" si="3"/>
        <v>547.5</v>
      </c>
      <c r="H28">
        <f t="shared" si="4"/>
        <v>180.67500000000001</v>
      </c>
      <c r="I28">
        <f t="shared" si="5"/>
        <v>33</v>
      </c>
    </row>
    <row r="29" spans="1:11" x14ac:dyDescent="0.3">
      <c r="A29" s="6">
        <v>377.41935483870964</v>
      </c>
      <c r="B29" s="6">
        <v>234</v>
      </c>
      <c r="C29" s="7">
        <v>62</v>
      </c>
      <c r="D29" s="4">
        <v>14000</v>
      </c>
      <c r="E29" s="4">
        <v>153300</v>
      </c>
      <c r="F29">
        <f t="shared" si="1"/>
        <v>2.9979466119096507E-2</v>
      </c>
      <c r="G29">
        <f t="shared" si="3"/>
        <v>377.41935483870964</v>
      </c>
      <c r="H29">
        <f t="shared" si="4"/>
        <v>234</v>
      </c>
      <c r="I29">
        <f t="shared" si="5"/>
        <v>62</v>
      </c>
    </row>
    <row r="30" spans="1:11" x14ac:dyDescent="0.3">
      <c r="A30" s="40">
        <v>540.81632653061229</v>
      </c>
      <c r="B30" s="40">
        <v>265</v>
      </c>
      <c r="C30" s="41">
        <v>49</v>
      </c>
      <c r="D30" s="4">
        <v>22000</v>
      </c>
      <c r="E30" s="4">
        <v>289080</v>
      </c>
      <c r="F30">
        <f t="shared" si="1"/>
        <v>3.5975359342915812E-2</v>
      </c>
      <c r="G30">
        <f t="shared" si="3"/>
        <v>540.81632653061229</v>
      </c>
      <c r="H30">
        <f t="shared" si="4"/>
        <v>265</v>
      </c>
      <c r="I30">
        <f t="shared" si="5"/>
        <v>49</v>
      </c>
    </row>
    <row r="31" spans="1:11" x14ac:dyDescent="0.3">
      <c r="A31" s="6">
        <v>234.61538461538461</v>
      </c>
      <c r="B31" s="6">
        <v>61</v>
      </c>
      <c r="C31" s="7">
        <v>26</v>
      </c>
      <c r="D31" s="4">
        <v>26000</v>
      </c>
      <c r="E31" s="4">
        <v>237250</v>
      </c>
      <c r="F31">
        <f t="shared" si="1"/>
        <v>2.4982888432580425E-2</v>
      </c>
      <c r="G31">
        <f t="shared" si="3"/>
        <v>234.61538461538461</v>
      </c>
      <c r="H31">
        <f t="shared" si="4"/>
        <v>61</v>
      </c>
      <c r="I31">
        <f t="shared" si="5"/>
        <v>26</v>
      </c>
    </row>
    <row r="32" spans="1:11" x14ac:dyDescent="0.3">
      <c r="A32" s="40"/>
      <c r="B32" s="40"/>
      <c r="C32" s="41"/>
      <c r="D32" s="4">
        <v>425000</v>
      </c>
      <c r="E32" s="4">
        <v>191250</v>
      </c>
      <c r="F32">
        <f t="shared" si="1"/>
        <v>1.2320328542094457E-3</v>
      </c>
      <c r="G32" t="e">
        <f t="shared" ref="G32:G60" si="6">IF(A32="",NA(),A32)</f>
        <v>#N/A</v>
      </c>
      <c r="H32" t="e">
        <f t="shared" ref="H32:H60" si="7">IF(B32="",NA(),B32)</f>
        <v>#N/A</v>
      </c>
      <c r="I32" t="e">
        <f t="shared" si="5"/>
        <v>#N/A</v>
      </c>
    </row>
    <row r="33" spans="1:9" x14ac:dyDescent="0.3">
      <c r="A33" s="6">
        <v>366.66666666666669</v>
      </c>
      <c r="B33" s="6">
        <v>101.66666666666667</v>
      </c>
      <c r="C33" s="7">
        <v>27.727272727272727</v>
      </c>
      <c r="D33" s="4">
        <v>400000</v>
      </c>
      <c r="E33" s="4" t="s">
        <v>96</v>
      </c>
      <c r="F33" t="e">
        <f t="shared" si="1"/>
        <v>#VALUE!</v>
      </c>
      <c r="G33">
        <f t="shared" si="6"/>
        <v>366.66666666666669</v>
      </c>
      <c r="H33">
        <f t="shared" si="7"/>
        <v>101.66666666666667</v>
      </c>
      <c r="I33">
        <f t="shared" si="5"/>
        <v>27.727272727272727</v>
      </c>
    </row>
    <row r="34" spans="1:9" x14ac:dyDescent="0.3">
      <c r="A34" s="40">
        <v>9.8000000000000007</v>
      </c>
      <c r="B34" s="40">
        <v>6</v>
      </c>
      <c r="C34" s="41">
        <v>61.224489795918359</v>
      </c>
      <c r="D34" s="4">
        <v>600000</v>
      </c>
      <c r="E34" s="4" t="s">
        <v>96</v>
      </c>
      <c r="F34" t="e">
        <f t="shared" ref="F34:F60" si="8">E34/D34/365.25</f>
        <v>#VALUE!</v>
      </c>
      <c r="G34">
        <f t="shared" si="6"/>
        <v>9.8000000000000007</v>
      </c>
      <c r="H34">
        <f t="shared" si="7"/>
        <v>6</v>
      </c>
      <c r="I34">
        <f t="shared" si="5"/>
        <v>61.224489795918359</v>
      </c>
    </row>
    <row r="35" spans="1:9" x14ac:dyDescent="0.3">
      <c r="A35" s="6"/>
      <c r="B35" s="6"/>
      <c r="C35" s="7">
        <v>95</v>
      </c>
      <c r="D35" s="4" t="s">
        <v>96</v>
      </c>
      <c r="E35" s="4" t="s">
        <v>96</v>
      </c>
      <c r="F35" t="e">
        <f t="shared" si="8"/>
        <v>#VALUE!</v>
      </c>
      <c r="G35" t="e">
        <f t="shared" si="6"/>
        <v>#N/A</v>
      </c>
      <c r="H35" t="e">
        <f t="shared" si="7"/>
        <v>#N/A</v>
      </c>
      <c r="I35">
        <f t="shared" si="5"/>
        <v>95</v>
      </c>
    </row>
    <row r="36" spans="1:9" x14ac:dyDescent="0.3">
      <c r="A36" s="40">
        <v>870</v>
      </c>
      <c r="B36" s="40">
        <v>330.6</v>
      </c>
      <c r="C36" s="41">
        <v>38</v>
      </c>
      <c r="D36" s="4" t="s">
        <v>96</v>
      </c>
      <c r="E36" s="4" t="s">
        <v>96</v>
      </c>
      <c r="F36" t="e">
        <f t="shared" si="8"/>
        <v>#VALUE!</v>
      </c>
      <c r="G36">
        <f t="shared" si="6"/>
        <v>870</v>
      </c>
      <c r="H36">
        <f t="shared" si="7"/>
        <v>330.6</v>
      </c>
      <c r="I36">
        <f t="shared" si="5"/>
        <v>38</v>
      </c>
    </row>
    <row r="37" spans="1:9" x14ac:dyDescent="0.3">
      <c r="A37" s="6">
        <v>150</v>
      </c>
      <c r="B37" s="6">
        <v>94.5</v>
      </c>
      <c r="C37" s="7">
        <v>63</v>
      </c>
      <c r="D37" s="4" t="s">
        <v>96</v>
      </c>
      <c r="E37" s="4" t="s">
        <v>96</v>
      </c>
      <c r="F37" t="e">
        <f t="shared" si="8"/>
        <v>#VALUE!</v>
      </c>
      <c r="G37">
        <f t="shared" si="6"/>
        <v>150</v>
      </c>
      <c r="H37">
        <f t="shared" si="7"/>
        <v>94.5</v>
      </c>
      <c r="I37">
        <f t="shared" si="5"/>
        <v>63</v>
      </c>
    </row>
    <row r="38" spans="1:9" x14ac:dyDescent="0.3">
      <c r="A38" s="40"/>
      <c r="B38" s="40"/>
      <c r="C38" s="41">
        <v>91</v>
      </c>
      <c r="D38" s="4" t="s">
        <v>96</v>
      </c>
      <c r="E38" s="4" t="s">
        <v>96</v>
      </c>
      <c r="F38" t="e">
        <f t="shared" si="8"/>
        <v>#VALUE!</v>
      </c>
      <c r="G38" t="e">
        <f t="shared" si="6"/>
        <v>#N/A</v>
      </c>
      <c r="H38" t="e">
        <f t="shared" si="7"/>
        <v>#N/A</v>
      </c>
      <c r="I38">
        <f t="shared" si="5"/>
        <v>91</v>
      </c>
    </row>
    <row r="39" spans="1:9" x14ac:dyDescent="0.3">
      <c r="A39" s="6"/>
      <c r="B39" s="6"/>
      <c r="C39" s="7">
        <v>30</v>
      </c>
      <c r="D39" s="4" t="s">
        <v>96</v>
      </c>
      <c r="E39" s="4" t="s">
        <v>96</v>
      </c>
      <c r="F39" t="e">
        <f t="shared" si="8"/>
        <v>#VALUE!</v>
      </c>
      <c r="G39" t="e">
        <f t="shared" si="6"/>
        <v>#N/A</v>
      </c>
      <c r="H39" t="e">
        <f t="shared" si="7"/>
        <v>#N/A</v>
      </c>
      <c r="I39">
        <f t="shared" si="5"/>
        <v>30</v>
      </c>
    </row>
    <row r="40" spans="1:9" x14ac:dyDescent="0.3">
      <c r="A40" s="40">
        <v>324</v>
      </c>
      <c r="B40" s="40">
        <v>90</v>
      </c>
      <c r="C40" s="41">
        <v>27.777777777777779</v>
      </c>
      <c r="D40" s="4">
        <v>60000</v>
      </c>
      <c r="E40" s="4">
        <v>1476000</v>
      </c>
      <c r="F40">
        <f t="shared" si="8"/>
        <v>6.7351129363449697E-2</v>
      </c>
      <c r="G40">
        <f t="shared" si="6"/>
        <v>324</v>
      </c>
      <c r="H40">
        <f t="shared" si="7"/>
        <v>90</v>
      </c>
      <c r="I40">
        <f t="shared" si="5"/>
        <v>27.777777777777779</v>
      </c>
    </row>
    <row r="41" spans="1:9" x14ac:dyDescent="0.3">
      <c r="A41" s="6">
        <v>504</v>
      </c>
      <c r="B41" s="6">
        <v>180</v>
      </c>
      <c r="C41" s="7">
        <v>35.714285714285715</v>
      </c>
      <c r="D41" s="4">
        <v>50000</v>
      </c>
      <c r="E41" s="4">
        <v>1860000.0000000002</v>
      </c>
      <c r="F41">
        <f t="shared" si="8"/>
        <v>0.10184804928131418</v>
      </c>
      <c r="G41">
        <f t="shared" si="6"/>
        <v>504</v>
      </c>
      <c r="H41">
        <f t="shared" si="7"/>
        <v>180</v>
      </c>
      <c r="I41">
        <f t="shared" si="5"/>
        <v>35.714285714285715</v>
      </c>
    </row>
    <row r="42" spans="1:9" x14ac:dyDescent="0.3">
      <c r="A42" s="40">
        <v>85.3</v>
      </c>
      <c r="B42" s="40">
        <v>65.599999999999994</v>
      </c>
      <c r="C42" s="41">
        <v>76.905041031652985</v>
      </c>
      <c r="D42" s="4">
        <v>260000000</v>
      </c>
      <c r="E42" s="4" t="s">
        <v>96</v>
      </c>
      <c r="F42" t="e">
        <f t="shared" si="8"/>
        <v>#VALUE!</v>
      </c>
      <c r="G42">
        <f t="shared" si="6"/>
        <v>85.3</v>
      </c>
      <c r="H42">
        <f t="shared" si="7"/>
        <v>65.599999999999994</v>
      </c>
      <c r="I42">
        <f t="shared" si="5"/>
        <v>76.905041031652985</v>
      </c>
    </row>
    <row r="43" spans="1:9" x14ac:dyDescent="0.3">
      <c r="A43" s="6"/>
      <c r="B43" s="6"/>
      <c r="C43" s="7">
        <v>94</v>
      </c>
      <c r="D43" s="4" t="s">
        <v>96</v>
      </c>
      <c r="E43" s="4" t="s">
        <v>96</v>
      </c>
      <c r="F43" t="e">
        <f t="shared" si="8"/>
        <v>#VALUE!</v>
      </c>
      <c r="G43" t="e">
        <f t="shared" si="6"/>
        <v>#N/A</v>
      </c>
      <c r="H43" t="e">
        <f t="shared" si="7"/>
        <v>#N/A</v>
      </c>
      <c r="I43">
        <f t="shared" si="5"/>
        <v>94</v>
      </c>
    </row>
    <row r="44" spans="1:9" x14ac:dyDescent="0.3">
      <c r="A44" s="40"/>
      <c r="B44" s="40">
        <v>390</v>
      </c>
      <c r="C44" s="41"/>
      <c r="D44" s="4">
        <v>12000</v>
      </c>
      <c r="E44" s="4">
        <v>77520</v>
      </c>
      <c r="F44">
        <f t="shared" si="8"/>
        <v>1.7686516084873375E-2</v>
      </c>
      <c r="G44" t="e">
        <f t="shared" si="6"/>
        <v>#N/A</v>
      </c>
      <c r="H44">
        <f t="shared" si="7"/>
        <v>390</v>
      </c>
      <c r="I44" t="e">
        <f t="shared" si="5"/>
        <v>#N/A</v>
      </c>
    </row>
    <row r="45" spans="1:9" x14ac:dyDescent="0.3">
      <c r="A45" s="6"/>
      <c r="B45" s="6"/>
      <c r="C45" s="7">
        <v>93</v>
      </c>
      <c r="D45" s="4" t="s">
        <v>96</v>
      </c>
      <c r="E45" s="4" t="s">
        <v>96</v>
      </c>
      <c r="F45" t="e">
        <f t="shared" si="8"/>
        <v>#VALUE!</v>
      </c>
      <c r="G45" t="e">
        <f t="shared" si="6"/>
        <v>#N/A</v>
      </c>
      <c r="H45" t="e">
        <f t="shared" si="7"/>
        <v>#N/A</v>
      </c>
      <c r="I45">
        <f t="shared" si="5"/>
        <v>93</v>
      </c>
    </row>
    <row r="46" spans="1:9" x14ac:dyDescent="0.3">
      <c r="A46" s="40"/>
      <c r="B46" s="40"/>
      <c r="C46" s="41">
        <v>83</v>
      </c>
      <c r="D46" s="4" t="s">
        <v>96</v>
      </c>
      <c r="E46" s="4" t="s">
        <v>96</v>
      </c>
      <c r="F46" t="e">
        <f t="shared" si="8"/>
        <v>#VALUE!</v>
      </c>
      <c r="G46" t="e">
        <f t="shared" si="6"/>
        <v>#N/A</v>
      </c>
      <c r="H46" t="e">
        <f t="shared" si="7"/>
        <v>#N/A</v>
      </c>
      <c r="I46">
        <f t="shared" si="5"/>
        <v>83</v>
      </c>
    </row>
    <row r="47" spans="1:9" x14ac:dyDescent="0.3">
      <c r="A47" s="6">
        <v>8.02</v>
      </c>
      <c r="B47" s="6">
        <v>7.9397999999999991</v>
      </c>
      <c r="C47" s="7">
        <v>99</v>
      </c>
      <c r="D47" s="4" t="s">
        <v>96</v>
      </c>
      <c r="E47" s="4" t="s">
        <v>96</v>
      </c>
      <c r="F47" t="e">
        <f t="shared" si="8"/>
        <v>#VALUE!</v>
      </c>
      <c r="G47">
        <f t="shared" si="6"/>
        <v>8.02</v>
      </c>
      <c r="H47">
        <f t="shared" si="7"/>
        <v>7.9397999999999991</v>
      </c>
      <c r="I47">
        <f t="shared" si="5"/>
        <v>99</v>
      </c>
    </row>
    <row r="48" spans="1:9" x14ac:dyDescent="0.3">
      <c r="A48" s="40">
        <v>12</v>
      </c>
      <c r="B48" s="40">
        <v>6.24</v>
      </c>
      <c r="C48" s="41">
        <v>52</v>
      </c>
      <c r="D48" s="4">
        <v>13000</v>
      </c>
      <c r="E48" s="4">
        <v>68001.5</v>
      </c>
      <c r="F48">
        <f t="shared" si="8"/>
        <v>1.4321381561627969E-2</v>
      </c>
      <c r="G48">
        <f t="shared" si="6"/>
        <v>12</v>
      </c>
      <c r="H48">
        <f t="shared" si="7"/>
        <v>6.24</v>
      </c>
      <c r="I48">
        <f t="shared" si="5"/>
        <v>52</v>
      </c>
    </row>
    <row r="49" spans="1:9" x14ac:dyDescent="0.3">
      <c r="A49" s="6"/>
      <c r="B49" s="6"/>
      <c r="C49" s="7">
        <v>96</v>
      </c>
      <c r="D49" s="4" t="s">
        <v>96</v>
      </c>
      <c r="E49" s="4" t="s">
        <v>96</v>
      </c>
      <c r="F49" t="e">
        <f t="shared" si="8"/>
        <v>#VALUE!</v>
      </c>
      <c r="G49" t="e">
        <f t="shared" si="6"/>
        <v>#N/A</v>
      </c>
      <c r="H49" t="e">
        <f t="shared" si="7"/>
        <v>#N/A</v>
      </c>
      <c r="I49">
        <f t="shared" si="5"/>
        <v>96</v>
      </c>
    </row>
    <row r="50" spans="1:9" x14ac:dyDescent="0.3">
      <c r="A50" s="40">
        <v>21.5</v>
      </c>
      <c r="B50" s="40">
        <v>19.565000000000001</v>
      </c>
      <c r="C50" s="41">
        <v>91</v>
      </c>
      <c r="D50" s="4" t="s">
        <v>96</v>
      </c>
      <c r="E50" s="4" t="s">
        <v>96</v>
      </c>
      <c r="F50" t="e">
        <f t="shared" si="8"/>
        <v>#VALUE!</v>
      </c>
      <c r="G50">
        <f t="shared" si="6"/>
        <v>21.5</v>
      </c>
      <c r="H50">
        <f t="shared" si="7"/>
        <v>19.565000000000001</v>
      </c>
      <c r="I50">
        <f t="shared" si="5"/>
        <v>91</v>
      </c>
    </row>
    <row r="51" spans="1:9" x14ac:dyDescent="0.3">
      <c r="A51" s="6">
        <v>1081.5999999999999</v>
      </c>
      <c r="B51" s="6">
        <v>373.2</v>
      </c>
      <c r="C51" s="7">
        <v>34.504437869822482</v>
      </c>
      <c r="D51" s="4">
        <v>10000</v>
      </c>
      <c r="E51" s="4">
        <v>25000</v>
      </c>
      <c r="F51">
        <f t="shared" si="8"/>
        <v>6.8446269678302529E-3</v>
      </c>
      <c r="G51">
        <f t="shared" si="6"/>
        <v>1081.5999999999999</v>
      </c>
      <c r="H51">
        <f t="shared" si="7"/>
        <v>373.2</v>
      </c>
      <c r="I51">
        <f t="shared" si="5"/>
        <v>34.504437869822482</v>
      </c>
    </row>
    <row r="52" spans="1:9" x14ac:dyDescent="0.3">
      <c r="A52" s="40">
        <v>1078.2222222222222</v>
      </c>
      <c r="B52" s="40">
        <v>408.22222222222217</v>
      </c>
      <c r="C52" s="41">
        <v>37.860676009892828</v>
      </c>
      <c r="D52" s="4">
        <v>10000</v>
      </c>
      <c r="E52" s="4">
        <v>25000</v>
      </c>
      <c r="F52">
        <f t="shared" si="8"/>
        <v>6.8446269678302529E-3</v>
      </c>
      <c r="G52">
        <f t="shared" si="6"/>
        <v>1078.2222222222222</v>
      </c>
      <c r="H52">
        <f t="shared" si="7"/>
        <v>408.22222222222217</v>
      </c>
      <c r="I52">
        <f t="shared" si="5"/>
        <v>37.860676009892828</v>
      </c>
    </row>
    <row r="53" spans="1:9" x14ac:dyDescent="0.3">
      <c r="A53" s="6">
        <v>322</v>
      </c>
      <c r="B53" s="6">
        <v>154</v>
      </c>
      <c r="C53" s="6">
        <v>48</v>
      </c>
      <c r="D53" s="4">
        <v>30000</v>
      </c>
      <c r="E53" s="4">
        <v>600000</v>
      </c>
      <c r="F53">
        <f t="shared" si="8"/>
        <v>5.4757015742642023E-2</v>
      </c>
      <c r="G53">
        <f t="shared" si="6"/>
        <v>322</v>
      </c>
      <c r="H53">
        <f t="shared" si="7"/>
        <v>154</v>
      </c>
      <c r="I53">
        <f t="shared" si="5"/>
        <v>48</v>
      </c>
    </row>
    <row r="54" spans="1:9" x14ac:dyDescent="0.3">
      <c r="A54" s="40">
        <v>1006.4516129032257</v>
      </c>
      <c r="B54" s="40">
        <v>156</v>
      </c>
      <c r="C54" s="40">
        <v>15.5</v>
      </c>
      <c r="D54" s="4">
        <v>20000</v>
      </c>
      <c r="E54" s="4">
        <v>795060</v>
      </c>
      <c r="F54">
        <f t="shared" si="8"/>
        <v>0.10883778234086243</v>
      </c>
      <c r="G54">
        <f t="shared" si="6"/>
        <v>1006.4516129032257</v>
      </c>
      <c r="H54">
        <f t="shared" si="7"/>
        <v>156</v>
      </c>
      <c r="I54">
        <f t="shared" si="5"/>
        <v>15.5</v>
      </c>
    </row>
    <row r="55" spans="1:9" x14ac:dyDescent="0.3">
      <c r="A55" s="6"/>
      <c r="B55" s="6"/>
      <c r="C55" s="7">
        <v>40</v>
      </c>
      <c r="D55" s="4" t="s">
        <v>96</v>
      </c>
      <c r="E55" s="4" t="s">
        <v>96</v>
      </c>
      <c r="F55" t="e">
        <f t="shared" si="8"/>
        <v>#VALUE!</v>
      </c>
      <c r="G55" t="e">
        <f t="shared" si="6"/>
        <v>#N/A</v>
      </c>
      <c r="H55" t="e">
        <f t="shared" si="7"/>
        <v>#N/A</v>
      </c>
      <c r="I55">
        <f t="shared" si="5"/>
        <v>40</v>
      </c>
    </row>
    <row r="56" spans="1:9" x14ac:dyDescent="0.3">
      <c r="A56" s="40"/>
      <c r="B56" s="40"/>
      <c r="C56" s="41">
        <v>60</v>
      </c>
      <c r="D56" s="4">
        <v>2000</v>
      </c>
      <c r="E56" s="4" t="s">
        <v>96</v>
      </c>
      <c r="F56" t="e">
        <f t="shared" si="8"/>
        <v>#VALUE!</v>
      </c>
      <c r="G56" t="e">
        <f t="shared" si="6"/>
        <v>#N/A</v>
      </c>
      <c r="H56" t="e">
        <f t="shared" si="7"/>
        <v>#N/A</v>
      </c>
      <c r="I56">
        <f t="shared" si="5"/>
        <v>60</v>
      </c>
    </row>
    <row r="57" spans="1:9" x14ac:dyDescent="0.3">
      <c r="A57" s="6"/>
      <c r="B57" s="6"/>
      <c r="C57" s="7">
        <v>-31.2</v>
      </c>
      <c r="D57" s="4">
        <v>2000</v>
      </c>
      <c r="E57" s="4" t="s">
        <v>96</v>
      </c>
      <c r="F57" t="e">
        <f t="shared" si="8"/>
        <v>#VALUE!</v>
      </c>
      <c r="G57" t="e">
        <f t="shared" si="6"/>
        <v>#N/A</v>
      </c>
      <c r="H57" t="e">
        <f t="shared" si="7"/>
        <v>#N/A</v>
      </c>
      <c r="I57" t="e">
        <f t="shared" si="5"/>
        <v>#N/A</v>
      </c>
    </row>
    <row r="58" spans="1:9" x14ac:dyDescent="0.3">
      <c r="A58" s="40">
        <v>1038.8888888888889</v>
      </c>
      <c r="B58" s="40">
        <v>422.22222222222229</v>
      </c>
      <c r="C58" s="41">
        <v>40.64171122994653</v>
      </c>
      <c r="D58" s="4">
        <v>6000</v>
      </c>
      <c r="E58" s="4">
        <v>47233.333333333336</v>
      </c>
      <c r="F58">
        <f t="shared" si="8"/>
        <v>2.1552969807589931E-2</v>
      </c>
      <c r="G58">
        <f t="shared" si="6"/>
        <v>1038.8888888888889</v>
      </c>
      <c r="H58">
        <f t="shared" si="7"/>
        <v>422.22222222222229</v>
      </c>
      <c r="I58">
        <f t="shared" si="5"/>
        <v>40.64171122994653</v>
      </c>
    </row>
    <row r="59" spans="1:9" x14ac:dyDescent="0.3">
      <c r="A59" s="6">
        <v>546.66666666666674</v>
      </c>
      <c r="B59" s="6">
        <v>245.55555555555566</v>
      </c>
      <c r="C59" s="7">
        <v>44.918699186991887</v>
      </c>
      <c r="D59" s="4">
        <v>3000</v>
      </c>
      <c r="E59" s="4">
        <v>15500</v>
      </c>
      <c r="F59">
        <f t="shared" si="8"/>
        <v>1.4145562400182525E-2</v>
      </c>
      <c r="G59">
        <f t="shared" si="6"/>
        <v>546.66666666666674</v>
      </c>
      <c r="H59">
        <f t="shared" si="7"/>
        <v>245.55555555555566</v>
      </c>
      <c r="I59">
        <f t="shared" si="5"/>
        <v>44.918699186991887</v>
      </c>
    </row>
    <row r="60" spans="1:9" x14ac:dyDescent="0.3">
      <c r="A60" s="40">
        <v>867.91666666666674</v>
      </c>
      <c r="B60" s="40">
        <v>297.91666666666674</v>
      </c>
      <c r="C60" s="41">
        <v>34.325492078732609</v>
      </c>
      <c r="D60" s="4">
        <v>8000</v>
      </c>
      <c r="E60" s="4">
        <v>49033.333333333336</v>
      </c>
      <c r="F60">
        <f t="shared" si="8"/>
        <v>1.6780743782797172E-2</v>
      </c>
      <c r="G60">
        <f t="shared" si="6"/>
        <v>867.91666666666674</v>
      </c>
      <c r="H60">
        <f t="shared" si="7"/>
        <v>297.91666666666674</v>
      </c>
      <c r="I60">
        <f t="shared" si="5"/>
        <v>34.325492078732609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2"/>
  <sheetViews>
    <sheetView topLeftCell="A2" workbookViewId="0">
      <selection activeCell="A77" sqref="A77"/>
    </sheetView>
  </sheetViews>
  <sheetFormatPr defaultColWidth="8.77734375" defaultRowHeight="14.4" x14ac:dyDescent="0.3"/>
  <cols>
    <col min="1" max="1" width="255.6640625" bestFit="1" customWidth="1"/>
  </cols>
  <sheetData>
    <row r="1" spans="1:1" x14ac:dyDescent="0.3">
      <c r="A1" t="s">
        <v>229</v>
      </c>
    </row>
    <row r="2" spans="1:1" x14ac:dyDescent="0.3">
      <c r="A2" t="s">
        <v>235</v>
      </c>
    </row>
    <row r="3" spans="1:1" x14ac:dyDescent="0.3">
      <c r="A3" t="s">
        <v>232</v>
      </c>
    </row>
    <row r="4" spans="1:1" x14ac:dyDescent="0.3">
      <c r="A4" t="s">
        <v>233</v>
      </c>
    </row>
    <row r="5" spans="1:1" x14ac:dyDescent="0.3">
      <c r="A5" t="s">
        <v>248</v>
      </c>
    </row>
    <row r="6" spans="1:1" x14ac:dyDescent="0.3">
      <c r="A6" t="s">
        <v>238</v>
      </c>
    </row>
    <row r="7" spans="1:1" x14ac:dyDescent="0.3">
      <c r="A7" t="s">
        <v>226</v>
      </c>
    </row>
    <row r="8" spans="1:1" x14ac:dyDescent="0.3">
      <c r="A8" t="s">
        <v>234</v>
      </c>
    </row>
    <row r="9" spans="1:1" x14ac:dyDescent="0.3">
      <c r="A9" t="s">
        <v>268</v>
      </c>
    </row>
    <row r="10" spans="1:1" x14ac:dyDescent="0.3">
      <c r="A10" t="s">
        <v>269</v>
      </c>
    </row>
    <row r="11" spans="1:1" x14ac:dyDescent="0.3">
      <c r="A11" t="s">
        <v>240</v>
      </c>
    </row>
    <row r="12" spans="1:1" x14ac:dyDescent="0.3">
      <c r="A12" t="s">
        <v>236</v>
      </c>
    </row>
    <row r="13" spans="1:1" x14ac:dyDescent="0.3">
      <c r="A13" t="s">
        <v>237</v>
      </c>
    </row>
    <row r="14" spans="1:1" x14ac:dyDescent="0.3">
      <c r="A14" t="s">
        <v>239</v>
      </c>
    </row>
    <row r="15" spans="1:1" x14ac:dyDescent="0.3">
      <c r="A15" t="s">
        <v>250</v>
      </c>
    </row>
    <row r="16" spans="1:1" x14ac:dyDescent="0.3">
      <c r="A16" t="s">
        <v>231</v>
      </c>
    </row>
    <row r="17" spans="1:1" x14ac:dyDescent="0.3">
      <c r="A17" t="s">
        <v>230</v>
      </c>
    </row>
    <row r="18" spans="1:1" x14ac:dyDescent="0.3">
      <c r="A18" t="s">
        <v>227</v>
      </c>
    </row>
    <row r="19" spans="1:1" x14ac:dyDescent="0.3">
      <c r="A19" t="s">
        <v>247</v>
      </c>
    </row>
    <row r="20" spans="1:1" x14ac:dyDescent="0.3">
      <c r="A20" t="s">
        <v>249</v>
      </c>
    </row>
    <row r="21" spans="1:1" x14ac:dyDescent="0.3">
      <c r="A21" t="s">
        <v>246</v>
      </c>
    </row>
    <row r="22" spans="1:1" x14ac:dyDescent="0.3">
      <c r="A22" t="s">
        <v>241</v>
      </c>
    </row>
    <row r="23" spans="1:1" x14ac:dyDescent="0.3">
      <c r="A23" t="s">
        <v>254</v>
      </c>
    </row>
    <row r="24" spans="1:1" x14ac:dyDescent="0.3">
      <c r="A24" t="s">
        <v>251</v>
      </c>
    </row>
    <row r="25" spans="1:1" x14ac:dyDescent="0.3">
      <c r="A25" t="s">
        <v>243</v>
      </c>
    </row>
    <row r="26" spans="1:1" x14ac:dyDescent="0.3">
      <c r="A26" t="s">
        <v>255</v>
      </c>
    </row>
    <row r="27" spans="1:1" x14ac:dyDescent="0.3">
      <c r="A27" t="s">
        <v>252</v>
      </c>
    </row>
    <row r="28" spans="1:1" x14ac:dyDescent="0.3">
      <c r="A28" t="s">
        <v>277</v>
      </c>
    </row>
    <row r="29" spans="1:1" x14ac:dyDescent="0.3">
      <c r="A29" t="s">
        <v>256</v>
      </c>
    </row>
    <row r="30" spans="1:1" x14ac:dyDescent="0.3">
      <c r="A30" t="s">
        <v>257</v>
      </c>
    </row>
    <row r="31" spans="1:1" x14ac:dyDescent="0.3">
      <c r="A31" t="s">
        <v>258</v>
      </c>
    </row>
    <row r="32" spans="1:1" x14ac:dyDescent="0.3">
      <c r="A32" t="s">
        <v>259</v>
      </c>
    </row>
    <row r="33" spans="1:1" x14ac:dyDescent="0.3">
      <c r="A33" t="s">
        <v>261</v>
      </c>
    </row>
    <row r="34" spans="1:1" x14ac:dyDescent="0.3">
      <c r="A34" t="s">
        <v>262</v>
      </c>
    </row>
    <row r="35" spans="1:1" x14ac:dyDescent="0.3">
      <c r="A35" t="s">
        <v>263</v>
      </c>
    </row>
    <row r="36" spans="1:1" x14ac:dyDescent="0.3">
      <c r="A36" t="s">
        <v>244</v>
      </c>
    </row>
    <row r="37" spans="1:1" x14ac:dyDescent="0.3">
      <c r="A37" t="s">
        <v>264</v>
      </c>
    </row>
    <row r="38" spans="1:1" x14ac:dyDescent="0.3">
      <c r="A38" t="s">
        <v>242</v>
      </c>
    </row>
    <row r="39" spans="1:1" x14ac:dyDescent="0.3">
      <c r="A39" t="s">
        <v>267</v>
      </c>
    </row>
    <row r="40" spans="1:1" x14ac:dyDescent="0.3">
      <c r="A40" t="s">
        <v>260</v>
      </c>
    </row>
    <row r="41" spans="1:1" x14ac:dyDescent="0.3">
      <c r="A41" t="s">
        <v>271</v>
      </c>
    </row>
    <row r="42" spans="1:1" x14ac:dyDescent="0.3">
      <c r="A42" t="s">
        <v>253</v>
      </c>
    </row>
    <row r="43" spans="1:1" x14ac:dyDescent="0.3">
      <c r="A43" t="s">
        <v>279</v>
      </c>
    </row>
    <row r="44" spans="1:1" x14ac:dyDescent="0.3">
      <c r="A44" t="s">
        <v>272</v>
      </c>
    </row>
    <row r="45" spans="1:1" x14ac:dyDescent="0.3">
      <c r="A45" t="s">
        <v>265</v>
      </c>
    </row>
    <row r="46" spans="1:1" x14ac:dyDescent="0.3">
      <c r="A46" t="s">
        <v>273</v>
      </c>
    </row>
    <row r="47" spans="1:1" x14ac:dyDescent="0.3">
      <c r="A47" t="s">
        <v>274</v>
      </c>
    </row>
    <row r="48" spans="1:1" x14ac:dyDescent="0.3">
      <c r="A48" t="s">
        <v>275</v>
      </c>
    </row>
    <row r="49" spans="1:1" x14ac:dyDescent="0.3">
      <c r="A49" t="s">
        <v>266</v>
      </c>
    </row>
    <row r="50" spans="1:1" x14ac:dyDescent="0.3">
      <c r="A50" t="s">
        <v>245</v>
      </c>
    </row>
    <row r="51" spans="1:1" x14ac:dyDescent="0.3">
      <c r="A51" t="s">
        <v>276</v>
      </c>
    </row>
    <row r="52" spans="1:1" x14ac:dyDescent="0.3">
      <c r="A52" t="s">
        <v>278</v>
      </c>
    </row>
  </sheetData>
  <sortState xmlns:xlrd2="http://schemas.microsoft.com/office/spreadsheetml/2017/richdata2" ref="A1:A5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CFF4-CCAB-F447-908C-36BA33CD18EE}">
  <dimension ref="A1:Z183"/>
  <sheetViews>
    <sheetView workbookViewId="0">
      <selection activeCell="AB46" sqref="AB46"/>
    </sheetView>
  </sheetViews>
  <sheetFormatPr defaultColWidth="11.44140625" defaultRowHeight="14.4" x14ac:dyDescent="0.3"/>
  <cols>
    <col min="1" max="1" width="6" customWidth="1"/>
    <col min="2" max="2" width="7" style="16" customWidth="1"/>
    <col min="3" max="3" width="24.109375" bestFit="1" customWidth="1"/>
    <col min="19" max="19" width="14.77734375" customWidth="1"/>
  </cols>
  <sheetData>
    <row r="1" spans="1:26" s="15" customFormat="1" x14ac:dyDescent="0.3">
      <c r="A1" s="14" t="s">
        <v>285</v>
      </c>
      <c r="B1" s="15" t="s">
        <v>286</v>
      </c>
      <c r="C1" s="15" t="s">
        <v>287</v>
      </c>
      <c r="D1" s="15" t="s">
        <v>288</v>
      </c>
      <c r="E1" s="15" t="s">
        <v>289</v>
      </c>
      <c r="F1" s="15" t="s">
        <v>290</v>
      </c>
      <c r="G1" s="15" t="s">
        <v>291</v>
      </c>
      <c r="H1" s="15" t="s">
        <v>292</v>
      </c>
      <c r="I1" s="15" t="s">
        <v>293</v>
      </c>
      <c r="J1" s="15" t="s">
        <v>294</v>
      </c>
      <c r="K1" s="15" t="s">
        <v>295</v>
      </c>
      <c r="L1" s="15" t="s">
        <v>296</v>
      </c>
      <c r="M1" s="15" t="s">
        <v>297</v>
      </c>
      <c r="N1" s="15" t="s">
        <v>298</v>
      </c>
      <c r="O1" s="15" t="s">
        <v>299</v>
      </c>
      <c r="P1" s="15" t="s">
        <v>300</v>
      </c>
      <c r="Q1" s="15" t="s">
        <v>301</v>
      </c>
      <c r="R1" s="15" t="s">
        <v>302</v>
      </c>
      <c r="S1" s="15" t="s">
        <v>303</v>
      </c>
      <c r="T1" s="15" t="s">
        <v>304</v>
      </c>
      <c r="U1" s="15" t="s">
        <v>305</v>
      </c>
      <c r="V1" s="15" t="s">
        <v>306</v>
      </c>
      <c r="W1" s="15" t="s">
        <v>307</v>
      </c>
      <c r="X1" s="15" t="s">
        <v>308</v>
      </c>
      <c r="Y1" s="15" t="s">
        <v>309</v>
      </c>
      <c r="Z1" s="15" t="s">
        <v>310</v>
      </c>
    </row>
    <row r="2" spans="1:26" x14ac:dyDescent="0.3">
      <c r="A2">
        <v>1</v>
      </c>
      <c r="B2" s="16" t="s">
        <v>311</v>
      </c>
      <c r="C2" t="s">
        <v>312</v>
      </c>
      <c r="D2" t="s">
        <v>313</v>
      </c>
      <c r="E2" t="s">
        <v>5</v>
      </c>
      <c r="F2" t="s">
        <v>314</v>
      </c>
      <c r="G2" t="s">
        <v>315</v>
      </c>
      <c r="H2" t="s">
        <v>315</v>
      </c>
      <c r="I2" t="s">
        <v>316</v>
      </c>
      <c r="J2" t="s">
        <v>317</v>
      </c>
      <c r="K2" s="17" t="s">
        <v>318</v>
      </c>
      <c r="L2" s="17" t="s">
        <v>319</v>
      </c>
      <c r="M2" s="17" t="s">
        <v>319</v>
      </c>
      <c r="N2" t="s">
        <v>320</v>
      </c>
      <c r="O2" t="s">
        <v>80</v>
      </c>
      <c r="P2" t="s">
        <v>321</v>
      </c>
      <c r="Q2" t="s">
        <v>322</v>
      </c>
      <c r="R2">
        <v>8.0699999999999996E-5</v>
      </c>
      <c r="S2">
        <v>8.0699999999999996E-5</v>
      </c>
      <c r="T2" t="s">
        <v>311</v>
      </c>
      <c r="U2" t="s">
        <v>323</v>
      </c>
      <c r="V2" s="17" t="s">
        <v>311</v>
      </c>
      <c r="W2">
        <v>5</v>
      </c>
      <c r="X2" t="s">
        <v>311</v>
      </c>
      <c r="Y2" t="s">
        <v>324</v>
      </c>
      <c r="Z2" t="s">
        <v>311</v>
      </c>
    </row>
    <row r="3" spans="1:26" x14ac:dyDescent="0.3">
      <c r="A3">
        <v>2</v>
      </c>
      <c r="B3" s="16" t="s">
        <v>311</v>
      </c>
      <c r="C3" t="s">
        <v>312</v>
      </c>
      <c r="D3" t="s">
        <v>313</v>
      </c>
      <c r="E3" t="s">
        <v>5</v>
      </c>
      <c r="F3" t="s">
        <v>314</v>
      </c>
      <c r="G3" t="s">
        <v>315</v>
      </c>
      <c r="H3" t="s">
        <v>315</v>
      </c>
      <c r="I3" t="s">
        <v>316</v>
      </c>
      <c r="J3" t="s">
        <v>317</v>
      </c>
      <c r="K3" s="17" t="s">
        <v>318</v>
      </c>
      <c r="L3" s="17" t="s">
        <v>319</v>
      </c>
      <c r="M3" s="17" t="s">
        <v>319</v>
      </c>
      <c r="N3" t="s">
        <v>320</v>
      </c>
      <c r="O3" t="s">
        <v>80</v>
      </c>
      <c r="P3" t="s">
        <v>321</v>
      </c>
      <c r="Q3" t="s">
        <v>322</v>
      </c>
      <c r="R3">
        <v>3.5899999999999998E-5</v>
      </c>
      <c r="S3">
        <v>3.5899999999999998E-5</v>
      </c>
      <c r="T3" t="s">
        <v>311</v>
      </c>
      <c r="U3" t="s">
        <v>323</v>
      </c>
      <c r="V3" s="17" t="s">
        <v>311</v>
      </c>
      <c r="W3">
        <v>5</v>
      </c>
      <c r="X3" t="s">
        <v>311</v>
      </c>
      <c r="Y3" t="s">
        <v>324</v>
      </c>
      <c r="Z3" t="s">
        <v>311</v>
      </c>
    </row>
    <row r="4" spans="1:26" x14ac:dyDescent="0.3">
      <c r="A4">
        <v>3</v>
      </c>
      <c r="B4" s="16" t="s">
        <v>311</v>
      </c>
      <c r="C4" t="s">
        <v>312</v>
      </c>
      <c r="D4" t="s">
        <v>313</v>
      </c>
      <c r="E4" t="s">
        <v>5</v>
      </c>
      <c r="F4" t="s">
        <v>314</v>
      </c>
      <c r="G4" t="s">
        <v>315</v>
      </c>
      <c r="H4" t="s">
        <v>315</v>
      </c>
      <c r="I4" t="s">
        <v>316</v>
      </c>
      <c r="J4" t="s">
        <v>317</v>
      </c>
      <c r="K4" s="17" t="s">
        <v>318</v>
      </c>
      <c r="L4" s="17" t="s">
        <v>319</v>
      </c>
      <c r="M4" s="17" t="s">
        <v>319</v>
      </c>
      <c r="N4" t="s">
        <v>320</v>
      </c>
      <c r="O4" t="s">
        <v>80</v>
      </c>
      <c r="P4" t="s">
        <v>321</v>
      </c>
      <c r="Q4" t="s">
        <v>322</v>
      </c>
      <c r="R4">
        <v>1.7031199999999999E-4</v>
      </c>
      <c r="S4">
        <v>1.7031199999999999E-4</v>
      </c>
      <c r="T4" t="s">
        <v>311</v>
      </c>
      <c r="U4" t="s">
        <v>323</v>
      </c>
      <c r="V4" s="17" t="s">
        <v>311</v>
      </c>
      <c r="W4">
        <v>5</v>
      </c>
      <c r="X4" t="s">
        <v>311</v>
      </c>
      <c r="Y4" t="s">
        <v>324</v>
      </c>
      <c r="Z4" t="s">
        <v>311</v>
      </c>
    </row>
    <row r="5" spans="1:26" x14ac:dyDescent="0.3">
      <c r="A5">
        <v>4</v>
      </c>
      <c r="B5" s="16" t="s">
        <v>311</v>
      </c>
      <c r="C5" t="s">
        <v>312</v>
      </c>
      <c r="D5" t="s">
        <v>313</v>
      </c>
      <c r="E5" t="s">
        <v>5</v>
      </c>
      <c r="F5" t="s">
        <v>314</v>
      </c>
      <c r="G5" t="s">
        <v>315</v>
      </c>
      <c r="H5" t="s">
        <v>315</v>
      </c>
      <c r="I5" t="s">
        <v>316</v>
      </c>
      <c r="J5" t="s">
        <v>317</v>
      </c>
      <c r="K5" s="17" t="s">
        <v>318</v>
      </c>
      <c r="L5" s="17" t="s">
        <v>319</v>
      </c>
      <c r="M5" s="17" t="s">
        <v>319</v>
      </c>
      <c r="N5" t="s">
        <v>320</v>
      </c>
      <c r="O5" t="s">
        <v>80</v>
      </c>
      <c r="P5" t="s">
        <v>321</v>
      </c>
      <c r="Q5" t="s">
        <v>322</v>
      </c>
      <c r="R5">
        <v>1.7031199999999999E-4</v>
      </c>
      <c r="S5">
        <v>1.7031199999999999E-4</v>
      </c>
      <c r="T5" t="s">
        <v>311</v>
      </c>
      <c r="U5" t="s">
        <v>323</v>
      </c>
      <c r="V5" s="17" t="s">
        <v>311</v>
      </c>
      <c r="W5">
        <v>5</v>
      </c>
      <c r="X5" t="s">
        <v>311</v>
      </c>
      <c r="Y5" t="s">
        <v>324</v>
      </c>
      <c r="Z5" t="s">
        <v>311</v>
      </c>
    </row>
    <row r="6" spans="1:26" x14ac:dyDescent="0.3">
      <c r="A6">
        <v>5</v>
      </c>
      <c r="B6" s="16" t="s">
        <v>311</v>
      </c>
      <c r="C6" t="s">
        <v>312</v>
      </c>
      <c r="D6" t="s">
        <v>313</v>
      </c>
      <c r="E6" t="s">
        <v>5</v>
      </c>
      <c r="F6" t="s">
        <v>314</v>
      </c>
      <c r="G6" t="s">
        <v>315</v>
      </c>
      <c r="H6" t="s">
        <v>315</v>
      </c>
      <c r="I6" t="s">
        <v>316</v>
      </c>
      <c r="J6" t="s">
        <v>317</v>
      </c>
      <c r="K6" s="17" t="s">
        <v>318</v>
      </c>
      <c r="L6" s="17" t="s">
        <v>319</v>
      </c>
      <c r="M6" s="17" t="s">
        <v>319</v>
      </c>
      <c r="N6" t="s">
        <v>320</v>
      </c>
      <c r="O6" t="s">
        <v>80</v>
      </c>
      <c r="P6" t="s">
        <v>321</v>
      </c>
      <c r="Q6" t="s">
        <v>322</v>
      </c>
      <c r="R6">
        <v>1.4342099999999999E-4</v>
      </c>
      <c r="S6">
        <v>1.4342099999999999E-4</v>
      </c>
      <c r="T6" t="s">
        <v>311</v>
      </c>
      <c r="U6" t="s">
        <v>323</v>
      </c>
      <c r="V6" s="17" t="s">
        <v>311</v>
      </c>
      <c r="W6">
        <v>5</v>
      </c>
      <c r="X6" t="s">
        <v>311</v>
      </c>
      <c r="Y6" t="s">
        <v>324</v>
      </c>
      <c r="Z6" t="s">
        <v>311</v>
      </c>
    </row>
    <row r="7" spans="1:26" x14ac:dyDescent="0.3">
      <c r="A7">
        <v>6</v>
      </c>
      <c r="B7" s="16" t="s">
        <v>311</v>
      </c>
      <c r="C7" t="s">
        <v>312</v>
      </c>
      <c r="D7" t="s">
        <v>313</v>
      </c>
      <c r="E7" t="s">
        <v>5</v>
      </c>
      <c r="F7" t="s">
        <v>314</v>
      </c>
      <c r="G7" t="s">
        <v>315</v>
      </c>
      <c r="H7" t="s">
        <v>315</v>
      </c>
      <c r="I7" t="s">
        <v>316</v>
      </c>
      <c r="J7" t="s">
        <v>317</v>
      </c>
      <c r="K7" s="17" t="s">
        <v>318</v>
      </c>
      <c r="L7" s="17" t="s">
        <v>319</v>
      </c>
      <c r="M7" s="17" t="s">
        <v>319</v>
      </c>
      <c r="N7" t="s">
        <v>320</v>
      </c>
      <c r="O7" t="s">
        <v>80</v>
      </c>
      <c r="P7" t="s">
        <v>321</v>
      </c>
      <c r="Q7" t="s">
        <v>322</v>
      </c>
      <c r="R7">
        <v>8.9599999999999996E-5</v>
      </c>
      <c r="S7">
        <v>8.9599999999999996E-5</v>
      </c>
      <c r="T7" t="s">
        <v>311</v>
      </c>
      <c r="U7" t="s">
        <v>323</v>
      </c>
      <c r="V7" s="17" t="s">
        <v>311</v>
      </c>
      <c r="W7">
        <v>5</v>
      </c>
      <c r="X7" t="s">
        <v>311</v>
      </c>
      <c r="Y7" t="s">
        <v>324</v>
      </c>
      <c r="Z7" t="s">
        <v>311</v>
      </c>
    </row>
    <row r="8" spans="1:26" x14ac:dyDescent="0.3">
      <c r="A8">
        <v>7</v>
      </c>
      <c r="B8" s="16" t="s">
        <v>311</v>
      </c>
      <c r="C8" t="s">
        <v>312</v>
      </c>
      <c r="D8" t="s">
        <v>313</v>
      </c>
      <c r="E8" t="s">
        <v>5</v>
      </c>
      <c r="F8" t="s">
        <v>314</v>
      </c>
      <c r="G8" t="s">
        <v>315</v>
      </c>
      <c r="H8" t="s">
        <v>315</v>
      </c>
      <c r="I8" t="s">
        <v>316</v>
      </c>
      <c r="J8" t="s">
        <v>317</v>
      </c>
      <c r="K8" s="17" t="s">
        <v>318</v>
      </c>
      <c r="L8" s="17" t="s">
        <v>319</v>
      </c>
      <c r="M8" s="17" t="s">
        <v>319</v>
      </c>
      <c r="N8" t="s">
        <v>320</v>
      </c>
      <c r="O8" t="s">
        <v>80</v>
      </c>
      <c r="P8" t="s">
        <v>321</v>
      </c>
      <c r="Q8" t="s">
        <v>322</v>
      </c>
      <c r="R8">
        <v>5.28865E-4</v>
      </c>
      <c r="S8">
        <v>5.28865E-4</v>
      </c>
      <c r="T8" t="s">
        <v>311</v>
      </c>
      <c r="U8" t="s">
        <v>323</v>
      </c>
      <c r="V8" s="17" t="s">
        <v>311</v>
      </c>
      <c r="W8">
        <v>5</v>
      </c>
      <c r="X8" t="s">
        <v>311</v>
      </c>
      <c r="Y8" t="s">
        <v>324</v>
      </c>
      <c r="Z8" t="s">
        <v>311</v>
      </c>
    </row>
    <row r="9" spans="1:26" x14ac:dyDescent="0.3">
      <c r="A9">
        <v>8</v>
      </c>
      <c r="B9" s="16" t="s">
        <v>311</v>
      </c>
      <c r="C9" t="s">
        <v>312</v>
      </c>
      <c r="D9" t="s">
        <v>313</v>
      </c>
      <c r="E9" t="s">
        <v>5</v>
      </c>
      <c r="F9" t="s">
        <v>314</v>
      </c>
      <c r="G9" t="s">
        <v>315</v>
      </c>
      <c r="H9" t="s">
        <v>315</v>
      </c>
      <c r="I9" t="s">
        <v>316</v>
      </c>
      <c r="J9" t="s">
        <v>317</v>
      </c>
      <c r="K9" s="17" t="s">
        <v>318</v>
      </c>
      <c r="L9" s="17" t="s">
        <v>319</v>
      </c>
      <c r="M9" s="17" t="s">
        <v>319</v>
      </c>
      <c r="N9" t="s">
        <v>320</v>
      </c>
      <c r="O9" t="s">
        <v>80</v>
      </c>
      <c r="P9" t="s">
        <v>321</v>
      </c>
      <c r="Q9" t="s">
        <v>322</v>
      </c>
      <c r="R9">
        <v>1.2907870000000001E-3</v>
      </c>
      <c r="S9">
        <v>1.2907870000000001E-3</v>
      </c>
      <c r="T9" t="s">
        <v>311</v>
      </c>
      <c r="U9" t="s">
        <v>323</v>
      </c>
      <c r="V9" s="17" t="s">
        <v>311</v>
      </c>
      <c r="W9">
        <v>5</v>
      </c>
      <c r="X9" t="s">
        <v>311</v>
      </c>
      <c r="Y9" t="s">
        <v>324</v>
      </c>
      <c r="Z9" t="s">
        <v>311</v>
      </c>
    </row>
    <row r="10" spans="1:26" x14ac:dyDescent="0.3">
      <c r="A10">
        <v>9</v>
      </c>
      <c r="B10" s="16" t="s">
        <v>311</v>
      </c>
      <c r="C10" t="s">
        <v>312</v>
      </c>
      <c r="D10" t="s">
        <v>313</v>
      </c>
      <c r="E10" t="s">
        <v>5</v>
      </c>
      <c r="F10" t="s">
        <v>314</v>
      </c>
      <c r="G10" t="s">
        <v>315</v>
      </c>
      <c r="H10" t="s">
        <v>315</v>
      </c>
      <c r="I10" t="s">
        <v>316</v>
      </c>
      <c r="J10" t="s">
        <v>317</v>
      </c>
      <c r="K10" s="17" t="s">
        <v>318</v>
      </c>
      <c r="L10" s="17" t="s">
        <v>319</v>
      </c>
      <c r="M10" s="17" t="s">
        <v>319</v>
      </c>
      <c r="N10" t="s">
        <v>325</v>
      </c>
      <c r="O10" t="s">
        <v>325</v>
      </c>
      <c r="P10" t="s">
        <v>321</v>
      </c>
      <c r="Q10" t="s">
        <v>322</v>
      </c>
      <c r="R10">
        <v>5.3782899999999998E-4</v>
      </c>
      <c r="S10">
        <v>5.3782899999999998E-4</v>
      </c>
      <c r="T10" t="s">
        <v>311</v>
      </c>
      <c r="U10" t="s">
        <v>323</v>
      </c>
      <c r="V10" s="17" t="s">
        <v>311</v>
      </c>
      <c r="W10">
        <v>5</v>
      </c>
      <c r="X10" t="s">
        <v>311</v>
      </c>
      <c r="Y10" t="s">
        <v>324</v>
      </c>
      <c r="Z10" t="s">
        <v>311</v>
      </c>
    </row>
    <row r="11" spans="1:26" x14ac:dyDescent="0.3">
      <c r="A11">
        <v>10</v>
      </c>
      <c r="B11" s="16" t="s">
        <v>311</v>
      </c>
      <c r="C11" t="s">
        <v>312</v>
      </c>
      <c r="D11" t="s">
        <v>313</v>
      </c>
      <c r="E11" t="s">
        <v>5</v>
      </c>
      <c r="F11" t="s">
        <v>314</v>
      </c>
      <c r="G11" t="s">
        <v>315</v>
      </c>
      <c r="H11" t="s">
        <v>315</v>
      </c>
      <c r="I11" t="s">
        <v>316</v>
      </c>
      <c r="J11" t="s">
        <v>317</v>
      </c>
      <c r="K11" s="17" t="s">
        <v>318</v>
      </c>
      <c r="L11" s="17" t="s">
        <v>319</v>
      </c>
      <c r="M11" s="17" t="s">
        <v>319</v>
      </c>
      <c r="N11" t="s">
        <v>325</v>
      </c>
      <c r="O11" t="s">
        <v>325</v>
      </c>
      <c r="P11" t="s">
        <v>321</v>
      </c>
      <c r="Q11" t="s">
        <v>322</v>
      </c>
      <c r="R11">
        <v>1.0756600000000001E-4</v>
      </c>
      <c r="S11">
        <v>1.0756600000000001E-4</v>
      </c>
      <c r="T11" t="s">
        <v>311</v>
      </c>
      <c r="U11" t="s">
        <v>323</v>
      </c>
      <c r="V11" s="17" t="s">
        <v>311</v>
      </c>
      <c r="W11">
        <v>5</v>
      </c>
      <c r="X11" t="s">
        <v>311</v>
      </c>
      <c r="Y11" t="s">
        <v>324</v>
      </c>
      <c r="Z11" t="s">
        <v>311</v>
      </c>
    </row>
    <row r="12" spans="1:26" x14ac:dyDescent="0.3">
      <c r="A12">
        <v>11</v>
      </c>
      <c r="B12" s="16" t="s">
        <v>311</v>
      </c>
      <c r="C12" t="s">
        <v>312</v>
      </c>
      <c r="D12" t="s">
        <v>313</v>
      </c>
      <c r="E12" t="s">
        <v>5</v>
      </c>
      <c r="F12" t="s">
        <v>314</v>
      </c>
      <c r="G12" t="s">
        <v>315</v>
      </c>
      <c r="H12" t="s">
        <v>315</v>
      </c>
      <c r="I12" t="s">
        <v>316</v>
      </c>
      <c r="J12" t="s">
        <v>317</v>
      </c>
      <c r="K12" s="17" t="s">
        <v>318</v>
      </c>
      <c r="L12" s="17" t="s">
        <v>319</v>
      </c>
      <c r="M12" s="17" t="s">
        <v>319</v>
      </c>
      <c r="N12" t="s">
        <v>325</v>
      </c>
      <c r="O12" t="s">
        <v>325</v>
      </c>
      <c r="P12" t="s">
        <v>321</v>
      </c>
      <c r="Q12" t="s">
        <v>322</v>
      </c>
      <c r="R12">
        <v>4.8404600000000002E-4</v>
      </c>
      <c r="S12">
        <v>4.8404600000000002E-4</v>
      </c>
      <c r="T12" t="s">
        <v>311</v>
      </c>
      <c r="U12" t="s">
        <v>323</v>
      </c>
      <c r="V12" s="17" t="s">
        <v>311</v>
      </c>
      <c r="W12">
        <v>5</v>
      </c>
      <c r="X12" t="s">
        <v>311</v>
      </c>
      <c r="Y12" t="s">
        <v>324</v>
      </c>
      <c r="Z12" t="s">
        <v>311</v>
      </c>
    </row>
    <row r="13" spans="1:26" x14ac:dyDescent="0.3">
      <c r="A13">
        <v>12</v>
      </c>
      <c r="B13" s="16" t="s">
        <v>311</v>
      </c>
      <c r="C13" t="s">
        <v>312</v>
      </c>
      <c r="D13" t="s">
        <v>313</v>
      </c>
      <c r="E13" t="s">
        <v>5</v>
      </c>
      <c r="F13" t="s">
        <v>314</v>
      </c>
      <c r="G13" t="s">
        <v>315</v>
      </c>
      <c r="H13" t="s">
        <v>315</v>
      </c>
      <c r="I13" t="s">
        <v>316</v>
      </c>
      <c r="J13" t="s">
        <v>317</v>
      </c>
      <c r="K13" s="17" t="s">
        <v>318</v>
      </c>
      <c r="L13" s="17" t="s">
        <v>319</v>
      </c>
      <c r="M13" s="17" t="s">
        <v>319</v>
      </c>
      <c r="N13" t="s">
        <v>325</v>
      </c>
      <c r="O13" t="s">
        <v>325</v>
      </c>
      <c r="P13" t="s">
        <v>321</v>
      </c>
      <c r="Q13" t="s">
        <v>322</v>
      </c>
      <c r="R13">
        <v>2.8684199999999999E-4</v>
      </c>
      <c r="S13">
        <v>2.8684199999999999E-4</v>
      </c>
      <c r="T13" t="s">
        <v>311</v>
      </c>
      <c r="U13" t="s">
        <v>323</v>
      </c>
      <c r="V13" s="17" t="s">
        <v>311</v>
      </c>
      <c r="W13">
        <v>5</v>
      </c>
      <c r="X13" t="s">
        <v>311</v>
      </c>
      <c r="Y13" t="s">
        <v>324</v>
      </c>
      <c r="Z13" t="s">
        <v>311</v>
      </c>
    </row>
    <row r="14" spans="1:26" x14ac:dyDescent="0.3">
      <c r="A14">
        <v>13</v>
      </c>
      <c r="B14" s="16" t="s">
        <v>311</v>
      </c>
      <c r="C14" t="s">
        <v>312</v>
      </c>
      <c r="D14" t="s">
        <v>313</v>
      </c>
      <c r="E14" t="s">
        <v>5</v>
      </c>
      <c r="F14" t="s">
        <v>314</v>
      </c>
      <c r="G14" t="s">
        <v>315</v>
      </c>
      <c r="H14" t="s">
        <v>315</v>
      </c>
      <c r="I14" t="s">
        <v>316</v>
      </c>
      <c r="J14" t="s">
        <v>317</v>
      </c>
      <c r="K14" s="17" t="s">
        <v>318</v>
      </c>
      <c r="L14" s="17" t="s">
        <v>319</v>
      </c>
      <c r="M14" s="17" t="s">
        <v>319</v>
      </c>
      <c r="N14" t="s">
        <v>325</v>
      </c>
      <c r="O14" t="s">
        <v>325</v>
      </c>
      <c r="P14" t="s">
        <v>321</v>
      </c>
      <c r="Q14" t="s">
        <v>322</v>
      </c>
      <c r="R14">
        <v>1.8824E-4</v>
      </c>
      <c r="S14">
        <v>1.8824E-4</v>
      </c>
      <c r="T14" t="s">
        <v>311</v>
      </c>
      <c r="U14" t="s">
        <v>323</v>
      </c>
      <c r="V14" s="17" t="s">
        <v>311</v>
      </c>
      <c r="W14">
        <v>5</v>
      </c>
      <c r="X14" t="s">
        <v>311</v>
      </c>
      <c r="Y14" t="s">
        <v>324</v>
      </c>
      <c r="Z14" t="s">
        <v>311</v>
      </c>
    </row>
    <row r="15" spans="1:26" x14ac:dyDescent="0.3">
      <c r="A15">
        <v>14</v>
      </c>
      <c r="B15" s="16" t="s">
        <v>311</v>
      </c>
      <c r="C15" t="s">
        <v>312</v>
      </c>
      <c r="D15" t="s">
        <v>313</v>
      </c>
      <c r="E15" t="s">
        <v>5</v>
      </c>
      <c r="F15" t="s">
        <v>314</v>
      </c>
      <c r="G15" t="s">
        <v>315</v>
      </c>
      <c r="H15" t="s">
        <v>315</v>
      </c>
      <c r="I15" t="s">
        <v>316</v>
      </c>
      <c r="J15" t="s">
        <v>317</v>
      </c>
      <c r="K15" s="17" t="s">
        <v>318</v>
      </c>
      <c r="L15" s="17" t="s">
        <v>319</v>
      </c>
      <c r="M15" s="17" t="s">
        <v>319</v>
      </c>
      <c r="N15" t="s">
        <v>325</v>
      </c>
      <c r="O15" t="s">
        <v>325</v>
      </c>
      <c r="P15" t="s">
        <v>321</v>
      </c>
      <c r="Q15" t="s">
        <v>322</v>
      </c>
      <c r="R15">
        <v>8.9599999999999996E-5</v>
      </c>
      <c r="S15">
        <v>8.9599999999999996E-5</v>
      </c>
      <c r="T15" t="s">
        <v>311</v>
      </c>
      <c r="U15" t="s">
        <v>323</v>
      </c>
      <c r="V15" s="17" t="s">
        <v>311</v>
      </c>
      <c r="W15">
        <v>5</v>
      </c>
      <c r="X15" t="s">
        <v>311</v>
      </c>
      <c r="Y15" t="s">
        <v>324</v>
      </c>
      <c r="Z15" t="s">
        <v>311</v>
      </c>
    </row>
    <row r="16" spans="1:26" x14ac:dyDescent="0.3">
      <c r="A16">
        <v>15</v>
      </c>
      <c r="B16" s="16" t="s">
        <v>311</v>
      </c>
      <c r="C16" t="s">
        <v>312</v>
      </c>
      <c r="D16" t="s">
        <v>313</v>
      </c>
      <c r="E16" t="s">
        <v>5</v>
      </c>
      <c r="F16" t="s">
        <v>314</v>
      </c>
      <c r="G16" t="s">
        <v>315</v>
      </c>
      <c r="H16" t="s">
        <v>315</v>
      </c>
      <c r="I16" t="s">
        <v>316</v>
      </c>
      <c r="J16" t="s">
        <v>317</v>
      </c>
      <c r="K16" s="17" t="s">
        <v>318</v>
      </c>
      <c r="L16" s="17" t="s">
        <v>319</v>
      </c>
      <c r="M16" s="17" t="s">
        <v>319</v>
      </c>
      <c r="N16" t="s">
        <v>325</v>
      </c>
      <c r="O16" t="s">
        <v>325</v>
      </c>
      <c r="P16" t="s">
        <v>321</v>
      </c>
      <c r="Q16" t="s">
        <v>322</v>
      </c>
      <c r="R16">
        <v>3.5855300000000001E-4</v>
      </c>
      <c r="S16">
        <v>3.5855300000000001E-4</v>
      </c>
      <c r="T16" t="s">
        <v>311</v>
      </c>
      <c r="U16" t="s">
        <v>323</v>
      </c>
      <c r="V16" s="17" t="s">
        <v>311</v>
      </c>
      <c r="W16">
        <v>5</v>
      </c>
      <c r="X16" t="s">
        <v>311</v>
      </c>
      <c r="Y16" t="s">
        <v>324</v>
      </c>
      <c r="Z16" t="s">
        <v>311</v>
      </c>
    </row>
    <row r="17" spans="1:26" x14ac:dyDescent="0.3">
      <c r="A17">
        <v>16</v>
      </c>
      <c r="B17" s="16" t="s">
        <v>311</v>
      </c>
      <c r="C17" t="s">
        <v>312</v>
      </c>
      <c r="D17" t="s">
        <v>313</v>
      </c>
      <c r="E17" t="s">
        <v>5</v>
      </c>
      <c r="F17" t="s">
        <v>314</v>
      </c>
      <c r="G17" t="s">
        <v>315</v>
      </c>
      <c r="H17" t="s">
        <v>315</v>
      </c>
      <c r="I17" t="s">
        <v>316</v>
      </c>
      <c r="J17" t="s">
        <v>317</v>
      </c>
      <c r="K17" s="17" t="s">
        <v>318</v>
      </c>
      <c r="L17" s="17" t="s">
        <v>319</v>
      </c>
      <c r="M17" s="17" t="s">
        <v>319</v>
      </c>
      <c r="N17" t="s">
        <v>325</v>
      </c>
      <c r="O17" t="s">
        <v>325</v>
      </c>
      <c r="P17" t="s">
        <v>321</v>
      </c>
      <c r="Q17" t="s">
        <v>322</v>
      </c>
      <c r="R17">
        <v>2.0616800000000001E-4</v>
      </c>
      <c r="S17">
        <v>2.0616800000000001E-4</v>
      </c>
      <c r="T17" t="s">
        <v>311</v>
      </c>
      <c r="U17" t="s">
        <v>323</v>
      </c>
      <c r="V17" s="17" t="s">
        <v>311</v>
      </c>
      <c r="W17">
        <v>5</v>
      </c>
      <c r="X17" t="s">
        <v>311</v>
      </c>
      <c r="Y17" t="s">
        <v>324</v>
      </c>
      <c r="Z17" t="s">
        <v>311</v>
      </c>
    </row>
    <row r="18" spans="1:26" x14ac:dyDescent="0.3">
      <c r="A18">
        <v>17</v>
      </c>
      <c r="B18" s="16" t="s">
        <v>311</v>
      </c>
      <c r="C18" t="s">
        <v>326</v>
      </c>
      <c r="D18" t="s">
        <v>327</v>
      </c>
      <c r="E18" t="s">
        <v>17</v>
      </c>
      <c r="F18" t="s">
        <v>328</v>
      </c>
      <c r="G18" t="s">
        <v>329</v>
      </c>
      <c r="H18" t="s">
        <v>329</v>
      </c>
      <c r="I18" t="s">
        <v>330</v>
      </c>
      <c r="J18" t="s">
        <v>317</v>
      </c>
      <c r="K18" s="17" t="s">
        <v>331</v>
      </c>
      <c r="L18" t="s">
        <v>319</v>
      </c>
      <c r="M18" t="s">
        <v>319</v>
      </c>
      <c r="N18" t="s">
        <v>332</v>
      </c>
      <c r="O18" t="s">
        <v>80</v>
      </c>
      <c r="P18" t="s">
        <v>333</v>
      </c>
      <c r="Q18" t="s">
        <v>322</v>
      </c>
      <c r="R18">
        <v>-6.3889330000000003E-3</v>
      </c>
      <c r="S18">
        <v>-6.3889330000000003E-3</v>
      </c>
      <c r="T18" t="s">
        <v>311</v>
      </c>
      <c r="U18" t="s">
        <v>334</v>
      </c>
      <c r="V18" s="17" t="s">
        <v>311</v>
      </c>
      <c r="W18">
        <v>2</v>
      </c>
      <c r="X18" t="s">
        <v>311</v>
      </c>
      <c r="Y18" t="s">
        <v>324</v>
      </c>
      <c r="Z18" t="s">
        <v>311</v>
      </c>
    </row>
    <row r="19" spans="1:26" x14ac:dyDescent="0.3">
      <c r="A19">
        <v>18</v>
      </c>
      <c r="B19" s="16" t="s">
        <v>311</v>
      </c>
      <c r="C19" t="s">
        <v>326</v>
      </c>
      <c r="D19" t="s">
        <v>327</v>
      </c>
      <c r="E19" t="s">
        <v>17</v>
      </c>
      <c r="F19" t="s">
        <v>328</v>
      </c>
      <c r="G19" t="s">
        <v>329</v>
      </c>
      <c r="H19" t="s">
        <v>329</v>
      </c>
      <c r="I19" t="s">
        <v>330</v>
      </c>
      <c r="J19" t="s">
        <v>317</v>
      </c>
      <c r="K19" s="17" t="s">
        <v>331</v>
      </c>
      <c r="L19" t="s">
        <v>319</v>
      </c>
      <c r="M19" t="s">
        <v>319</v>
      </c>
      <c r="N19" t="s">
        <v>325</v>
      </c>
      <c r="O19" t="s">
        <v>325</v>
      </c>
      <c r="P19" t="s">
        <v>333</v>
      </c>
      <c r="Q19" t="s">
        <v>322</v>
      </c>
      <c r="R19">
        <v>-1.6218041999999998E-2</v>
      </c>
      <c r="S19">
        <v>-1.6218041999999998E-2</v>
      </c>
      <c r="T19" t="s">
        <v>311</v>
      </c>
      <c r="U19" t="s">
        <v>334</v>
      </c>
      <c r="V19" s="17" t="s">
        <v>311</v>
      </c>
      <c r="W19">
        <v>2</v>
      </c>
      <c r="X19" t="s">
        <v>311</v>
      </c>
      <c r="Y19" t="s">
        <v>324</v>
      </c>
      <c r="Z19" t="s">
        <v>311</v>
      </c>
    </row>
    <row r="20" spans="1:26" x14ac:dyDescent="0.3">
      <c r="A20">
        <v>19</v>
      </c>
      <c r="B20" s="16" t="s">
        <v>311</v>
      </c>
      <c r="C20" t="s">
        <v>326</v>
      </c>
      <c r="D20" t="s">
        <v>327</v>
      </c>
      <c r="E20" t="s">
        <v>17</v>
      </c>
      <c r="F20" t="s">
        <v>328</v>
      </c>
      <c r="G20" t="s">
        <v>329</v>
      </c>
      <c r="H20" t="s">
        <v>329</v>
      </c>
      <c r="I20" t="s">
        <v>330</v>
      </c>
      <c r="J20" t="s">
        <v>317</v>
      </c>
      <c r="K20" s="17" t="s">
        <v>335</v>
      </c>
      <c r="L20" t="s">
        <v>319</v>
      </c>
      <c r="M20" t="s">
        <v>336</v>
      </c>
      <c r="N20" t="s">
        <v>337</v>
      </c>
      <c r="O20" t="s">
        <v>80</v>
      </c>
      <c r="P20" t="s">
        <v>333</v>
      </c>
      <c r="Q20" t="s">
        <v>322</v>
      </c>
      <c r="R20">
        <v>3.3173270000000001E-3</v>
      </c>
      <c r="S20">
        <v>3.3173270000000001E-3</v>
      </c>
      <c r="T20" t="s">
        <v>311</v>
      </c>
      <c r="U20" t="s">
        <v>334</v>
      </c>
      <c r="V20" s="17" t="s">
        <v>311</v>
      </c>
      <c r="W20">
        <v>2</v>
      </c>
      <c r="X20" t="s">
        <v>311</v>
      </c>
      <c r="Y20" t="s">
        <v>324</v>
      </c>
      <c r="Z20" t="s">
        <v>311</v>
      </c>
    </row>
    <row r="21" spans="1:26" x14ac:dyDescent="0.3">
      <c r="A21">
        <v>20</v>
      </c>
      <c r="B21" s="16" t="s">
        <v>311</v>
      </c>
      <c r="C21" t="s">
        <v>326</v>
      </c>
      <c r="D21" t="s">
        <v>327</v>
      </c>
      <c r="E21" t="s">
        <v>17</v>
      </c>
      <c r="F21" t="s">
        <v>328</v>
      </c>
      <c r="G21" t="s">
        <v>329</v>
      </c>
      <c r="H21" t="s">
        <v>329</v>
      </c>
      <c r="I21" t="s">
        <v>330</v>
      </c>
      <c r="J21" t="s">
        <v>317</v>
      </c>
      <c r="K21" s="17" t="s">
        <v>335</v>
      </c>
      <c r="L21" t="s">
        <v>319</v>
      </c>
      <c r="M21" t="s">
        <v>336</v>
      </c>
      <c r="N21" t="s">
        <v>337</v>
      </c>
      <c r="O21" t="s">
        <v>80</v>
      </c>
      <c r="P21" t="s">
        <v>333</v>
      </c>
      <c r="Q21" t="s">
        <v>322</v>
      </c>
      <c r="R21">
        <v>1.9781127999999999E-2</v>
      </c>
      <c r="S21">
        <v>1.9781127999999999E-2</v>
      </c>
      <c r="T21" t="s">
        <v>311</v>
      </c>
      <c r="U21" t="s">
        <v>334</v>
      </c>
      <c r="V21" s="17" t="s">
        <v>311</v>
      </c>
      <c r="W21">
        <v>2</v>
      </c>
      <c r="X21" t="s">
        <v>311</v>
      </c>
      <c r="Y21" t="s">
        <v>324</v>
      </c>
      <c r="Z21" t="s">
        <v>311</v>
      </c>
    </row>
    <row r="22" spans="1:26" x14ac:dyDescent="0.3">
      <c r="A22">
        <v>21</v>
      </c>
      <c r="B22" s="16" t="s">
        <v>311</v>
      </c>
      <c r="C22" t="s">
        <v>326</v>
      </c>
      <c r="D22" t="s">
        <v>327</v>
      </c>
      <c r="E22" t="s">
        <v>17</v>
      </c>
      <c r="F22" t="s">
        <v>328</v>
      </c>
      <c r="G22" t="s">
        <v>329</v>
      </c>
      <c r="H22" t="s">
        <v>329</v>
      </c>
      <c r="I22" t="s">
        <v>330</v>
      </c>
      <c r="J22" t="s">
        <v>317</v>
      </c>
      <c r="K22" s="17" t="s">
        <v>335</v>
      </c>
      <c r="L22" t="s">
        <v>319</v>
      </c>
      <c r="M22" t="s">
        <v>336</v>
      </c>
      <c r="N22" t="s">
        <v>325</v>
      </c>
      <c r="O22" t="s">
        <v>325</v>
      </c>
      <c r="P22" t="s">
        <v>333</v>
      </c>
      <c r="Q22" t="s">
        <v>322</v>
      </c>
      <c r="R22">
        <v>8.1090350000000005E-3</v>
      </c>
      <c r="S22">
        <v>8.1090350000000005E-3</v>
      </c>
      <c r="T22" t="s">
        <v>311</v>
      </c>
      <c r="U22" t="s">
        <v>334</v>
      </c>
      <c r="V22" s="17" t="s">
        <v>311</v>
      </c>
      <c r="W22">
        <v>2</v>
      </c>
      <c r="X22" t="s">
        <v>311</v>
      </c>
      <c r="Y22" t="s">
        <v>324</v>
      </c>
      <c r="Z22" t="s">
        <v>311</v>
      </c>
    </row>
    <row r="23" spans="1:26" x14ac:dyDescent="0.3">
      <c r="A23">
        <v>22</v>
      </c>
      <c r="B23" s="16" t="s">
        <v>311</v>
      </c>
      <c r="C23" t="s">
        <v>326</v>
      </c>
      <c r="D23" t="s">
        <v>327</v>
      </c>
      <c r="E23" t="s">
        <v>17</v>
      </c>
      <c r="F23" t="s">
        <v>328</v>
      </c>
      <c r="G23" t="s">
        <v>329</v>
      </c>
      <c r="H23" t="s">
        <v>329</v>
      </c>
      <c r="I23" t="s">
        <v>330</v>
      </c>
      <c r="J23" t="s">
        <v>317</v>
      </c>
      <c r="K23" s="17" t="s">
        <v>335</v>
      </c>
      <c r="L23" t="s">
        <v>319</v>
      </c>
      <c r="M23" t="s">
        <v>336</v>
      </c>
      <c r="N23" t="s">
        <v>325</v>
      </c>
      <c r="O23" t="s">
        <v>325</v>
      </c>
      <c r="P23" t="s">
        <v>333</v>
      </c>
      <c r="Q23" t="s">
        <v>322</v>
      </c>
      <c r="R23">
        <v>9.4605279999999993E-3</v>
      </c>
      <c r="S23">
        <v>9.4605279999999993E-3</v>
      </c>
      <c r="T23" t="s">
        <v>311</v>
      </c>
      <c r="U23" t="s">
        <v>334</v>
      </c>
      <c r="V23" s="17" t="s">
        <v>311</v>
      </c>
      <c r="W23">
        <v>2</v>
      </c>
      <c r="X23" t="s">
        <v>311</v>
      </c>
      <c r="Y23" t="s">
        <v>324</v>
      </c>
      <c r="Z23" t="s">
        <v>311</v>
      </c>
    </row>
    <row r="24" spans="1:26" x14ac:dyDescent="0.3">
      <c r="A24">
        <v>23</v>
      </c>
      <c r="B24" s="16" t="s">
        <v>311</v>
      </c>
      <c r="C24" t="s">
        <v>326</v>
      </c>
      <c r="D24" t="s">
        <v>327</v>
      </c>
      <c r="E24" t="s">
        <v>17</v>
      </c>
      <c r="F24" t="s">
        <v>328</v>
      </c>
      <c r="G24" t="s">
        <v>329</v>
      </c>
      <c r="H24" t="s">
        <v>329</v>
      </c>
      <c r="I24" t="s">
        <v>330</v>
      </c>
      <c r="J24" t="s">
        <v>317</v>
      </c>
      <c r="K24" s="17" t="s">
        <v>335</v>
      </c>
      <c r="L24" t="s">
        <v>319</v>
      </c>
      <c r="M24" t="s">
        <v>336</v>
      </c>
      <c r="N24" t="s">
        <v>337</v>
      </c>
      <c r="O24" t="s">
        <v>80</v>
      </c>
      <c r="P24" t="s">
        <v>333</v>
      </c>
      <c r="Q24" t="s">
        <v>322</v>
      </c>
      <c r="R24">
        <v>7.2489720000000002E-3</v>
      </c>
      <c r="S24">
        <v>7.2489720000000002E-3</v>
      </c>
      <c r="T24" t="s">
        <v>311</v>
      </c>
      <c r="U24" t="s">
        <v>334</v>
      </c>
      <c r="V24" s="17" t="s">
        <v>311</v>
      </c>
      <c r="W24">
        <v>2</v>
      </c>
      <c r="X24" t="s">
        <v>311</v>
      </c>
      <c r="Y24" t="s">
        <v>324</v>
      </c>
      <c r="Z24" t="s">
        <v>311</v>
      </c>
    </row>
    <row r="25" spans="1:26" x14ac:dyDescent="0.3">
      <c r="A25">
        <v>24</v>
      </c>
      <c r="B25" s="16" t="s">
        <v>311</v>
      </c>
      <c r="C25" t="s">
        <v>326</v>
      </c>
      <c r="D25" t="s">
        <v>327</v>
      </c>
      <c r="E25" t="s">
        <v>17</v>
      </c>
      <c r="F25" t="s">
        <v>328</v>
      </c>
      <c r="G25" t="s">
        <v>329</v>
      </c>
      <c r="H25" t="s">
        <v>329</v>
      </c>
      <c r="I25" t="s">
        <v>330</v>
      </c>
      <c r="J25" t="s">
        <v>317</v>
      </c>
      <c r="K25" s="17" t="s">
        <v>335</v>
      </c>
      <c r="L25" t="s">
        <v>319</v>
      </c>
      <c r="M25" t="s">
        <v>336</v>
      </c>
      <c r="N25" t="s">
        <v>337</v>
      </c>
      <c r="O25" t="s">
        <v>80</v>
      </c>
      <c r="P25" t="s">
        <v>333</v>
      </c>
      <c r="Q25" t="s">
        <v>322</v>
      </c>
      <c r="R25">
        <v>8.1090350000000005E-3</v>
      </c>
      <c r="S25">
        <v>8.1090350000000005E-3</v>
      </c>
      <c r="T25" t="s">
        <v>311</v>
      </c>
      <c r="U25" t="s">
        <v>334</v>
      </c>
      <c r="V25" s="17" t="s">
        <v>311</v>
      </c>
      <c r="W25">
        <v>2</v>
      </c>
      <c r="X25" t="s">
        <v>311</v>
      </c>
      <c r="Y25" t="s">
        <v>324</v>
      </c>
      <c r="Z25" t="s">
        <v>311</v>
      </c>
    </row>
    <row r="26" spans="1:26" x14ac:dyDescent="0.3">
      <c r="A26">
        <v>25</v>
      </c>
      <c r="B26" s="16" t="s">
        <v>311</v>
      </c>
      <c r="C26" t="s">
        <v>326</v>
      </c>
      <c r="D26" t="s">
        <v>327</v>
      </c>
      <c r="E26" t="s">
        <v>17</v>
      </c>
      <c r="F26" t="s">
        <v>328</v>
      </c>
      <c r="G26" t="s">
        <v>329</v>
      </c>
      <c r="H26" t="s">
        <v>329</v>
      </c>
      <c r="I26" t="s">
        <v>330</v>
      </c>
      <c r="J26" t="s">
        <v>317</v>
      </c>
      <c r="K26" s="17" t="s">
        <v>335</v>
      </c>
      <c r="L26" t="s">
        <v>319</v>
      </c>
      <c r="M26" t="s">
        <v>336</v>
      </c>
      <c r="N26" t="s">
        <v>325</v>
      </c>
      <c r="O26" t="s">
        <v>325</v>
      </c>
      <c r="P26" t="s">
        <v>333</v>
      </c>
      <c r="Q26" t="s">
        <v>322</v>
      </c>
      <c r="R26">
        <v>-3.5630660000000001E-3</v>
      </c>
      <c r="S26">
        <v>-3.5630660000000001E-3</v>
      </c>
      <c r="T26" t="s">
        <v>311</v>
      </c>
      <c r="U26" t="s">
        <v>334</v>
      </c>
      <c r="V26" s="17" t="s">
        <v>311</v>
      </c>
      <c r="W26">
        <v>2</v>
      </c>
      <c r="X26" t="s">
        <v>311</v>
      </c>
      <c r="Y26" t="s">
        <v>324</v>
      </c>
      <c r="Z26" t="s">
        <v>311</v>
      </c>
    </row>
    <row r="27" spans="1:26" x14ac:dyDescent="0.3">
      <c r="A27">
        <v>26</v>
      </c>
      <c r="B27" s="16" t="s">
        <v>311</v>
      </c>
      <c r="C27" t="s">
        <v>326</v>
      </c>
      <c r="D27" t="s">
        <v>327</v>
      </c>
      <c r="E27" t="s">
        <v>17</v>
      </c>
      <c r="F27" t="s">
        <v>328</v>
      </c>
      <c r="G27" t="s">
        <v>329</v>
      </c>
      <c r="H27" t="s">
        <v>329</v>
      </c>
      <c r="I27" t="s">
        <v>330</v>
      </c>
      <c r="J27" t="s">
        <v>317</v>
      </c>
      <c r="K27" s="17" t="s">
        <v>335</v>
      </c>
      <c r="L27" t="s">
        <v>319</v>
      </c>
      <c r="M27" t="s">
        <v>336</v>
      </c>
      <c r="N27" t="s">
        <v>325</v>
      </c>
      <c r="O27" t="s">
        <v>325</v>
      </c>
      <c r="P27" t="s">
        <v>333</v>
      </c>
      <c r="Q27" t="s">
        <v>322</v>
      </c>
      <c r="R27">
        <v>-1.3515070000000001E-3</v>
      </c>
      <c r="S27">
        <v>-1.3515070000000001E-3</v>
      </c>
      <c r="T27" t="s">
        <v>311</v>
      </c>
      <c r="U27" t="s">
        <v>334</v>
      </c>
      <c r="V27" s="17" t="s">
        <v>311</v>
      </c>
      <c r="W27">
        <v>2</v>
      </c>
      <c r="X27" t="s">
        <v>311</v>
      </c>
      <c r="Y27" t="s">
        <v>324</v>
      </c>
      <c r="Z27" t="s">
        <v>311</v>
      </c>
    </row>
    <row r="28" spans="1:26" x14ac:dyDescent="0.3">
      <c r="A28">
        <v>27</v>
      </c>
      <c r="B28" s="16" t="s">
        <v>311</v>
      </c>
      <c r="C28" t="s">
        <v>338</v>
      </c>
      <c r="D28" t="s">
        <v>339</v>
      </c>
      <c r="E28" t="s">
        <v>17</v>
      </c>
      <c r="F28" t="s">
        <v>328</v>
      </c>
      <c r="G28" t="s">
        <v>340</v>
      </c>
      <c r="H28" t="s">
        <v>340</v>
      </c>
      <c r="I28" t="s">
        <v>316</v>
      </c>
      <c r="J28" t="s">
        <v>317</v>
      </c>
      <c r="K28" s="17" t="s">
        <v>341</v>
      </c>
      <c r="L28" s="17" t="s">
        <v>319</v>
      </c>
      <c r="M28" s="17" t="s">
        <v>336</v>
      </c>
      <c r="N28" t="s">
        <v>342</v>
      </c>
      <c r="O28" t="s">
        <v>80</v>
      </c>
      <c r="P28" t="s">
        <v>321</v>
      </c>
      <c r="Q28" t="s">
        <v>322</v>
      </c>
      <c r="R28">
        <v>6.9265660000000003E-3</v>
      </c>
      <c r="S28">
        <v>6.9265660000000003E-3</v>
      </c>
      <c r="T28" t="s">
        <v>311</v>
      </c>
      <c r="U28" t="s">
        <v>323</v>
      </c>
      <c r="V28" s="17" t="s">
        <v>311</v>
      </c>
      <c r="W28">
        <v>3</v>
      </c>
      <c r="X28" t="s">
        <v>311</v>
      </c>
      <c r="Y28" t="s">
        <v>324</v>
      </c>
      <c r="Z28" t="s">
        <v>311</v>
      </c>
    </row>
    <row r="29" spans="1:26" x14ac:dyDescent="0.3">
      <c r="A29">
        <v>28</v>
      </c>
      <c r="B29" s="16" t="s">
        <v>311</v>
      </c>
      <c r="C29" t="s">
        <v>338</v>
      </c>
      <c r="D29" t="s">
        <v>339</v>
      </c>
      <c r="E29" t="s">
        <v>17</v>
      </c>
      <c r="F29" t="s">
        <v>328</v>
      </c>
      <c r="G29" t="s">
        <v>340</v>
      </c>
      <c r="H29" t="s">
        <v>340</v>
      </c>
      <c r="I29" t="s">
        <v>316</v>
      </c>
      <c r="J29" t="s">
        <v>317</v>
      </c>
      <c r="K29" s="17" t="s">
        <v>341</v>
      </c>
      <c r="L29" s="17" t="s">
        <v>319</v>
      </c>
      <c r="M29" s="17" t="s">
        <v>336</v>
      </c>
      <c r="N29" t="s">
        <v>342</v>
      </c>
      <c r="O29" t="s">
        <v>80</v>
      </c>
      <c r="P29" t="s">
        <v>321</v>
      </c>
      <c r="Q29" t="s">
        <v>322</v>
      </c>
      <c r="R29">
        <v>3.9085669999999999E-3</v>
      </c>
      <c r="S29">
        <v>3.9085669999999999E-3</v>
      </c>
      <c r="T29" t="s">
        <v>311</v>
      </c>
      <c r="U29" t="s">
        <v>323</v>
      </c>
      <c r="V29" s="17" t="s">
        <v>311</v>
      </c>
      <c r="W29">
        <v>3</v>
      </c>
      <c r="X29" t="s">
        <v>311</v>
      </c>
      <c r="Y29" t="s">
        <v>324</v>
      </c>
      <c r="Z29" t="s">
        <v>311</v>
      </c>
    </row>
    <row r="30" spans="1:26" x14ac:dyDescent="0.3">
      <c r="A30">
        <v>29</v>
      </c>
      <c r="B30" s="16" t="s">
        <v>311</v>
      </c>
      <c r="C30" t="s">
        <v>338</v>
      </c>
      <c r="D30" t="s">
        <v>339</v>
      </c>
      <c r="E30" t="s">
        <v>17</v>
      </c>
      <c r="F30" t="s">
        <v>328</v>
      </c>
      <c r="G30" t="s">
        <v>340</v>
      </c>
      <c r="H30" t="s">
        <v>340</v>
      </c>
      <c r="I30" t="s">
        <v>316</v>
      </c>
      <c r="J30" t="s">
        <v>317</v>
      </c>
      <c r="K30" s="17" t="s">
        <v>341</v>
      </c>
      <c r="L30" s="17" t="s">
        <v>319</v>
      </c>
      <c r="M30" s="17" t="s">
        <v>336</v>
      </c>
      <c r="N30" t="s">
        <v>342</v>
      </c>
      <c r="O30" t="s">
        <v>80</v>
      </c>
      <c r="P30" t="s">
        <v>321</v>
      </c>
      <c r="Q30" t="s">
        <v>322</v>
      </c>
      <c r="R30">
        <v>5.2444270000000003E-3</v>
      </c>
      <c r="S30">
        <v>5.2444270000000003E-3</v>
      </c>
      <c r="T30" t="s">
        <v>311</v>
      </c>
      <c r="U30" t="s">
        <v>323</v>
      </c>
      <c r="V30" s="17" t="s">
        <v>311</v>
      </c>
      <c r="W30">
        <v>3</v>
      </c>
      <c r="X30" t="s">
        <v>311</v>
      </c>
      <c r="Y30" t="s">
        <v>324</v>
      </c>
      <c r="Z30" t="s">
        <v>311</v>
      </c>
    </row>
    <row r="31" spans="1:26" x14ac:dyDescent="0.3">
      <c r="A31">
        <v>30</v>
      </c>
      <c r="B31" s="16" t="s">
        <v>311</v>
      </c>
      <c r="C31" t="s">
        <v>338</v>
      </c>
      <c r="D31" t="s">
        <v>339</v>
      </c>
      <c r="E31" t="s">
        <v>17</v>
      </c>
      <c r="F31" t="s">
        <v>328</v>
      </c>
      <c r="G31" t="s">
        <v>340</v>
      </c>
      <c r="H31" t="s">
        <v>340</v>
      </c>
      <c r="I31" t="s">
        <v>316</v>
      </c>
      <c r="J31" t="s">
        <v>317</v>
      </c>
      <c r="K31" s="17" t="s">
        <v>341</v>
      </c>
      <c r="L31" s="17" t="s">
        <v>319</v>
      </c>
      <c r="M31" s="17" t="s">
        <v>336</v>
      </c>
      <c r="N31" t="s">
        <v>342</v>
      </c>
      <c r="O31" t="s">
        <v>80</v>
      </c>
      <c r="P31" t="s">
        <v>321</v>
      </c>
      <c r="Q31" t="s">
        <v>322</v>
      </c>
      <c r="R31">
        <v>2.9685330000000002E-3</v>
      </c>
      <c r="S31">
        <v>2.9685330000000002E-3</v>
      </c>
      <c r="T31" t="s">
        <v>311</v>
      </c>
      <c r="U31" t="s">
        <v>323</v>
      </c>
      <c r="V31" s="17" t="s">
        <v>311</v>
      </c>
      <c r="W31">
        <v>3</v>
      </c>
      <c r="X31" t="s">
        <v>311</v>
      </c>
      <c r="Y31" t="s">
        <v>324</v>
      </c>
      <c r="Z31" t="s">
        <v>311</v>
      </c>
    </row>
    <row r="32" spans="1:26" x14ac:dyDescent="0.3">
      <c r="A32">
        <v>31</v>
      </c>
      <c r="B32" s="16" t="s">
        <v>311</v>
      </c>
      <c r="C32" t="s">
        <v>338</v>
      </c>
      <c r="D32" t="s">
        <v>339</v>
      </c>
      <c r="E32" t="s">
        <v>17</v>
      </c>
      <c r="F32" t="s">
        <v>328</v>
      </c>
      <c r="G32" t="s">
        <v>340</v>
      </c>
      <c r="H32" t="s">
        <v>340</v>
      </c>
      <c r="I32" t="s">
        <v>316</v>
      </c>
      <c r="J32" t="s">
        <v>317</v>
      </c>
      <c r="K32" s="17" t="s">
        <v>341</v>
      </c>
      <c r="L32" s="17" t="s">
        <v>319</v>
      </c>
      <c r="M32" s="17" t="s">
        <v>336</v>
      </c>
      <c r="N32" t="s">
        <v>342</v>
      </c>
      <c r="O32" t="s">
        <v>80</v>
      </c>
      <c r="P32" t="s">
        <v>321</v>
      </c>
      <c r="Q32" t="s">
        <v>322</v>
      </c>
      <c r="R32">
        <v>1.0043534E-2</v>
      </c>
      <c r="S32">
        <v>1.0043534E-2</v>
      </c>
      <c r="T32" t="s">
        <v>311</v>
      </c>
      <c r="U32" t="s">
        <v>323</v>
      </c>
      <c r="V32" s="17" t="s">
        <v>311</v>
      </c>
      <c r="W32">
        <v>3</v>
      </c>
      <c r="X32" t="s">
        <v>311</v>
      </c>
      <c r="Y32" t="s">
        <v>324</v>
      </c>
      <c r="Z32" t="s">
        <v>311</v>
      </c>
    </row>
    <row r="33" spans="1:26" x14ac:dyDescent="0.3">
      <c r="A33">
        <v>32</v>
      </c>
      <c r="B33" s="16" t="s">
        <v>311</v>
      </c>
      <c r="C33" t="s">
        <v>338</v>
      </c>
      <c r="D33" t="s">
        <v>339</v>
      </c>
      <c r="E33" t="s">
        <v>17</v>
      </c>
      <c r="F33" t="s">
        <v>328</v>
      </c>
      <c r="G33" t="s">
        <v>340</v>
      </c>
      <c r="H33" t="s">
        <v>340</v>
      </c>
      <c r="I33" t="s">
        <v>316</v>
      </c>
      <c r="J33" t="s">
        <v>317</v>
      </c>
      <c r="K33" s="17" t="s">
        <v>341</v>
      </c>
      <c r="L33" s="17" t="s">
        <v>319</v>
      </c>
      <c r="M33" s="17" t="s">
        <v>336</v>
      </c>
      <c r="N33" t="s">
        <v>342</v>
      </c>
      <c r="O33" t="s">
        <v>80</v>
      </c>
      <c r="P33" t="s">
        <v>321</v>
      </c>
      <c r="Q33" t="s">
        <v>322</v>
      </c>
      <c r="R33">
        <v>1.0191973999999999E-2</v>
      </c>
      <c r="S33">
        <v>1.0191973999999999E-2</v>
      </c>
      <c r="T33" t="s">
        <v>311</v>
      </c>
      <c r="U33" t="s">
        <v>323</v>
      </c>
      <c r="V33" s="17" t="s">
        <v>311</v>
      </c>
      <c r="W33">
        <v>3</v>
      </c>
      <c r="X33" t="s">
        <v>311</v>
      </c>
      <c r="Y33" t="s">
        <v>324</v>
      </c>
      <c r="Z33" t="s">
        <v>311</v>
      </c>
    </row>
    <row r="34" spans="1:26" x14ac:dyDescent="0.3">
      <c r="A34">
        <v>33</v>
      </c>
      <c r="B34" s="16" t="s">
        <v>311</v>
      </c>
      <c r="C34" t="s">
        <v>338</v>
      </c>
      <c r="D34" t="s">
        <v>343</v>
      </c>
      <c r="E34" t="s">
        <v>17</v>
      </c>
      <c r="F34" t="s">
        <v>328</v>
      </c>
      <c r="G34" t="s">
        <v>340</v>
      </c>
      <c r="H34" t="s">
        <v>340</v>
      </c>
      <c r="I34" t="s">
        <v>316</v>
      </c>
      <c r="J34" t="s">
        <v>317</v>
      </c>
      <c r="K34" s="17" t="s">
        <v>341</v>
      </c>
      <c r="L34" s="17" t="s">
        <v>319</v>
      </c>
      <c r="M34" s="17" t="s">
        <v>336</v>
      </c>
      <c r="N34" t="s">
        <v>344</v>
      </c>
      <c r="O34" t="s">
        <v>80</v>
      </c>
      <c r="P34" t="s">
        <v>321</v>
      </c>
      <c r="Q34" t="s">
        <v>322</v>
      </c>
      <c r="R34">
        <v>5.7391819999999998E-3</v>
      </c>
      <c r="S34">
        <v>5.7391819999999998E-3</v>
      </c>
      <c r="T34" t="s">
        <v>311</v>
      </c>
      <c r="U34" t="s">
        <v>323</v>
      </c>
      <c r="V34" s="17" t="s">
        <v>311</v>
      </c>
      <c r="W34">
        <v>3</v>
      </c>
      <c r="X34" t="s">
        <v>311</v>
      </c>
      <c r="Y34" t="s">
        <v>324</v>
      </c>
      <c r="Z34" t="s">
        <v>311</v>
      </c>
    </row>
    <row r="35" spans="1:26" x14ac:dyDescent="0.3">
      <c r="A35">
        <v>34</v>
      </c>
      <c r="B35" s="16" t="s">
        <v>311</v>
      </c>
      <c r="C35" t="s">
        <v>338</v>
      </c>
      <c r="D35" t="s">
        <v>343</v>
      </c>
      <c r="E35" t="s">
        <v>17</v>
      </c>
      <c r="F35" t="s">
        <v>328</v>
      </c>
      <c r="G35" t="s">
        <v>340</v>
      </c>
      <c r="H35" t="s">
        <v>340</v>
      </c>
      <c r="I35" t="s">
        <v>316</v>
      </c>
      <c r="J35" t="s">
        <v>317</v>
      </c>
      <c r="K35" s="17" t="s">
        <v>341</v>
      </c>
      <c r="L35" s="17" t="s">
        <v>319</v>
      </c>
      <c r="M35" s="17" t="s">
        <v>336</v>
      </c>
      <c r="N35" t="s">
        <v>344</v>
      </c>
      <c r="O35" t="s">
        <v>80</v>
      </c>
      <c r="P35" t="s">
        <v>321</v>
      </c>
      <c r="Q35" t="s">
        <v>322</v>
      </c>
      <c r="R35">
        <v>2.6716800000000001E-3</v>
      </c>
      <c r="S35">
        <v>2.6716800000000001E-3</v>
      </c>
      <c r="T35" t="s">
        <v>311</v>
      </c>
      <c r="U35" t="s">
        <v>323</v>
      </c>
      <c r="V35" s="17" t="s">
        <v>311</v>
      </c>
      <c r="W35">
        <v>3</v>
      </c>
      <c r="X35" t="s">
        <v>311</v>
      </c>
      <c r="Y35" t="s">
        <v>324</v>
      </c>
      <c r="Z35" t="s">
        <v>311</v>
      </c>
    </row>
    <row r="36" spans="1:26" x14ac:dyDescent="0.3">
      <c r="A36">
        <v>35</v>
      </c>
      <c r="B36" s="16" t="s">
        <v>311</v>
      </c>
      <c r="C36" t="s">
        <v>338</v>
      </c>
      <c r="D36" t="s">
        <v>343</v>
      </c>
      <c r="E36" t="s">
        <v>17</v>
      </c>
      <c r="F36" t="s">
        <v>328</v>
      </c>
      <c r="G36" t="s">
        <v>340</v>
      </c>
      <c r="H36" t="s">
        <v>340</v>
      </c>
      <c r="I36" t="s">
        <v>316</v>
      </c>
      <c r="J36" t="s">
        <v>317</v>
      </c>
      <c r="K36" s="17" t="s">
        <v>341</v>
      </c>
      <c r="L36" s="17" t="s">
        <v>319</v>
      </c>
      <c r="M36" s="17" t="s">
        <v>336</v>
      </c>
      <c r="N36" t="s">
        <v>344</v>
      </c>
      <c r="O36" t="s">
        <v>80</v>
      </c>
      <c r="P36" t="s">
        <v>321</v>
      </c>
      <c r="Q36" t="s">
        <v>322</v>
      </c>
      <c r="R36">
        <v>3.2653859999999999E-3</v>
      </c>
      <c r="S36">
        <v>3.2653859999999999E-3</v>
      </c>
      <c r="T36" t="s">
        <v>311</v>
      </c>
      <c r="U36" t="s">
        <v>323</v>
      </c>
      <c r="V36" s="17" t="s">
        <v>311</v>
      </c>
      <c r="W36">
        <v>3</v>
      </c>
      <c r="X36" t="s">
        <v>311</v>
      </c>
      <c r="Y36" t="s">
        <v>324</v>
      </c>
      <c r="Z36" t="s">
        <v>311</v>
      </c>
    </row>
    <row r="37" spans="1:26" x14ac:dyDescent="0.3">
      <c r="A37">
        <v>36</v>
      </c>
      <c r="B37" s="16" t="s">
        <v>311</v>
      </c>
      <c r="C37" t="s">
        <v>345</v>
      </c>
      <c r="D37" t="s">
        <v>346</v>
      </c>
      <c r="E37" t="s">
        <v>17</v>
      </c>
      <c r="F37" t="s">
        <v>328</v>
      </c>
      <c r="G37" t="s">
        <v>315</v>
      </c>
      <c r="H37" t="s">
        <v>315</v>
      </c>
      <c r="I37" t="s">
        <v>316</v>
      </c>
      <c r="J37" t="s">
        <v>317</v>
      </c>
      <c r="K37" s="17" t="s">
        <v>347</v>
      </c>
      <c r="L37" s="17" t="s">
        <v>319</v>
      </c>
      <c r="M37" s="17" t="s">
        <v>319</v>
      </c>
      <c r="N37" t="s">
        <v>348</v>
      </c>
      <c r="O37" t="s">
        <v>88</v>
      </c>
      <c r="P37" t="s">
        <v>321</v>
      </c>
      <c r="Q37" t="s">
        <v>322</v>
      </c>
      <c r="R37">
        <v>1.0981042E-2</v>
      </c>
      <c r="S37">
        <v>1.0981042E-2</v>
      </c>
      <c r="T37" t="s">
        <v>311</v>
      </c>
      <c r="U37" t="s">
        <v>323</v>
      </c>
      <c r="V37" s="17" t="s">
        <v>311</v>
      </c>
      <c r="W37">
        <v>3</v>
      </c>
      <c r="X37" t="s">
        <v>311</v>
      </c>
      <c r="Y37" t="s">
        <v>324</v>
      </c>
      <c r="Z37" t="s">
        <v>311</v>
      </c>
    </row>
    <row r="38" spans="1:26" x14ac:dyDescent="0.3">
      <c r="A38">
        <v>37</v>
      </c>
      <c r="B38" s="16" t="s">
        <v>311</v>
      </c>
      <c r="C38" t="s">
        <v>345</v>
      </c>
      <c r="D38" t="s">
        <v>346</v>
      </c>
      <c r="E38" t="s">
        <v>17</v>
      </c>
      <c r="F38" t="s">
        <v>328</v>
      </c>
      <c r="G38" t="s">
        <v>315</v>
      </c>
      <c r="H38" t="s">
        <v>315</v>
      </c>
      <c r="I38" t="s">
        <v>316</v>
      </c>
      <c r="J38" t="s">
        <v>317</v>
      </c>
      <c r="K38" s="17" t="s">
        <v>347</v>
      </c>
      <c r="L38" s="17" t="s">
        <v>319</v>
      </c>
      <c r="M38" s="17" t="s">
        <v>319</v>
      </c>
      <c r="N38" t="s">
        <v>348</v>
      </c>
      <c r="O38" t="s">
        <v>88</v>
      </c>
      <c r="P38" t="s">
        <v>321</v>
      </c>
      <c r="Q38" t="s">
        <v>322</v>
      </c>
      <c r="R38">
        <v>2.5021380000000001E-3</v>
      </c>
      <c r="S38">
        <v>2.5021380000000001E-3</v>
      </c>
      <c r="T38" t="s">
        <v>311</v>
      </c>
      <c r="U38" t="s">
        <v>323</v>
      </c>
      <c r="V38" s="17" t="s">
        <v>311</v>
      </c>
      <c r="W38">
        <v>3</v>
      </c>
      <c r="X38" t="s">
        <v>311</v>
      </c>
      <c r="Y38" t="s">
        <v>324</v>
      </c>
      <c r="Z38" t="s">
        <v>311</v>
      </c>
    </row>
    <row r="39" spans="1:26" x14ac:dyDescent="0.3">
      <c r="A39">
        <v>38</v>
      </c>
      <c r="B39" s="16" t="s">
        <v>311</v>
      </c>
      <c r="C39" t="s">
        <v>345</v>
      </c>
      <c r="D39" t="s">
        <v>346</v>
      </c>
      <c r="E39" t="s">
        <v>17</v>
      </c>
      <c r="F39" t="s">
        <v>328</v>
      </c>
      <c r="G39" t="s">
        <v>315</v>
      </c>
      <c r="H39" t="s">
        <v>315</v>
      </c>
      <c r="I39" t="s">
        <v>316</v>
      </c>
      <c r="J39" t="s">
        <v>317</v>
      </c>
      <c r="K39" s="17" t="s">
        <v>347</v>
      </c>
      <c r="L39" s="17" t="s">
        <v>319</v>
      </c>
      <c r="M39" s="17" t="s">
        <v>319</v>
      </c>
      <c r="N39" t="s">
        <v>348</v>
      </c>
      <c r="O39" t="s">
        <v>88</v>
      </c>
      <c r="P39" t="s">
        <v>321</v>
      </c>
      <c r="Q39" t="s">
        <v>322</v>
      </c>
      <c r="R39">
        <v>1.0737920000000001E-3</v>
      </c>
      <c r="S39">
        <v>1.0737920000000001E-3</v>
      </c>
      <c r="T39" t="s">
        <v>311</v>
      </c>
      <c r="U39" t="s">
        <v>323</v>
      </c>
      <c r="V39" s="17" t="s">
        <v>311</v>
      </c>
      <c r="W39">
        <v>5</v>
      </c>
      <c r="X39" t="s">
        <v>311</v>
      </c>
      <c r="Y39" t="s">
        <v>324</v>
      </c>
      <c r="Z39" t="s">
        <v>311</v>
      </c>
    </row>
    <row r="40" spans="1:26" x14ac:dyDescent="0.3">
      <c r="A40">
        <v>39</v>
      </c>
      <c r="B40" s="16" t="s">
        <v>311</v>
      </c>
      <c r="C40" t="s">
        <v>345</v>
      </c>
      <c r="D40" t="s">
        <v>346</v>
      </c>
      <c r="E40" t="s">
        <v>17</v>
      </c>
      <c r="F40" t="s">
        <v>328</v>
      </c>
      <c r="G40" t="s">
        <v>315</v>
      </c>
      <c r="H40" t="s">
        <v>315</v>
      </c>
      <c r="I40" t="s">
        <v>316</v>
      </c>
      <c r="J40" t="s">
        <v>317</v>
      </c>
      <c r="K40" s="17" t="s">
        <v>347</v>
      </c>
      <c r="L40" s="17" t="s">
        <v>319</v>
      </c>
      <c r="M40" s="17" t="s">
        <v>319</v>
      </c>
      <c r="N40" t="s">
        <v>348</v>
      </c>
      <c r="O40" t="s">
        <v>88</v>
      </c>
      <c r="P40" t="s">
        <v>321</v>
      </c>
      <c r="Q40" t="s">
        <v>322</v>
      </c>
      <c r="R40">
        <v>7.39498E-4</v>
      </c>
      <c r="S40">
        <v>7.39498E-4</v>
      </c>
      <c r="T40" t="s">
        <v>311</v>
      </c>
      <c r="U40" t="s">
        <v>323</v>
      </c>
      <c r="V40" s="17" t="s">
        <v>311</v>
      </c>
      <c r="W40">
        <v>5</v>
      </c>
      <c r="X40" t="s">
        <v>311</v>
      </c>
      <c r="Y40" t="s">
        <v>324</v>
      </c>
      <c r="Z40" t="s">
        <v>311</v>
      </c>
    </row>
    <row r="41" spans="1:26" x14ac:dyDescent="0.3">
      <c r="A41">
        <v>40</v>
      </c>
      <c r="B41" s="16" t="s">
        <v>311</v>
      </c>
      <c r="C41" t="s">
        <v>345</v>
      </c>
      <c r="D41" t="s">
        <v>346</v>
      </c>
      <c r="E41" t="s">
        <v>17</v>
      </c>
      <c r="F41" t="s">
        <v>328</v>
      </c>
      <c r="G41" t="s">
        <v>315</v>
      </c>
      <c r="H41" t="s">
        <v>315</v>
      </c>
      <c r="I41" t="s">
        <v>316</v>
      </c>
      <c r="J41" t="s">
        <v>317</v>
      </c>
      <c r="K41" s="17" t="s">
        <v>347</v>
      </c>
      <c r="L41" s="17" t="s">
        <v>319</v>
      </c>
      <c r="M41" s="17" t="s">
        <v>319</v>
      </c>
      <c r="N41" t="s">
        <v>348</v>
      </c>
      <c r="O41" t="s">
        <v>88</v>
      </c>
      <c r="P41" t="s">
        <v>321</v>
      </c>
      <c r="Q41" t="s">
        <v>322</v>
      </c>
      <c r="R41">
        <v>2.096933E-3</v>
      </c>
      <c r="S41">
        <v>2.096933E-3</v>
      </c>
      <c r="T41" t="s">
        <v>311</v>
      </c>
      <c r="U41" t="s">
        <v>323</v>
      </c>
      <c r="V41" s="17" t="s">
        <v>311</v>
      </c>
      <c r="W41">
        <v>5</v>
      </c>
      <c r="X41" t="s">
        <v>311</v>
      </c>
      <c r="Y41" t="s">
        <v>324</v>
      </c>
      <c r="Z41" t="s">
        <v>311</v>
      </c>
    </row>
    <row r="42" spans="1:26" x14ac:dyDescent="0.3">
      <c r="A42">
        <v>41</v>
      </c>
      <c r="B42" s="16" t="s">
        <v>311</v>
      </c>
      <c r="C42" t="s">
        <v>345</v>
      </c>
      <c r="D42" t="s">
        <v>346</v>
      </c>
      <c r="E42" t="s">
        <v>17</v>
      </c>
      <c r="F42" t="s">
        <v>328</v>
      </c>
      <c r="G42" t="s">
        <v>315</v>
      </c>
      <c r="H42" t="s">
        <v>315</v>
      </c>
      <c r="I42" t="s">
        <v>316</v>
      </c>
      <c r="J42" t="s">
        <v>317</v>
      </c>
      <c r="K42" s="17" t="s">
        <v>347</v>
      </c>
      <c r="L42" s="17" t="s">
        <v>319</v>
      </c>
      <c r="M42" s="17" t="s">
        <v>319</v>
      </c>
      <c r="N42" t="s">
        <v>348</v>
      </c>
      <c r="O42" t="s">
        <v>88</v>
      </c>
      <c r="P42" t="s">
        <v>321</v>
      </c>
      <c r="Q42" t="s">
        <v>322</v>
      </c>
      <c r="R42">
        <v>1.2561339999999999E-3</v>
      </c>
      <c r="S42">
        <v>1.2561339999999999E-3</v>
      </c>
      <c r="T42" t="s">
        <v>311</v>
      </c>
      <c r="U42" t="s">
        <v>323</v>
      </c>
      <c r="V42" s="17" t="s">
        <v>311</v>
      </c>
      <c r="W42">
        <v>5</v>
      </c>
      <c r="X42" t="s">
        <v>311</v>
      </c>
      <c r="Y42" t="s">
        <v>324</v>
      </c>
      <c r="Z42" t="s">
        <v>311</v>
      </c>
    </row>
    <row r="43" spans="1:26" x14ac:dyDescent="0.3">
      <c r="A43">
        <v>42</v>
      </c>
      <c r="B43" s="16" t="s">
        <v>311</v>
      </c>
      <c r="C43" t="s">
        <v>345</v>
      </c>
      <c r="D43" t="s">
        <v>346</v>
      </c>
      <c r="E43" t="s">
        <v>17</v>
      </c>
      <c r="F43" t="s">
        <v>328</v>
      </c>
      <c r="G43" t="s">
        <v>315</v>
      </c>
      <c r="H43" t="s">
        <v>315</v>
      </c>
      <c r="I43" t="s">
        <v>316</v>
      </c>
      <c r="J43" t="s">
        <v>317</v>
      </c>
      <c r="K43" s="17" t="s">
        <v>347</v>
      </c>
      <c r="L43" s="17" t="s">
        <v>319</v>
      </c>
      <c r="M43" s="17" t="s">
        <v>319</v>
      </c>
      <c r="N43" t="s">
        <v>348</v>
      </c>
      <c r="O43" t="s">
        <v>88</v>
      </c>
      <c r="P43" t="s">
        <v>321</v>
      </c>
      <c r="Q43" t="s">
        <v>322</v>
      </c>
      <c r="R43">
        <v>1.205483E-3</v>
      </c>
      <c r="S43">
        <v>1.205483E-3</v>
      </c>
      <c r="T43" t="s">
        <v>311</v>
      </c>
      <c r="U43" t="s">
        <v>323</v>
      </c>
      <c r="V43" s="17" t="s">
        <v>311</v>
      </c>
      <c r="W43">
        <v>3</v>
      </c>
      <c r="X43" t="s">
        <v>311</v>
      </c>
      <c r="Y43" t="s">
        <v>324</v>
      </c>
      <c r="Z43" t="s">
        <v>311</v>
      </c>
    </row>
    <row r="44" spans="1:26" x14ac:dyDescent="0.3">
      <c r="A44">
        <v>43</v>
      </c>
      <c r="B44" s="16" t="s">
        <v>311</v>
      </c>
      <c r="C44" t="s">
        <v>345</v>
      </c>
      <c r="D44" t="s">
        <v>346</v>
      </c>
      <c r="E44" t="s">
        <v>17</v>
      </c>
      <c r="F44" t="s">
        <v>328</v>
      </c>
      <c r="G44" t="s">
        <v>315</v>
      </c>
      <c r="H44" t="s">
        <v>315</v>
      </c>
      <c r="I44" t="s">
        <v>316</v>
      </c>
      <c r="J44" t="s">
        <v>317</v>
      </c>
      <c r="K44" s="17" t="s">
        <v>347</v>
      </c>
      <c r="L44" s="17" t="s">
        <v>319</v>
      </c>
      <c r="M44" s="17" t="s">
        <v>319</v>
      </c>
      <c r="N44" t="s">
        <v>348</v>
      </c>
      <c r="O44" t="s">
        <v>88</v>
      </c>
      <c r="P44" t="s">
        <v>321</v>
      </c>
      <c r="Q44" t="s">
        <v>322</v>
      </c>
      <c r="R44">
        <v>5.2676600000000002E-4</v>
      </c>
      <c r="S44">
        <v>5.2676600000000002E-4</v>
      </c>
      <c r="T44" t="s">
        <v>311</v>
      </c>
      <c r="U44" t="s">
        <v>323</v>
      </c>
      <c r="V44" s="17" t="s">
        <v>311</v>
      </c>
      <c r="W44">
        <v>3</v>
      </c>
      <c r="X44" t="s">
        <v>311</v>
      </c>
      <c r="Y44" t="s">
        <v>324</v>
      </c>
      <c r="Z44" t="s">
        <v>311</v>
      </c>
    </row>
    <row r="45" spans="1:26" x14ac:dyDescent="0.3">
      <c r="A45">
        <v>44</v>
      </c>
      <c r="B45" s="16" t="s">
        <v>311</v>
      </c>
      <c r="C45" t="s">
        <v>345</v>
      </c>
      <c r="D45" t="s">
        <v>346</v>
      </c>
      <c r="E45" t="s">
        <v>17</v>
      </c>
      <c r="F45" t="s">
        <v>328</v>
      </c>
      <c r="G45" t="s">
        <v>315</v>
      </c>
      <c r="H45" t="s">
        <v>315</v>
      </c>
      <c r="I45" t="s">
        <v>316</v>
      </c>
      <c r="J45" t="s">
        <v>317</v>
      </c>
      <c r="K45" s="17" t="s">
        <v>347</v>
      </c>
      <c r="L45" s="17" t="s">
        <v>319</v>
      </c>
      <c r="M45" s="17" t="s">
        <v>319</v>
      </c>
      <c r="N45" t="s">
        <v>348</v>
      </c>
      <c r="O45" t="s">
        <v>88</v>
      </c>
      <c r="P45" t="s">
        <v>321</v>
      </c>
      <c r="Q45" t="s">
        <v>322</v>
      </c>
      <c r="R45">
        <v>2.4312270000000002E-3</v>
      </c>
      <c r="S45">
        <v>2.4312270000000002E-3</v>
      </c>
      <c r="T45" t="s">
        <v>311</v>
      </c>
      <c r="U45" t="s">
        <v>323</v>
      </c>
      <c r="V45" s="17" t="s">
        <v>311</v>
      </c>
      <c r="W45">
        <v>5</v>
      </c>
      <c r="X45" t="s">
        <v>311</v>
      </c>
      <c r="Y45" t="s">
        <v>324</v>
      </c>
      <c r="Z45" t="s">
        <v>311</v>
      </c>
    </row>
    <row r="46" spans="1:26" x14ac:dyDescent="0.3">
      <c r="A46">
        <v>45</v>
      </c>
      <c r="B46" s="16" t="s">
        <v>311</v>
      </c>
      <c r="C46" t="s">
        <v>345</v>
      </c>
      <c r="D46" t="s">
        <v>346</v>
      </c>
      <c r="E46" t="s">
        <v>17</v>
      </c>
      <c r="F46" t="s">
        <v>328</v>
      </c>
      <c r="G46" t="s">
        <v>315</v>
      </c>
      <c r="H46" t="s">
        <v>315</v>
      </c>
      <c r="I46" t="s">
        <v>316</v>
      </c>
      <c r="J46" t="s">
        <v>317</v>
      </c>
      <c r="K46" s="17" t="s">
        <v>347</v>
      </c>
      <c r="L46" s="17" t="s">
        <v>319</v>
      </c>
      <c r="M46" s="17" t="s">
        <v>319</v>
      </c>
      <c r="N46" t="s">
        <v>348</v>
      </c>
      <c r="O46" t="s">
        <v>88</v>
      </c>
      <c r="P46" t="s">
        <v>321</v>
      </c>
      <c r="Q46" t="s">
        <v>322</v>
      </c>
      <c r="R46">
        <v>3.5455399999999998E-3</v>
      </c>
      <c r="S46">
        <v>3.5455399999999998E-3</v>
      </c>
      <c r="T46" t="s">
        <v>311</v>
      </c>
      <c r="U46" t="s">
        <v>323</v>
      </c>
      <c r="V46" s="17" t="s">
        <v>311</v>
      </c>
      <c r="W46">
        <v>5</v>
      </c>
      <c r="X46" t="s">
        <v>311</v>
      </c>
      <c r="Y46" t="s">
        <v>324</v>
      </c>
      <c r="Z46" t="s">
        <v>311</v>
      </c>
    </row>
    <row r="47" spans="1:26" x14ac:dyDescent="0.3">
      <c r="A47">
        <v>46</v>
      </c>
      <c r="B47" s="16" t="s">
        <v>311</v>
      </c>
      <c r="C47" t="s">
        <v>345</v>
      </c>
      <c r="D47" t="s">
        <v>346</v>
      </c>
      <c r="E47" t="s">
        <v>17</v>
      </c>
      <c r="F47" t="s">
        <v>328</v>
      </c>
      <c r="G47" t="s">
        <v>315</v>
      </c>
      <c r="H47" t="s">
        <v>315</v>
      </c>
      <c r="I47" t="s">
        <v>316</v>
      </c>
      <c r="J47" t="s">
        <v>317</v>
      </c>
      <c r="K47" s="17" t="s">
        <v>347</v>
      </c>
      <c r="L47" s="17" t="s">
        <v>319</v>
      </c>
      <c r="M47" s="17" t="s">
        <v>319</v>
      </c>
      <c r="N47" t="s">
        <v>348</v>
      </c>
      <c r="O47" t="s">
        <v>88</v>
      </c>
      <c r="P47" t="s">
        <v>321</v>
      </c>
      <c r="Q47" t="s">
        <v>322</v>
      </c>
      <c r="R47">
        <v>9.9275100000000005E-4</v>
      </c>
      <c r="S47">
        <v>9.9275100000000005E-4</v>
      </c>
      <c r="T47" t="s">
        <v>311</v>
      </c>
      <c r="U47" t="s">
        <v>323</v>
      </c>
      <c r="V47" s="17" t="s">
        <v>311</v>
      </c>
      <c r="W47">
        <v>5</v>
      </c>
      <c r="X47" t="s">
        <v>311</v>
      </c>
      <c r="Y47" t="s">
        <v>324</v>
      </c>
      <c r="Z47" t="s">
        <v>311</v>
      </c>
    </row>
    <row r="48" spans="1:26" x14ac:dyDescent="0.3">
      <c r="A48">
        <v>47</v>
      </c>
      <c r="B48" s="16" t="s">
        <v>311</v>
      </c>
      <c r="C48" t="s">
        <v>345</v>
      </c>
      <c r="D48" t="s">
        <v>346</v>
      </c>
      <c r="E48" t="s">
        <v>17</v>
      </c>
      <c r="F48" t="s">
        <v>328</v>
      </c>
      <c r="G48" t="s">
        <v>315</v>
      </c>
      <c r="H48" t="s">
        <v>315</v>
      </c>
      <c r="I48" t="s">
        <v>316</v>
      </c>
      <c r="J48" t="s">
        <v>317</v>
      </c>
      <c r="K48" s="17" t="s">
        <v>347</v>
      </c>
      <c r="L48" s="17" t="s">
        <v>319</v>
      </c>
      <c r="M48" s="17" t="s">
        <v>319</v>
      </c>
      <c r="N48" t="s">
        <v>348</v>
      </c>
      <c r="O48" t="s">
        <v>88</v>
      </c>
      <c r="P48" t="s">
        <v>321</v>
      </c>
      <c r="Q48" t="s">
        <v>322</v>
      </c>
      <c r="R48">
        <v>2.927603E-3</v>
      </c>
      <c r="S48">
        <v>2.927603E-3</v>
      </c>
      <c r="T48" t="s">
        <v>311</v>
      </c>
      <c r="U48" t="s">
        <v>323</v>
      </c>
      <c r="V48" s="17" t="s">
        <v>311</v>
      </c>
      <c r="W48">
        <v>5</v>
      </c>
      <c r="X48" t="s">
        <v>311</v>
      </c>
      <c r="Y48" t="s">
        <v>324</v>
      </c>
      <c r="Z48" t="s">
        <v>311</v>
      </c>
    </row>
    <row r="49" spans="1:26" x14ac:dyDescent="0.3">
      <c r="A49">
        <v>48</v>
      </c>
      <c r="B49" s="16" t="s">
        <v>311</v>
      </c>
      <c r="C49" t="s">
        <v>345</v>
      </c>
      <c r="D49" t="s">
        <v>346</v>
      </c>
      <c r="E49" t="s">
        <v>17</v>
      </c>
      <c r="F49" t="s">
        <v>328</v>
      </c>
      <c r="G49" t="s">
        <v>315</v>
      </c>
      <c r="H49" t="s">
        <v>315</v>
      </c>
      <c r="I49" t="s">
        <v>316</v>
      </c>
      <c r="J49" t="s">
        <v>317</v>
      </c>
      <c r="K49" s="17" t="s">
        <v>347</v>
      </c>
      <c r="L49" s="17" t="s">
        <v>319</v>
      </c>
      <c r="M49" s="17" t="s">
        <v>319</v>
      </c>
      <c r="N49" t="s">
        <v>348</v>
      </c>
      <c r="O49" t="s">
        <v>88</v>
      </c>
      <c r="P49" t="s">
        <v>321</v>
      </c>
      <c r="Q49" t="s">
        <v>322</v>
      </c>
      <c r="R49">
        <v>1.5904280000000001E-3</v>
      </c>
      <c r="S49">
        <v>1.5904280000000001E-3</v>
      </c>
      <c r="T49" t="s">
        <v>311</v>
      </c>
      <c r="U49" t="s">
        <v>323</v>
      </c>
      <c r="V49" s="17" t="s">
        <v>311</v>
      </c>
      <c r="W49">
        <v>3</v>
      </c>
      <c r="X49" t="s">
        <v>311</v>
      </c>
      <c r="Y49" t="s">
        <v>324</v>
      </c>
      <c r="Z49" t="s">
        <v>311</v>
      </c>
    </row>
    <row r="50" spans="1:26" x14ac:dyDescent="0.3">
      <c r="A50">
        <v>49</v>
      </c>
      <c r="B50" s="16" t="s">
        <v>311</v>
      </c>
      <c r="C50" t="s">
        <v>345</v>
      </c>
      <c r="D50" t="s">
        <v>346</v>
      </c>
      <c r="E50" t="s">
        <v>17</v>
      </c>
      <c r="F50" t="s">
        <v>328</v>
      </c>
      <c r="G50" t="s">
        <v>315</v>
      </c>
      <c r="H50" t="s">
        <v>315</v>
      </c>
      <c r="I50" t="s">
        <v>316</v>
      </c>
      <c r="J50" t="s">
        <v>317</v>
      </c>
      <c r="K50" s="17" t="s">
        <v>347</v>
      </c>
      <c r="L50" s="17" t="s">
        <v>319</v>
      </c>
      <c r="M50" s="17" t="s">
        <v>319</v>
      </c>
      <c r="N50" t="s">
        <v>348</v>
      </c>
      <c r="O50" t="s">
        <v>88</v>
      </c>
      <c r="P50" t="s">
        <v>321</v>
      </c>
      <c r="Q50" t="s">
        <v>322</v>
      </c>
      <c r="R50">
        <v>7.4152430000000002E-3</v>
      </c>
      <c r="S50">
        <v>7.4152430000000002E-3</v>
      </c>
      <c r="T50" t="s">
        <v>311</v>
      </c>
      <c r="U50" t="s">
        <v>323</v>
      </c>
      <c r="V50" s="17" t="s">
        <v>311</v>
      </c>
      <c r="W50">
        <v>3</v>
      </c>
      <c r="X50" t="s">
        <v>311</v>
      </c>
      <c r="Y50" t="s">
        <v>324</v>
      </c>
      <c r="Z50" t="s">
        <v>311</v>
      </c>
    </row>
    <row r="51" spans="1:26" x14ac:dyDescent="0.3">
      <c r="A51">
        <v>50</v>
      </c>
      <c r="B51" s="16" t="s">
        <v>311</v>
      </c>
      <c r="C51" t="s">
        <v>345</v>
      </c>
      <c r="D51" t="s">
        <v>346</v>
      </c>
      <c r="E51" t="s">
        <v>17</v>
      </c>
      <c r="F51" t="s">
        <v>328</v>
      </c>
      <c r="G51" t="s">
        <v>315</v>
      </c>
      <c r="H51" t="s">
        <v>315</v>
      </c>
      <c r="I51" t="s">
        <v>316</v>
      </c>
      <c r="J51" t="s">
        <v>317</v>
      </c>
      <c r="K51" s="17" t="s">
        <v>347</v>
      </c>
      <c r="L51" s="17" t="s">
        <v>319</v>
      </c>
      <c r="M51" s="17" t="s">
        <v>319</v>
      </c>
      <c r="N51" t="s">
        <v>348</v>
      </c>
      <c r="O51" t="s">
        <v>88</v>
      </c>
      <c r="P51" t="s">
        <v>321</v>
      </c>
      <c r="Q51" t="s">
        <v>322</v>
      </c>
      <c r="R51">
        <v>2.5527879999999998E-3</v>
      </c>
      <c r="S51">
        <v>2.5527879999999998E-3</v>
      </c>
      <c r="T51" t="s">
        <v>311</v>
      </c>
      <c r="U51" t="s">
        <v>323</v>
      </c>
      <c r="V51" s="17" t="s">
        <v>311</v>
      </c>
      <c r="W51">
        <v>5</v>
      </c>
      <c r="X51" t="s">
        <v>311</v>
      </c>
      <c r="Y51" t="s">
        <v>324</v>
      </c>
      <c r="Z51" t="s">
        <v>311</v>
      </c>
    </row>
    <row r="52" spans="1:26" x14ac:dyDescent="0.3">
      <c r="A52">
        <v>51</v>
      </c>
      <c r="B52" s="16" t="s">
        <v>311</v>
      </c>
      <c r="C52" t="s">
        <v>345</v>
      </c>
      <c r="D52" t="s">
        <v>346</v>
      </c>
      <c r="E52" t="s">
        <v>17</v>
      </c>
      <c r="F52" t="s">
        <v>328</v>
      </c>
      <c r="G52" t="s">
        <v>315</v>
      </c>
      <c r="H52" t="s">
        <v>315</v>
      </c>
      <c r="I52" t="s">
        <v>316</v>
      </c>
      <c r="J52" t="s">
        <v>317</v>
      </c>
      <c r="K52" s="17" t="s">
        <v>347</v>
      </c>
      <c r="L52" s="17" t="s">
        <v>319</v>
      </c>
      <c r="M52" s="17" t="s">
        <v>319</v>
      </c>
      <c r="N52" t="s">
        <v>348</v>
      </c>
      <c r="O52" t="s">
        <v>88</v>
      </c>
      <c r="P52" t="s">
        <v>321</v>
      </c>
      <c r="Q52" t="s">
        <v>322</v>
      </c>
      <c r="R52">
        <v>1.077844E-2</v>
      </c>
      <c r="S52">
        <v>1.077844E-2</v>
      </c>
      <c r="T52" t="s">
        <v>311</v>
      </c>
      <c r="U52" t="s">
        <v>323</v>
      </c>
      <c r="V52" s="17" t="s">
        <v>311</v>
      </c>
      <c r="W52">
        <v>5</v>
      </c>
      <c r="X52" t="s">
        <v>311</v>
      </c>
      <c r="Y52" t="s">
        <v>324</v>
      </c>
      <c r="Z52" t="s">
        <v>311</v>
      </c>
    </row>
    <row r="53" spans="1:26" x14ac:dyDescent="0.3">
      <c r="A53">
        <v>52</v>
      </c>
      <c r="B53" s="16" t="s">
        <v>311</v>
      </c>
      <c r="C53" t="s">
        <v>345</v>
      </c>
      <c r="D53" t="s">
        <v>346</v>
      </c>
      <c r="E53" t="s">
        <v>17</v>
      </c>
      <c r="F53" t="s">
        <v>328</v>
      </c>
      <c r="G53" t="s">
        <v>315</v>
      </c>
      <c r="H53" t="s">
        <v>315</v>
      </c>
      <c r="I53" t="s">
        <v>316</v>
      </c>
      <c r="J53" t="s">
        <v>317</v>
      </c>
      <c r="K53" s="17" t="s">
        <v>347</v>
      </c>
      <c r="L53" s="17" t="s">
        <v>319</v>
      </c>
      <c r="M53" s="17" t="s">
        <v>319</v>
      </c>
      <c r="N53" t="s">
        <v>348</v>
      </c>
      <c r="O53" t="s">
        <v>88</v>
      </c>
      <c r="P53" t="s">
        <v>321</v>
      </c>
      <c r="Q53" t="s">
        <v>322</v>
      </c>
      <c r="R53">
        <v>2.9883829999999998E-3</v>
      </c>
      <c r="S53">
        <v>2.9883829999999998E-3</v>
      </c>
      <c r="T53" t="s">
        <v>311</v>
      </c>
      <c r="U53" t="s">
        <v>323</v>
      </c>
      <c r="V53" s="17" t="s">
        <v>311</v>
      </c>
      <c r="W53">
        <v>5</v>
      </c>
      <c r="X53" t="s">
        <v>311</v>
      </c>
      <c r="Y53" t="s">
        <v>324</v>
      </c>
      <c r="Z53" t="s">
        <v>311</v>
      </c>
    </row>
    <row r="54" spans="1:26" x14ac:dyDescent="0.3">
      <c r="A54">
        <v>53</v>
      </c>
      <c r="B54" s="16" t="s">
        <v>311</v>
      </c>
      <c r="C54" t="s">
        <v>345</v>
      </c>
      <c r="D54" t="s">
        <v>346</v>
      </c>
      <c r="E54" t="s">
        <v>17</v>
      </c>
      <c r="F54" t="s">
        <v>328</v>
      </c>
      <c r="G54" t="s">
        <v>315</v>
      </c>
      <c r="H54" t="s">
        <v>315</v>
      </c>
      <c r="I54" t="s">
        <v>316</v>
      </c>
      <c r="J54" t="s">
        <v>317</v>
      </c>
      <c r="K54" s="17" t="s">
        <v>347</v>
      </c>
      <c r="L54" s="17" t="s">
        <v>319</v>
      </c>
      <c r="M54" s="17" t="s">
        <v>319</v>
      </c>
      <c r="N54" t="s">
        <v>348</v>
      </c>
      <c r="O54" t="s">
        <v>88</v>
      </c>
      <c r="P54" t="s">
        <v>321</v>
      </c>
      <c r="Q54" t="s">
        <v>322</v>
      </c>
      <c r="R54">
        <v>6.9087369999999999E-3</v>
      </c>
      <c r="S54">
        <v>6.9087369999999999E-3</v>
      </c>
      <c r="T54" t="s">
        <v>311</v>
      </c>
      <c r="U54" t="s">
        <v>323</v>
      </c>
      <c r="V54" s="17" t="s">
        <v>311</v>
      </c>
      <c r="W54">
        <v>5</v>
      </c>
      <c r="X54" t="s">
        <v>311</v>
      </c>
      <c r="Y54" t="s">
        <v>324</v>
      </c>
      <c r="Z54" t="s">
        <v>311</v>
      </c>
    </row>
    <row r="55" spans="1:26" x14ac:dyDescent="0.3">
      <c r="A55">
        <v>54</v>
      </c>
      <c r="B55" s="16" t="s">
        <v>311</v>
      </c>
      <c r="C55" t="s">
        <v>345</v>
      </c>
      <c r="D55" t="s">
        <v>346</v>
      </c>
      <c r="E55" t="s">
        <v>17</v>
      </c>
      <c r="F55" t="s">
        <v>328</v>
      </c>
      <c r="G55" t="s">
        <v>315</v>
      </c>
      <c r="H55" t="s">
        <v>315</v>
      </c>
      <c r="I55" t="s">
        <v>316</v>
      </c>
      <c r="J55" t="s">
        <v>317</v>
      </c>
      <c r="K55" s="17" t="s">
        <v>347</v>
      </c>
      <c r="L55" s="17" t="s">
        <v>319</v>
      </c>
      <c r="M55" s="17" t="s">
        <v>319</v>
      </c>
      <c r="N55" t="s">
        <v>325</v>
      </c>
      <c r="O55" t="s">
        <v>325</v>
      </c>
      <c r="P55" t="s">
        <v>321</v>
      </c>
      <c r="Q55" t="s">
        <v>322</v>
      </c>
      <c r="R55">
        <v>4.3559499999999999E-4</v>
      </c>
      <c r="S55">
        <v>4.3559499999999999E-4</v>
      </c>
      <c r="T55" t="s">
        <v>311</v>
      </c>
      <c r="U55" t="s">
        <v>323</v>
      </c>
      <c r="V55" s="17" t="s">
        <v>311</v>
      </c>
      <c r="W55">
        <v>3</v>
      </c>
      <c r="X55" t="s">
        <v>311</v>
      </c>
      <c r="Y55" t="s">
        <v>324</v>
      </c>
      <c r="Z55" t="s">
        <v>311</v>
      </c>
    </row>
    <row r="56" spans="1:26" x14ac:dyDescent="0.3">
      <c r="A56">
        <v>55</v>
      </c>
      <c r="B56" s="16" t="s">
        <v>311</v>
      </c>
      <c r="C56" t="s">
        <v>345</v>
      </c>
      <c r="D56" t="s">
        <v>346</v>
      </c>
      <c r="E56" t="s">
        <v>17</v>
      </c>
      <c r="F56" t="s">
        <v>328</v>
      </c>
      <c r="G56" t="s">
        <v>315</v>
      </c>
      <c r="H56" t="s">
        <v>315</v>
      </c>
      <c r="I56" t="s">
        <v>316</v>
      </c>
      <c r="J56" t="s">
        <v>317</v>
      </c>
      <c r="K56" s="17" t="s">
        <v>347</v>
      </c>
      <c r="L56" s="17" t="s">
        <v>319</v>
      </c>
      <c r="M56" s="17" t="s">
        <v>319</v>
      </c>
      <c r="N56" t="s">
        <v>349</v>
      </c>
      <c r="O56" t="s">
        <v>88</v>
      </c>
      <c r="P56" t="s">
        <v>321</v>
      </c>
      <c r="Q56" t="s">
        <v>322</v>
      </c>
      <c r="R56">
        <v>1.11431E-4</v>
      </c>
      <c r="S56">
        <v>1.11431E-4</v>
      </c>
      <c r="T56" t="s">
        <v>311</v>
      </c>
      <c r="U56" t="s">
        <v>323</v>
      </c>
      <c r="V56" s="17" t="s">
        <v>311</v>
      </c>
      <c r="W56">
        <v>3</v>
      </c>
      <c r="X56" t="s">
        <v>311</v>
      </c>
      <c r="Y56" t="s">
        <v>324</v>
      </c>
      <c r="Z56" t="s">
        <v>311</v>
      </c>
    </row>
    <row r="57" spans="1:26" x14ac:dyDescent="0.3">
      <c r="A57">
        <v>56</v>
      </c>
      <c r="B57" s="16" t="s">
        <v>311</v>
      </c>
      <c r="C57" t="s">
        <v>345</v>
      </c>
      <c r="D57" t="s">
        <v>346</v>
      </c>
      <c r="E57" t="s">
        <v>17</v>
      </c>
      <c r="F57" t="s">
        <v>328</v>
      </c>
      <c r="G57" t="s">
        <v>315</v>
      </c>
      <c r="H57" t="s">
        <v>315</v>
      </c>
      <c r="I57" t="s">
        <v>316</v>
      </c>
      <c r="J57" t="s">
        <v>317</v>
      </c>
      <c r="K57" s="17" t="s">
        <v>347</v>
      </c>
      <c r="L57" s="17" t="s">
        <v>319</v>
      </c>
      <c r="M57" s="17" t="s">
        <v>319</v>
      </c>
      <c r="N57" t="s">
        <v>349</v>
      </c>
      <c r="O57" t="s">
        <v>88</v>
      </c>
      <c r="P57" t="s">
        <v>321</v>
      </c>
      <c r="Q57" t="s">
        <v>322</v>
      </c>
      <c r="R57">
        <v>2.9377299999999999E-4</v>
      </c>
      <c r="S57">
        <v>2.9377299999999999E-4</v>
      </c>
      <c r="T57" t="s">
        <v>311</v>
      </c>
      <c r="U57" t="s">
        <v>323</v>
      </c>
      <c r="V57" s="17" t="s">
        <v>311</v>
      </c>
      <c r="W57">
        <v>5</v>
      </c>
      <c r="X57" t="s">
        <v>311</v>
      </c>
      <c r="Y57" t="s">
        <v>324</v>
      </c>
      <c r="Z57" t="s">
        <v>311</v>
      </c>
    </row>
    <row r="58" spans="1:26" x14ac:dyDescent="0.3">
      <c r="A58">
        <v>57</v>
      </c>
      <c r="B58" s="16" t="s">
        <v>311</v>
      </c>
      <c r="C58" t="s">
        <v>345</v>
      </c>
      <c r="D58" t="s">
        <v>346</v>
      </c>
      <c r="E58" t="s">
        <v>17</v>
      </c>
      <c r="F58" t="s">
        <v>328</v>
      </c>
      <c r="G58" t="s">
        <v>315</v>
      </c>
      <c r="H58" t="s">
        <v>315</v>
      </c>
      <c r="I58" t="s">
        <v>316</v>
      </c>
      <c r="J58" t="s">
        <v>317</v>
      </c>
      <c r="K58" s="17" t="s">
        <v>347</v>
      </c>
      <c r="L58" s="17" t="s">
        <v>319</v>
      </c>
      <c r="M58" s="17" t="s">
        <v>319</v>
      </c>
      <c r="N58" t="s">
        <v>349</v>
      </c>
      <c r="O58" t="s">
        <v>88</v>
      </c>
      <c r="P58" t="s">
        <v>321</v>
      </c>
      <c r="Q58" t="s">
        <v>322</v>
      </c>
      <c r="R58">
        <v>6.8884800000000004E-4</v>
      </c>
      <c r="S58">
        <v>6.8884800000000004E-4</v>
      </c>
      <c r="T58" t="s">
        <v>311</v>
      </c>
      <c r="U58" t="s">
        <v>323</v>
      </c>
      <c r="V58" s="17" t="s">
        <v>311</v>
      </c>
      <c r="W58">
        <v>5</v>
      </c>
      <c r="X58" t="s">
        <v>311</v>
      </c>
      <c r="Y58" t="s">
        <v>324</v>
      </c>
      <c r="Z58" t="s">
        <v>311</v>
      </c>
    </row>
    <row r="59" spans="1:26" x14ac:dyDescent="0.3">
      <c r="A59">
        <v>58</v>
      </c>
      <c r="B59" s="16" t="s">
        <v>311</v>
      </c>
      <c r="C59" t="s">
        <v>345</v>
      </c>
      <c r="D59" t="s">
        <v>346</v>
      </c>
      <c r="E59" t="s">
        <v>17</v>
      </c>
      <c r="F59" t="s">
        <v>328</v>
      </c>
      <c r="G59" t="s">
        <v>315</v>
      </c>
      <c r="H59" t="s">
        <v>315</v>
      </c>
      <c r="I59" t="s">
        <v>316</v>
      </c>
      <c r="J59" t="s">
        <v>317</v>
      </c>
      <c r="K59" s="17" t="s">
        <v>347</v>
      </c>
      <c r="L59" s="17" t="s">
        <v>319</v>
      </c>
      <c r="M59" s="17" t="s">
        <v>319</v>
      </c>
      <c r="N59" t="s">
        <v>349</v>
      </c>
      <c r="O59" t="s">
        <v>88</v>
      </c>
      <c r="P59" t="s">
        <v>321</v>
      </c>
      <c r="Q59" t="s">
        <v>322</v>
      </c>
      <c r="R59">
        <v>3.3429400000000001E-4</v>
      </c>
      <c r="S59">
        <v>3.3429400000000001E-4</v>
      </c>
      <c r="T59" t="s">
        <v>311</v>
      </c>
      <c r="U59" t="s">
        <v>323</v>
      </c>
      <c r="V59" s="17" t="s">
        <v>311</v>
      </c>
      <c r="W59">
        <v>5</v>
      </c>
      <c r="X59" t="s">
        <v>311</v>
      </c>
      <c r="Y59" t="s">
        <v>324</v>
      </c>
      <c r="Z59" t="s">
        <v>311</v>
      </c>
    </row>
    <row r="60" spans="1:26" x14ac:dyDescent="0.3">
      <c r="A60">
        <v>59</v>
      </c>
      <c r="B60" s="16" t="s">
        <v>311</v>
      </c>
      <c r="C60" t="s">
        <v>345</v>
      </c>
      <c r="D60" t="s">
        <v>346</v>
      </c>
      <c r="E60" t="s">
        <v>17</v>
      </c>
      <c r="F60" t="s">
        <v>328</v>
      </c>
      <c r="G60" t="s">
        <v>315</v>
      </c>
      <c r="H60" t="s">
        <v>315</v>
      </c>
      <c r="I60" t="s">
        <v>316</v>
      </c>
      <c r="J60" t="s">
        <v>317</v>
      </c>
      <c r="K60" s="17" t="s">
        <v>347</v>
      </c>
      <c r="L60" s="17" t="s">
        <v>319</v>
      </c>
      <c r="M60" s="17" t="s">
        <v>319</v>
      </c>
      <c r="N60" t="s">
        <v>349</v>
      </c>
      <c r="O60" t="s">
        <v>88</v>
      </c>
      <c r="P60" t="s">
        <v>321</v>
      </c>
      <c r="Q60" t="s">
        <v>322</v>
      </c>
      <c r="R60">
        <v>2.2286199999999999E-4</v>
      </c>
      <c r="S60">
        <v>2.2286199999999999E-4</v>
      </c>
      <c r="T60" t="s">
        <v>311</v>
      </c>
      <c r="U60" t="s">
        <v>323</v>
      </c>
      <c r="V60" s="17" t="s">
        <v>311</v>
      </c>
      <c r="W60">
        <v>5</v>
      </c>
      <c r="X60" t="s">
        <v>311</v>
      </c>
      <c r="Y60" t="s">
        <v>324</v>
      </c>
      <c r="Z60" t="s">
        <v>311</v>
      </c>
    </row>
    <row r="61" spans="1:26" x14ac:dyDescent="0.3">
      <c r="A61">
        <v>60</v>
      </c>
      <c r="B61" s="16" t="s">
        <v>311</v>
      </c>
      <c r="C61" t="s">
        <v>345</v>
      </c>
      <c r="D61" t="s">
        <v>346</v>
      </c>
      <c r="E61" t="s">
        <v>17</v>
      </c>
      <c r="F61" t="s">
        <v>328</v>
      </c>
      <c r="G61" t="s">
        <v>315</v>
      </c>
      <c r="H61" t="s">
        <v>315</v>
      </c>
      <c r="I61" t="s">
        <v>316</v>
      </c>
      <c r="J61" t="s">
        <v>317</v>
      </c>
      <c r="K61" s="17" t="s">
        <v>347</v>
      </c>
      <c r="L61" s="17" t="s">
        <v>319</v>
      </c>
      <c r="M61" s="17" t="s">
        <v>319</v>
      </c>
      <c r="N61" t="s">
        <v>349</v>
      </c>
      <c r="O61" t="s">
        <v>88</v>
      </c>
      <c r="P61" t="s">
        <v>321</v>
      </c>
      <c r="Q61" t="s">
        <v>322</v>
      </c>
      <c r="R61">
        <v>0</v>
      </c>
      <c r="S61">
        <v>0</v>
      </c>
      <c r="T61" t="s">
        <v>311</v>
      </c>
      <c r="U61" t="s">
        <v>323</v>
      </c>
      <c r="V61" s="17" t="s">
        <v>311</v>
      </c>
      <c r="W61">
        <v>3</v>
      </c>
      <c r="X61" t="s">
        <v>311</v>
      </c>
      <c r="Y61" t="s">
        <v>324</v>
      </c>
      <c r="Z61" t="s">
        <v>311</v>
      </c>
    </row>
    <row r="62" spans="1:26" x14ac:dyDescent="0.3">
      <c r="A62">
        <v>61</v>
      </c>
      <c r="B62" s="16" t="s">
        <v>311</v>
      </c>
      <c r="C62" t="s">
        <v>345</v>
      </c>
      <c r="D62" t="s">
        <v>346</v>
      </c>
      <c r="E62" t="s">
        <v>17</v>
      </c>
      <c r="F62" t="s">
        <v>328</v>
      </c>
      <c r="G62" t="s">
        <v>315</v>
      </c>
      <c r="H62" t="s">
        <v>315</v>
      </c>
      <c r="I62" t="s">
        <v>316</v>
      </c>
      <c r="J62" t="s">
        <v>317</v>
      </c>
      <c r="K62" s="17" t="s">
        <v>347</v>
      </c>
      <c r="L62" s="17" t="s">
        <v>319</v>
      </c>
      <c r="M62" s="17" t="s">
        <v>319</v>
      </c>
      <c r="N62" t="s">
        <v>349</v>
      </c>
      <c r="O62" t="s">
        <v>88</v>
      </c>
      <c r="P62" t="s">
        <v>321</v>
      </c>
      <c r="Q62" t="s">
        <v>322</v>
      </c>
      <c r="R62">
        <v>1.62082E-4</v>
      </c>
      <c r="S62">
        <v>1.62082E-4</v>
      </c>
      <c r="T62" t="s">
        <v>311</v>
      </c>
      <c r="U62" t="s">
        <v>323</v>
      </c>
      <c r="V62" s="17" t="s">
        <v>311</v>
      </c>
      <c r="W62">
        <v>3</v>
      </c>
      <c r="X62" t="s">
        <v>311</v>
      </c>
      <c r="Y62" t="s">
        <v>324</v>
      </c>
      <c r="Z62" t="s">
        <v>311</v>
      </c>
    </row>
    <row r="63" spans="1:26" x14ac:dyDescent="0.3">
      <c r="A63">
        <v>62</v>
      </c>
      <c r="B63" s="16" t="s">
        <v>311</v>
      </c>
      <c r="C63" t="s">
        <v>345</v>
      </c>
      <c r="D63" t="s">
        <v>346</v>
      </c>
      <c r="E63" t="s">
        <v>17</v>
      </c>
      <c r="F63" t="s">
        <v>328</v>
      </c>
      <c r="G63" t="s">
        <v>315</v>
      </c>
      <c r="H63" t="s">
        <v>315</v>
      </c>
      <c r="I63" t="s">
        <v>316</v>
      </c>
      <c r="J63" t="s">
        <v>317</v>
      </c>
      <c r="K63" s="17" t="s">
        <v>347</v>
      </c>
      <c r="L63" s="17" t="s">
        <v>319</v>
      </c>
      <c r="M63" s="17" t="s">
        <v>319</v>
      </c>
      <c r="N63" t="s">
        <v>349</v>
      </c>
      <c r="O63" t="s">
        <v>88</v>
      </c>
      <c r="P63" t="s">
        <v>321</v>
      </c>
      <c r="Q63" t="s">
        <v>322</v>
      </c>
      <c r="R63">
        <v>3.9507399999999998E-4</v>
      </c>
      <c r="S63">
        <v>3.9507399999999998E-4</v>
      </c>
      <c r="T63" t="s">
        <v>311</v>
      </c>
      <c r="U63" t="s">
        <v>323</v>
      </c>
      <c r="V63" s="17" t="s">
        <v>311</v>
      </c>
      <c r="W63">
        <v>5</v>
      </c>
      <c r="X63" t="s">
        <v>311</v>
      </c>
      <c r="Y63" t="s">
        <v>324</v>
      </c>
      <c r="Z63" t="s">
        <v>311</v>
      </c>
    </row>
    <row r="64" spans="1:26" x14ac:dyDescent="0.3">
      <c r="A64">
        <v>63</v>
      </c>
      <c r="B64" s="16" t="s">
        <v>311</v>
      </c>
      <c r="C64" t="s">
        <v>345</v>
      </c>
      <c r="D64" t="s">
        <v>346</v>
      </c>
      <c r="E64" t="s">
        <v>17</v>
      </c>
      <c r="F64" t="s">
        <v>328</v>
      </c>
      <c r="G64" t="s">
        <v>315</v>
      </c>
      <c r="H64" t="s">
        <v>315</v>
      </c>
      <c r="I64" t="s">
        <v>316</v>
      </c>
      <c r="J64" t="s">
        <v>317</v>
      </c>
      <c r="K64" s="17" t="s">
        <v>347</v>
      </c>
      <c r="L64" s="17" t="s">
        <v>319</v>
      </c>
      <c r="M64" s="17" t="s">
        <v>319</v>
      </c>
      <c r="N64" t="s">
        <v>349</v>
      </c>
      <c r="O64" t="s">
        <v>88</v>
      </c>
      <c r="P64" t="s">
        <v>321</v>
      </c>
      <c r="Q64" t="s">
        <v>322</v>
      </c>
      <c r="R64">
        <v>7.5975800000000003E-4</v>
      </c>
      <c r="S64">
        <v>7.5975800000000003E-4</v>
      </c>
      <c r="T64" t="s">
        <v>311</v>
      </c>
      <c r="U64" t="s">
        <v>323</v>
      </c>
      <c r="V64" s="17" t="s">
        <v>311</v>
      </c>
      <c r="W64">
        <v>5</v>
      </c>
      <c r="X64" t="s">
        <v>311</v>
      </c>
      <c r="Y64" t="s">
        <v>324</v>
      </c>
      <c r="Z64" t="s">
        <v>311</v>
      </c>
    </row>
    <row r="65" spans="1:26" x14ac:dyDescent="0.3">
      <c r="A65">
        <v>64</v>
      </c>
      <c r="B65" s="16" t="s">
        <v>311</v>
      </c>
      <c r="C65" t="s">
        <v>345</v>
      </c>
      <c r="D65" t="s">
        <v>346</v>
      </c>
      <c r="E65" t="s">
        <v>17</v>
      </c>
      <c r="F65" t="s">
        <v>328</v>
      </c>
      <c r="G65" t="s">
        <v>315</v>
      </c>
      <c r="H65" t="s">
        <v>315</v>
      </c>
      <c r="I65" t="s">
        <v>316</v>
      </c>
      <c r="J65" t="s">
        <v>317</v>
      </c>
      <c r="K65" s="17" t="s">
        <v>347</v>
      </c>
      <c r="L65" s="17" t="s">
        <v>319</v>
      </c>
      <c r="M65" s="17" t="s">
        <v>319</v>
      </c>
      <c r="N65" t="s">
        <v>349</v>
      </c>
      <c r="O65" t="s">
        <v>88</v>
      </c>
      <c r="P65" t="s">
        <v>321</v>
      </c>
      <c r="Q65" t="s">
        <v>322</v>
      </c>
      <c r="R65">
        <v>3.04E-5</v>
      </c>
      <c r="S65">
        <v>3.04E-5</v>
      </c>
      <c r="T65" t="s">
        <v>311</v>
      </c>
      <c r="U65" t="s">
        <v>323</v>
      </c>
      <c r="V65" s="17" t="s">
        <v>311</v>
      </c>
      <c r="W65">
        <v>5</v>
      </c>
      <c r="X65" t="s">
        <v>311</v>
      </c>
      <c r="Y65" t="s">
        <v>324</v>
      </c>
      <c r="Z65" t="s">
        <v>311</v>
      </c>
    </row>
    <row r="66" spans="1:26" x14ac:dyDescent="0.3">
      <c r="A66">
        <v>65</v>
      </c>
      <c r="B66" s="16" t="s">
        <v>311</v>
      </c>
      <c r="C66" t="s">
        <v>345</v>
      </c>
      <c r="D66" t="s">
        <v>346</v>
      </c>
      <c r="E66" t="s">
        <v>17</v>
      </c>
      <c r="F66" t="s">
        <v>328</v>
      </c>
      <c r="G66" t="s">
        <v>315</v>
      </c>
      <c r="H66" t="s">
        <v>315</v>
      </c>
      <c r="I66" t="s">
        <v>316</v>
      </c>
      <c r="J66" t="s">
        <v>317</v>
      </c>
      <c r="K66" s="17" t="s">
        <v>347</v>
      </c>
      <c r="L66" s="17" t="s">
        <v>319</v>
      </c>
      <c r="M66" s="17" t="s">
        <v>319</v>
      </c>
      <c r="N66" t="s">
        <v>349</v>
      </c>
      <c r="O66" t="s">
        <v>88</v>
      </c>
      <c r="P66" t="s">
        <v>321</v>
      </c>
      <c r="Q66" t="s">
        <v>322</v>
      </c>
      <c r="R66">
        <v>1.5195200000000001E-4</v>
      </c>
      <c r="S66">
        <v>1.5195200000000001E-4</v>
      </c>
      <c r="T66" t="s">
        <v>311</v>
      </c>
      <c r="U66" t="s">
        <v>323</v>
      </c>
      <c r="V66" s="17" t="s">
        <v>311</v>
      </c>
      <c r="W66">
        <v>5</v>
      </c>
      <c r="X66" t="s">
        <v>311</v>
      </c>
      <c r="Y66" t="s">
        <v>324</v>
      </c>
      <c r="Z66" t="s">
        <v>311</v>
      </c>
    </row>
    <row r="67" spans="1:26" x14ac:dyDescent="0.3">
      <c r="A67">
        <v>66</v>
      </c>
      <c r="B67" s="16" t="s">
        <v>311</v>
      </c>
      <c r="C67" t="s">
        <v>345</v>
      </c>
      <c r="D67" t="s">
        <v>346</v>
      </c>
      <c r="E67" t="s">
        <v>17</v>
      </c>
      <c r="F67" t="s">
        <v>328</v>
      </c>
      <c r="G67" t="s">
        <v>315</v>
      </c>
      <c r="H67" t="s">
        <v>315</v>
      </c>
      <c r="I67" t="s">
        <v>316</v>
      </c>
      <c r="J67" t="s">
        <v>317</v>
      </c>
      <c r="K67" s="17" t="s">
        <v>347</v>
      </c>
      <c r="L67" s="17" t="s">
        <v>319</v>
      </c>
      <c r="M67" s="17" t="s">
        <v>319</v>
      </c>
      <c r="N67" t="s">
        <v>349</v>
      </c>
      <c r="O67" t="s">
        <v>88</v>
      </c>
      <c r="P67" t="s">
        <v>321</v>
      </c>
      <c r="Q67" t="s">
        <v>322</v>
      </c>
      <c r="R67">
        <v>3.5455399999999998E-4</v>
      </c>
      <c r="S67">
        <v>3.5455399999999998E-4</v>
      </c>
      <c r="T67" t="s">
        <v>311</v>
      </c>
      <c r="U67" t="s">
        <v>323</v>
      </c>
      <c r="V67" s="17" t="s">
        <v>311</v>
      </c>
      <c r="W67">
        <v>3</v>
      </c>
      <c r="X67" t="s">
        <v>311</v>
      </c>
      <c r="Y67" t="s">
        <v>324</v>
      </c>
      <c r="Z67" t="s">
        <v>311</v>
      </c>
    </row>
    <row r="68" spans="1:26" x14ac:dyDescent="0.3">
      <c r="A68">
        <v>67</v>
      </c>
      <c r="B68" s="16" t="s">
        <v>311</v>
      </c>
      <c r="C68" t="s">
        <v>345</v>
      </c>
      <c r="D68" t="s">
        <v>346</v>
      </c>
      <c r="E68" t="s">
        <v>17</v>
      </c>
      <c r="F68" t="s">
        <v>328</v>
      </c>
      <c r="G68" t="s">
        <v>315</v>
      </c>
      <c r="H68" t="s">
        <v>315</v>
      </c>
      <c r="I68" t="s">
        <v>316</v>
      </c>
      <c r="J68" t="s">
        <v>317</v>
      </c>
      <c r="K68" s="17" t="s">
        <v>347</v>
      </c>
      <c r="L68" s="17" t="s">
        <v>319</v>
      </c>
      <c r="M68" s="17" t="s">
        <v>319</v>
      </c>
      <c r="N68" t="s">
        <v>349</v>
      </c>
      <c r="O68" t="s">
        <v>88</v>
      </c>
      <c r="P68" t="s">
        <v>321</v>
      </c>
      <c r="Q68" t="s">
        <v>322</v>
      </c>
      <c r="R68">
        <v>5.4702600000000004E-4</v>
      </c>
      <c r="S68">
        <v>5.4702600000000004E-4</v>
      </c>
      <c r="T68" t="s">
        <v>311</v>
      </c>
      <c r="U68" t="s">
        <v>323</v>
      </c>
      <c r="V68" s="17" t="s">
        <v>311</v>
      </c>
      <c r="W68">
        <v>3</v>
      </c>
      <c r="X68" t="s">
        <v>311</v>
      </c>
      <c r="Y68" t="s">
        <v>324</v>
      </c>
      <c r="Z68" t="s">
        <v>311</v>
      </c>
    </row>
    <row r="69" spans="1:26" x14ac:dyDescent="0.3">
      <c r="A69">
        <v>68</v>
      </c>
      <c r="B69" s="16" t="s">
        <v>311</v>
      </c>
      <c r="C69" t="s">
        <v>345</v>
      </c>
      <c r="D69" t="s">
        <v>346</v>
      </c>
      <c r="E69" t="s">
        <v>17</v>
      </c>
      <c r="F69" t="s">
        <v>328</v>
      </c>
      <c r="G69" t="s">
        <v>315</v>
      </c>
      <c r="H69" t="s">
        <v>315</v>
      </c>
      <c r="I69" t="s">
        <v>316</v>
      </c>
      <c r="J69" t="s">
        <v>317</v>
      </c>
      <c r="K69" s="17" t="s">
        <v>347</v>
      </c>
      <c r="L69" s="17" t="s">
        <v>319</v>
      </c>
      <c r="M69" s="17" t="s">
        <v>319</v>
      </c>
      <c r="N69" t="s">
        <v>349</v>
      </c>
      <c r="O69" t="s">
        <v>88</v>
      </c>
      <c r="P69" t="s">
        <v>321</v>
      </c>
      <c r="Q69" t="s">
        <v>322</v>
      </c>
      <c r="R69">
        <v>9.2184000000000005E-4</v>
      </c>
      <c r="S69">
        <v>9.2184000000000005E-4</v>
      </c>
      <c r="T69" t="s">
        <v>311</v>
      </c>
      <c r="U69" t="s">
        <v>323</v>
      </c>
      <c r="V69" s="17" t="s">
        <v>311</v>
      </c>
      <c r="W69">
        <v>5</v>
      </c>
      <c r="X69" t="s">
        <v>311</v>
      </c>
      <c r="Y69" t="s">
        <v>324</v>
      </c>
      <c r="Z69" t="s">
        <v>311</v>
      </c>
    </row>
    <row r="70" spans="1:26" x14ac:dyDescent="0.3">
      <c r="A70">
        <v>69</v>
      </c>
      <c r="B70" s="16" t="s">
        <v>311</v>
      </c>
      <c r="C70" t="s">
        <v>345</v>
      </c>
      <c r="D70" t="s">
        <v>346</v>
      </c>
      <c r="E70" t="s">
        <v>17</v>
      </c>
      <c r="F70" t="s">
        <v>328</v>
      </c>
      <c r="G70" t="s">
        <v>315</v>
      </c>
      <c r="H70" t="s">
        <v>315</v>
      </c>
      <c r="I70" t="s">
        <v>316</v>
      </c>
      <c r="J70" t="s">
        <v>317</v>
      </c>
      <c r="K70" s="17" t="s">
        <v>347</v>
      </c>
      <c r="L70" s="17" t="s">
        <v>319</v>
      </c>
      <c r="M70" s="17" t="s">
        <v>319</v>
      </c>
      <c r="N70" t="s">
        <v>349</v>
      </c>
      <c r="O70" t="s">
        <v>88</v>
      </c>
      <c r="P70" t="s">
        <v>321</v>
      </c>
      <c r="Q70" t="s">
        <v>322</v>
      </c>
      <c r="R70">
        <v>9.8262099999999993E-4</v>
      </c>
      <c r="S70">
        <v>9.8262099999999993E-4</v>
      </c>
      <c r="T70" t="s">
        <v>311</v>
      </c>
      <c r="U70" t="s">
        <v>323</v>
      </c>
      <c r="V70" s="17" t="s">
        <v>311</v>
      </c>
      <c r="W70">
        <v>5</v>
      </c>
      <c r="X70" t="s">
        <v>311</v>
      </c>
      <c r="Y70" t="s">
        <v>324</v>
      </c>
      <c r="Z70" t="s">
        <v>311</v>
      </c>
    </row>
    <row r="71" spans="1:26" x14ac:dyDescent="0.3">
      <c r="A71">
        <v>70</v>
      </c>
      <c r="B71" s="16" t="s">
        <v>311</v>
      </c>
      <c r="C71" t="s">
        <v>345</v>
      </c>
      <c r="D71" t="s">
        <v>346</v>
      </c>
      <c r="E71" t="s">
        <v>17</v>
      </c>
      <c r="F71" t="s">
        <v>328</v>
      </c>
      <c r="G71" t="s">
        <v>315</v>
      </c>
      <c r="H71" t="s">
        <v>315</v>
      </c>
      <c r="I71" t="s">
        <v>316</v>
      </c>
      <c r="J71" t="s">
        <v>317</v>
      </c>
      <c r="K71" s="17" t="s">
        <v>347</v>
      </c>
      <c r="L71" s="17" t="s">
        <v>319</v>
      </c>
      <c r="M71" s="17" t="s">
        <v>319</v>
      </c>
      <c r="N71" t="s">
        <v>349</v>
      </c>
      <c r="O71" t="s">
        <v>88</v>
      </c>
      <c r="P71" t="s">
        <v>321</v>
      </c>
      <c r="Q71" t="s">
        <v>322</v>
      </c>
      <c r="R71">
        <v>0</v>
      </c>
      <c r="S71">
        <v>0</v>
      </c>
      <c r="T71" t="s">
        <v>311</v>
      </c>
      <c r="U71" t="s">
        <v>323</v>
      </c>
      <c r="V71" s="17" t="s">
        <v>311</v>
      </c>
      <c r="W71">
        <v>5</v>
      </c>
      <c r="X71" t="s">
        <v>311</v>
      </c>
      <c r="Y71" t="s">
        <v>324</v>
      </c>
      <c r="Z71" t="s">
        <v>311</v>
      </c>
    </row>
    <row r="72" spans="1:26" x14ac:dyDescent="0.3">
      <c r="A72">
        <v>71</v>
      </c>
      <c r="B72" s="16" t="s">
        <v>311</v>
      </c>
      <c r="C72" t="s">
        <v>345</v>
      </c>
      <c r="D72" t="s">
        <v>346</v>
      </c>
      <c r="E72" t="s">
        <v>17</v>
      </c>
      <c r="F72" t="s">
        <v>328</v>
      </c>
      <c r="G72" t="s">
        <v>315</v>
      </c>
      <c r="H72" t="s">
        <v>315</v>
      </c>
      <c r="I72" t="s">
        <v>316</v>
      </c>
      <c r="J72" t="s">
        <v>317</v>
      </c>
      <c r="K72" s="17" t="s">
        <v>347</v>
      </c>
      <c r="L72" s="17" t="s">
        <v>319</v>
      </c>
      <c r="M72" s="17" t="s">
        <v>319</v>
      </c>
      <c r="N72" t="s">
        <v>349</v>
      </c>
      <c r="O72" t="s">
        <v>88</v>
      </c>
      <c r="P72" t="s">
        <v>321</v>
      </c>
      <c r="Q72" t="s">
        <v>322</v>
      </c>
      <c r="R72">
        <v>0</v>
      </c>
      <c r="S72">
        <v>0</v>
      </c>
      <c r="T72" t="s">
        <v>311</v>
      </c>
      <c r="U72" t="s">
        <v>323</v>
      </c>
      <c r="V72" s="17" t="s">
        <v>311</v>
      </c>
      <c r="W72">
        <v>5</v>
      </c>
      <c r="X72" t="s">
        <v>311</v>
      </c>
      <c r="Y72" t="s">
        <v>324</v>
      </c>
      <c r="Z72" t="s">
        <v>311</v>
      </c>
    </row>
    <row r="73" spans="1:26" x14ac:dyDescent="0.3">
      <c r="A73">
        <v>72</v>
      </c>
      <c r="B73" s="16" t="s">
        <v>311</v>
      </c>
      <c r="C73" t="s">
        <v>350</v>
      </c>
      <c r="D73" t="s">
        <v>346</v>
      </c>
      <c r="E73" t="s">
        <v>17</v>
      </c>
      <c r="F73" t="s">
        <v>328</v>
      </c>
      <c r="G73" t="s">
        <v>315</v>
      </c>
      <c r="H73" t="s">
        <v>315</v>
      </c>
      <c r="I73" t="s">
        <v>316</v>
      </c>
      <c r="J73" t="s">
        <v>317</v>
      </c>
      <c r="K73" s="18" t="s">
        <v>351</v>
      </c>
      <c r="L73" s="17" t="s">
        <v>319</v>
      </c>
      <c r="M73" s="17" t="s">
        <v>319</v>
      </c>
      <c r="N73" t="s">
        <v>348</v>
      </c>
      <c r="O73" t="s">
        <v>88</v>
      </c>
      <c r="P73" t="s">
        <v>321</v>
      </c>
      <c r="Q73" t="s">
        <v>322</v>
      </c>
      <c r="R73">
        <v>2.5887499999999999E-4</v>
      </c>
      <c r="S73">
        <v>2.5887499999999999E-4</v>
      </c>
      <c r="T73" t="s">
        <v>311</v>
      </c>
      <c r="U73" t="s">
        <v>323</v>
      </c>
      <c r="V73" s="17" t="s">
        <v>311</v>
      </c>
      <c r="W73">
        <v>15</v>
      </c>
      <c r="X73" t="s">
        <v>311</v>
      </c>
      <c r="Y73" t="s">
        <v>324</v>
      </c>
      <c r="Z73" t="s">
        <v>311</v>
      </c>
    </row>
    <row r="74" spans="1:26" x14ac:dyDescent="0.3">
      <c r="A74">
        <v>73</v>
      </c>
      <c r="B74" s="16" t="s">
        <v>311</v>
      </c>
      <c r="C74" t="s">
        <v>350</v>
      </c>
      <c r="D74" t="s">
        <v>346</v>
      </c>
      <c r="E74" t="s">
        <v>17</v>
      </c>
      <c r="F74" t="s">
        <v>328</v>
      </c>
      <c r="G74" t="s">
        <v>315</v>
      </c>
      <c r="H74" t="s">
        <v>315</v>
      </c>
      <c r="I74" t="s">
        <v>316</v>
      </c>
      <c r="J74" t="s">
        <v>317</v>
      </c>
      <c r="K74" s="18" t="s">
        <v>351</v>
      </c>
      <c r="L74" s="17" t="s">
        <v>319</v>
      </c>
      <c r="M74" s="17" t="s">
        <v>319</v>
      </c>
      <c r="N74" t="s">
        <v>348</v>
      </c>
      <c r="O74" t="s">
        <v>88</v>
      </c>
      <c r="P74" t="s">
        <v>321</v>
      </c>
      <c r="Q74" t="s">
        <v>322</v>
      </c>
      <c r="R74">
        <v>4.17596E-4</v>
      </c>
      <c r="S74">
        <v>4.17596E-4</v>
      </c>
      <c r="T74" t="s">
        <v>311</v>
      </c>
      <c r="U74" t="s">
        <v>323</v>
      </c>
      <c r="V74" s="17" t="s">
        <v>311</v>
      </c>
      <c r="W74">
        <v>15</v>
      </c>
      <c r="X74" t="s">
        <v>311</v>
      </c>
      <c r="Y74" t="s">
        <v>324</v>
      </c>
      <c r="Z74" t="s">
        <v>311</v>
      </c>
    </row>
    <row r="75" spans="1:26" x14ac:dyDescent="0.3">
      <c r="A75">
        <v>74</v>
      </c>
      <c r="B75" s="16" t="s">
        <v>311</v>
      </c>
      <c r="C75" t="s">
        <v>350</v>
      </c>
      <c r="D75" t="s">
        <v>346</v>
      </c>
      <c r="E75" t="s">
        <v>17</v>
      </c>
      <c r="F75" t="s">
        <v>328</v>
      </c>
      <c r="G75" t="s">
        <v>315</v>
      </c>
      <c r="H75" t="s">
        <v>315</v>
      </c>
      <c r="I75" t="s">
        <v>316</v>
      </c>
      <c r="J75" t="s">
        <v>317</v>
      </c>
      <c r="K75" s="18" t="s">
        <v>351</v>
      </c>
      <c r="L75" s="17" t="s">
        <v>319</v>
      </c>
      <c r="M75" s="17" t="s">
        <v>319</v>
      </c>
      <c r="N75" t="s">
        <v>348</v>
      </c>
      <c r="O75" t="s">
        <v>88</v>
      </c>
      <c r="P75" t="s">
        <v>321</v>
      </c>
      <c r="Q75" t="s">
        <v>322</v>
      </c>
      <c r="R75">
        <v>7.4900000000000005E-5</v>
      </c>
      <c r="S75">
        <v>7.4900000000000005E-5</v>
      </c>
      <c r="T75" t="s">
        <v>311</v>
      </c>
      <c r="U75" t="s">
        <v>323</v>
      </c>
      <c r="V75" s="17" t="s">
        <v>311</v>
      </c>
      <c r="W75">
        <v>15</v>
      </c>
      <c r="X75" t="s">
        <v>311</v>
      </c>
      <c r="Y75" t="s">
        <v>324</v>
      </c>
      <c r="Z75" t="s">
        <v>311</v>
      </c>
    </row>
    <row r="76" spans="1:26" x14ac:dyDescent="0.3">
      <c r="A76">
        <v>75</v>
      </c>
      <c r="B76" s="16" t="s">
        <v>311</v>
      </c>
      <c r="C76" t="s">
        <v>350</v>
      </c>
      <c r="D76" t="s">
        <v>346</v>
      </c>
      <c r="E76" t="s">
        <v>17</v>
      </c>
      <c r="F76" t="s">
        <v>328</v>
      </c>
      <c r="G76" t="s">
        <v>315</v>
      </c>
      <c r="H76" t="s">
        <v>315</v>
      </c>
      <c r="I76" t="s">
        <v>316</v>
      </c>
      <c r="J76" t="s">
        <v>317</v>
      </c>
      <c r="K76" s="18" t="s">
        <v>351</v>
      </c>
      <c r="L76" s="17" t="s">
        <v>319</v>
      </c>
      <c r="M76" s="17" t="s">
        <v>319</v>
      </c>
      <c r="N76" t="s">
        <v>348</v>
      </c>
      <c r="O76" t="s">
        <v>88</v>
      </c>
      <c r="P76" t="s">
        <v>321</v>
      </c>
      <c r="Q76" t="s">
        <v>322</v>
      </c>
      <c r="R76">
        <v>1.85995E-4</v>
      </c>
      <c r="S76">
        <v>1.85995E-4</v>
      </c>
      <c r="T76" t="s">
        <v>311</v>
      </c>
      <c r="U76" t="s">
        <v>323</v>
      </c>
      <c r="V76" s="17" t="s">
        <v>311</v>
      </c>
      <c r="W76">
        <v>15</v>
      </c>
      <c r="X76" t="s">
        <v>311</v>
      </c>
      <c r="Y76" t="s">
        <v>324</v>
      </c>
      <c r="Z76" t="s">
        <v>311</v>
      </c>
    </row>
    <row r="77" spans="1:26" x14ac:dyDescent="0.3">
      <c r="A77">
        <v>76</v>
      </c>
      <c r="B77" s="16" t="s">
        <v>311</v>
      </c>
      <c r="C77" t="s">
        <v>350</v>
      </c>
      <c r="D77" t="s">
        <v>346</v>
      </c>
      <c r="E77" t="s">
        <v>17</v>
      </c>
      <c r="F77" t="s">
        <v>328</v>
      </c>
      <c r="G77" t="s">
        <v>315</v>
      </c>
      <c r="H77" t="s">
        <v>315</v>
      </c>
      <c r="I77" t="s">
        <v>316</v>
      </c>
      <c r="J77" t="s">
        <v>317</v>
      </c>
      <c r="K77" s="18" t="s">
        <v>351</v>
      </c>
      <c r="L77" s="17" t="s">
        <v>319</v>
      </c>
      <c r="M77" s="17" t="s">
        <v>319</v>
      </c>
      <c r="N77" t="s">
        <v>349</v>
      </c>
      <c r="O77" t="s">
        <v>88</v>
      </c>
      <c r="P77" t="s">
        <v>321</v>
      </c>
      <c r="Q77" t="s">
        <v>322</v>
      </c>
      <c r="R77">
        <v>7.75E-5</v>
      </c>
      <c r="S77">
        <v>7.75E-5</v>
      </c>
      <c r="T77" t="s">
        <v>311</v>
      </c>
      <c r="U77" t="s">
        <v>323</v>
      </c>
      <c r="V77" s="17" t="s">
        <v>311</v>
      </c>
      <c r="W77">
        <v>15</v>
      </c>
      <c r="X77" t="s">
        <v>311</v>
      </c>
      <c r="Y77" t="s">
        <v>324</v>
      </c>
      <c r="Z77" t="s">
        <v>311</v>
      </c>
    </row>
    <row r="78" spans="1:26" x14ac:dyDescent="0.3">
      <c r="A78">
        <v>77</v>
      </c>
      <c r="B78" s="16" t="s">
        <v>311</v>
      </c>
      <c r="C78" t="s">
        <v>350</v>
      </c>
      <c r="D78" t="s">
        <v>346</v>
      </c>
      <c r="E78" t="s">
        <v>17</v>
      </c>
      <c r="F78" t="s">
        <v>328</v>
      </c>
      <c r="G78" t="s">
        <v>315</v>
      </c>
      <c r="H78" t="s">
        <v>315</v>
      </c>
      <c r="I78" t="s">
        <v>316</v>
      </c>
      <c r="J78" t="s">
        <v>317</v>
      </c>
      <c r="K78" s="18" t="s">
        <v>351</v>
      </c>
      <c r="L78" s="17" t="s">
        <v>319</v>
      </c>
      <c r="M78" s="17" t="s">
        <v>319</v>
      </c>
      <c r="N78" t="s">
        <v>349</v>
      </c>
      <c r="O78" t="s">
        <v>88</v>
      </c>
      <c r="P78" t="s">
        <v>321</v>
      </c>
      <c r="Q78" t="s">
        <v>322</v>
      </c>
      <c r="R78">
        <v>1.9133799999999999E-4</v>
      </c>
      <c r="S78">
        <v>1.9133799999999999E-4</v>
      </c>
      <c r="T78" t="s">
        <v>311</v>
      </c>
      <c r="U78" t="s">
        <v>323</v>
      </c>
      <c r="V78" s="17" t="s">
        <v>311</v>
      </c>
      <c r="W78">
        <v>15</v>
      </c>
      <c r="X78" t="s">
        <v>311</v>
      </c>
      <c r="Y78" t="s">
        <v>324</v>
      </c>
      <c r="Z78" t="s">
        <v>311</v>
      </c>
    </row>
    <row r="79" spans="1:26" x14ac:dyDescent="0.3">
      <c r="A79">
        <v>78</v>
      </c>
      <c r="B79" s="16" t="s">
        <v>311</v>
      </c>
      <c r="C79" t="s">
        <v>350</v>
      </c>
      <c r="D79" t="s">
        <v>346</v>
      </c>
      <c r="E79" t="s">
        <v>17</v>
      </c>
      <c r="F79" t="s">
        <v>328</v>
      </c>
      <c r="G79" t="s">
        <v>315</v>
      </c>
      <c r="H79" t="s">
        <v>315</v>
      </c>
      <c r="I79" t="s">
        <v>316</v>
      </c>
      <c r="J79" t="s">
        <v>317</v>
      </c>
      <c r="K79" s="18" t="s">
        <v>351</v>
      </c>
      <c r="L79" s="17" t="s">
        <v>319</v>
      </c>
      <c r="M79" s="17" t="s">
        <v>319</v>
      </c>
      <c r="N79" t="s">
        <v>349</v>
      </c>
      <c r="O79" t="s">
        <v>88</v>
      </c>
      <c r="P79" t="s">
        <v>321</v>
      </c>
      <c r="Q79" t="s">
        <v>322</v>
      </c>
      <c r="R79">
        <v>5.52E-5</v>
      </c>
      <c r="S79">
        <v>5.52E-5</v>
      </c>
      <c r="T79" t="s">
        <v>311</v>
      </c>
      <c r="U79" t="s">
        <v>323</v>
      </c>
      <c r="V79" s="17" t="s">
        <v>311</v>
      </c>
      <c r="W79">
        <v>15</v>
      </c>
      <c r="X79" t="s">
        <v>311</v>
      </c>
      <c r="Y79" t="s">
        <v>324</v>
      </c>
      <c r="Z79" t="s">
        <v>311</v>
      </c>
    </row>
    <row r="80" spans="1:26" x14ac:dyDescent="0.3">
      <c r="A80">
        <v>79</v>
      </c>
      <c r="B80" s="16" t="s">
        <v>311</v>
      </c>
      <c r="C80" t="s">
        <v>350</v>
      </c>
      <c r="D80" t="s">
        <v>346</v>
      </c>
      <c r="E80" t="s">
        <v>17</v>
      </c>
      <c r="F80" t="s">
        <v>328</v>
      </c>
      <c r="G80" t="s">
        <v>315</v>
      </c>
      <c r="H80" t="s">
        <v>315</v>
      </c>
      <c r="I80" t="s">
        <v>316</v>
      </c>
      <c r="J80" t="s">
        <v>317</v>
      </c>
      <c r="K80" s="18" t="s">
        <v>351</v>
      </c>
      <c r="L80" s="17" t="s">
        <v>319</v>
      </c>
      <c r="M80" s="17" t="s">
        <v>319</v>
      </c>
      <c r="N80" t="s">
        <v>349</v>
      </c>
      <c r="O80" t="s">
        <v>88</v>
      </c>
      <c r="P80" t="s">
        <v>321</v>
      </c>
      <c r="Q80" t="s">
        <v>322</v>
      </c>
      <c r="R80">
        <v>6.6199999999999996E-5</v>
      </c>
      <c r="S80">
        <v>6.6199999999999996E-5</v>
      </c>
      <c r="T80" t="s">
        <v>311</v>
      </c>
      <c r="U80" t="s">
        <v>323</v>
      </c>
      <c r="V80" s="17" t="s">
        <v>311</v>
      </c>
      <c r="W80">
        <v>15</v>
      </c>
      <c r="X80" t="s">
        <v>311</v>
      </c>
      <c r="Y80" t="s">
        <v>324</v>
      </c>
      <c r="Z80" t="s">
        <v>311</v>
      </c>
    </row>
    <row r="81" spans="1:26" x14ac:dyDescent="0.3">
      <c r="A81">
        <v>80</v>
      </c>
      <c r="B81" s="16" t="s">
        <v>311</v>
      </c>
      <c r="C81" t="s">
        <v>352</v>
      </c>
      <c r="D81" t="s">
        <v>353</v>
      </c>
      <c r="E81" t="s">
        <v>17</v>
      </c>
      <c r="F81" t="s">
        <v>328</v>
      </c>
      <c r="G81" s="17" t="s">
        <v>354</v>
      </c>
      <c r="H81" t="s">
        <v>329</v>
      </c>
      <c r="I81" t="s">
        <v>330</v>
      </c>
      <c r="J81" t="s">
        <v>317</v>
      </c>
      <c r="K81" s="17" t="s">
        <v>355</v>
      </c>
      <c r="L81" s="17" t="s">
        <v>336</v>
      </c>
      <c r="M81" s="17" t="s">
        <v>336</v>
      </c>
      <c r="N81" t="s">
        <v>356</v>
      </c>
      <c r="O81" t="s">
        <v>80</v>
      </c>
      <c r="P81" t="s">
        <v>333</v>
      </c>
      <c r="Q81" t="s">
        <v>322</v>
      </c>
      <c r="R81">
        <v>2.1739099999999999E-4</v>
      </c>
      <c r="S81">
        <v>2.1739099999999999E-4</v>
      </c>
      <c r="T81" t="s">
        <v>311</v>
      </c>
      <c r="U81" t="s">
        <v>357</v>
      </c>
      <c r="V81" s="17" t="s">
        <v>311</v>
      </c>
      <c r="W81">
        <v>1</v>
      </c>
      <c r="X81" t="s">
        <v>311</v>
      </c>
      <c r="Y81" t="s">
        <v>324</v>
      </c>
      <c r="Z81" t="s">
        <v>358</v>
      </c>
    </row>
    <row r="82" spans="1:26" x14ac:dyDescent="0.3">
      <c r="A82">
        <v>81</v>
      </c>
      <c r="B82" s="16" t="s">
        <v>311</v>
      </c>
      <c r="C82" t="s">
        <v>352</v>
      </c>
      <c r="D82" t="s">
        <v>353</v>
      </c>
      <c r="E82" t="s">
        <v>17</v>
      </c>
      <c r="F82" t="s">
        <v>328</v>
      </c>
      <c r="G82" s="17" t="s">
        <v>354</v>
      </c>
      <c r="H82" t="s">
        <v>329</v>
      </c>
      <c r="I82" t="s">
        <v>330</v>
      </c>
      <c r="J82" t="s">
        <v>317</v>
      </c>
      <c r="K82" s="17" t="s">
        <v>355</v>
      </c>
      <c r="L82" s="17" t="s">
        <v>336</v>
      </c>
      <c r="M82" s="17" t="s">
        <v>336</v>
      </c>
      <c r="N82" t="s">
        <v>356</v>
      </c>
      <c r="O82" t="s">
        <v>80</v>
      </c>
      <c r="P82" t="s">
        <v>333</v>
      </c>
      <c r="Q82" t="s">
        <v>322</v>
      </c>
      <c r="R82">
        <v>3.8043499999999999E-4</v>
      </c>
      <c r="S82">
        <v>3.8043499999999999E-4</v>
      </c>
      <c r="T82" t="s">
        <v>311</v>
      </c>
      <c r="U82" t="s">
        <v>357</v>
      </c>
      <c r="V82" s="17" t="s">
        <v>311</v>
      </c>
      <c r="W82">
        <v>1</v>
      </c>
      <c r="X82" t="s">
        <v>311</v>
      </c>
      <c r="Y82" t="s">
        <v>324</v>
      </c>
      <c r="Z82" t="s">
        <v>358</v>
      </c>
    </row>
    <row r="83" spans="1:26" x14ac:dyDescent="0.3">
      <c r="A83">
        <v>82</v>
      </c>
      <c r="B83" s="16" t="s">
        <v>311</v>
      </c>
      <c r="C83" t="s">
        <v>352</v>
      </c>
      <c r="D83" t="s">
        <v>353</v>
      </c>
      <c r="E83" t="s">
        <v>17</v>
      </c>
      <c r="F83" t="s">
        <v>328</v>
      </c>
      <c r="G83" s="17" t="s">
        <v>354</v>
      </c>
      <c r="H83" t="s">
        <v>329</v>
      </c>
      <c r="I83" t="s">
        <v>330</v>
      </c>
      <c r="J83" t="s">
        <v>317</v>
      </c>
      <c r="K83" s="17" t="s">
        <v>355</v>
      </c>
      <c r="L83" s="17" t="s">
        <v>336</v>
      </c>
      <c r="M83" s="17" t="s">
        <v>336</v>
      </c>
      <c r="N83" t="s">
        <v>356</v>
      </c>
      <c r="O83" t="s">
        <v>80</v>
      </c>
      <c r="P83" t="s">
        <v>333</v>
      </c>
      <c r="Q83" t="s">
        <v>322</v>
      </c>
      <c r="R83">
        <v>1.1956499999999999E-3</v>
      </c>
      <c r="S83">
        <v>1.1956499999999999E-3</v>
      </c>
      <c r="T83" t="s">
        <v>311</v>
      </c>
      <c r="U83" t="s">
        <v>357</v>
      </c>
      <c r="V83" s="17" t="s">
        <v>311</v>
      </c>
      <c r="W83">
        <v>1</v>
      </c>
      <c r="X83" t="s">
        <v>311</v>
      </c>
      <c r="Y83" t="s">
        <v>324</v>
      </c>
      <c r="Z83" t="s">
        <v>358</v>
      </c>
    </row>
    <row r="84" spans="1:26" x14ac:dyDescent="0.3">
      <c r="A84">
        <v>83</v>
      </c>
      <c r="B84" s="16" t="s">
        <v>311</v>
      </c>
      <c r="C84" t="s">
        <v>352</v>
      </c>
      <c r="D84" t="s">
        <v>353</v>
      </c>
      <c r="E84" t="s">
        <v>17</v>
      </c>
      <c r="F84" t="s">
        <v>328</v>
      </c>
      <c r="G84" s="17" t="s">
        <v>354</v>
      </c>
      <c r="H84" t="s">
        <v>329</v>
      </c>
      <c r="I84" t="s">
        <v>330</v>
      </c>
      <c r="J84" t="s">
        <v>317</v>
      </c>
      <c r="K84" s="17" t="s">
        <v>355</v>
      </c>
      <c r="L84" s="17" t="s">
        <v>336</v>
      </c>
      <c r="M84" s="17" t="s">
        <v>336</v>
      </c>
      <c r="N84" t="s">
        <v>356</v>
      </c>
      <c r="O84" t="s">
        <v>80</v>
      </c>
      <c r="P84" t="s">
        <v>333</v>
      </c>
      <c r="Q84" t="s">
        <v>322</v>
      </c>
      <c r="R84">
        <v>1.25E-3</v>
      </c>
      <c r="S84">
        <v>1.25E-3</v>
      </c>
      <c r="T84" t="s">
        <v>311</v>
      </c>
      <c r="U84" t="s">
        <v>357</v>
      </c>
      <c r="V84" s="17" t="s">
        <v>311</v>
      </c>
      <c r="W84">
        <v>1</v>
      </c>
      <c r="X84" t="s">
        <v>311</v>
      </c>
      <c r="Y84" t="s">
        <v>324</v>
      </c>
      <c r="Z84" t="s">
        <v>358</v>
      </c>
    </row>
    <row r="85" spans="1:26" x14ac:dyDescent="0.3">
      <c r="A85">
        <v>84</v>
      </c>
      <c r="B85" s="16" t="s">
        <v>311</v>
      </c>
      <c r="C85" t="s">
        <v>352</v>
      </c>
      <c r="D85" t="s">
        <v>353</v>
      </c>
      <c r="E85" t="s">
        <v>17</v>
      </c>
      <c r="F85" t="s">
        <v>328</v>
      </c>
      <c r="G85" s="17" t="s">
        <v>354</v>
      </c>
      <c r="H85" t="s">
        <v>329</v>
      </c>
      <c r="I85" t="s">
        <v>330</v>
      </c>
      <c r="J85" t="s">
        <v>317</v>
      </c>
      <c r="K85" s="17" t="s">
        <v>355</v>
      </c>
      <c r="L85" s="17" t="s">
        <v>336</v>
      </c>
      <c r="M85" s="17" t="s">
        <v>336</v>
      </c>
      <c r="N85" t="s">
        <v>356</v>
      </c>
      <c r="O85" t="s">
        <v>80</v>
      </c>
      <c r="P85" t="s">
        <v>333</v>
      </c>
      <c r="Q85" t="s">
        <v>322</v>
      </c>
      <c r="R85">
        <v>1.9565199999999998E-3</v>
      </c>
      <c r="S85">
        <v>1.9565199999999998E-3</v>
      </c>
      <c r="T85" t="s">
        <v>311</v>
      </c>
      <c r="U85" t="s">
        <v>357</v>
      </c>
      <c r="V85" s="17" t="s">
        <v>311</v>
      </c>
      <c r="W85">
        <v>1</v>
      </c>
      <c r="X85" t="s">
        <v>311</v>
      </c>
      <c r="Y85" t="s">
        <v>324</v>
      </c>
      <c r="Z85" t="s">
        <v>358</v>
      </c>
    </row>
    <row r="86" spans="1:26" x14ac:dyDescent="0.3">
      <c r="A86">
        <v>85</v>
      </c>
      <c r="B86" s="16" t="s">
        <v>311</v>
      </c>
      <c r="C86" t="s">
        <v>352</v>
      </c>
      <c r="D86" t="s">
        <v>353</v>
      </c>
      <c r="E86" t="s">
        <v>17</v>
      </c>
      <c r="F86" t="s">
        <v>328</v>
      </c>
      <c r="G86" s="17" t="s">
        <v>354</v>
      </c>
      <c r="H86" t="s">
        <v>329</v>
      </c>
      <c r="I86" t="s">
        <v>330</v>
      </c>
      <c r="J86" t="s">
        <v>317</v>
      </c>
      <c r="K86" s="17" t="s">
        <v>355</v>
      </c>
      <c r="L86" s="17" t="s">
        <v>336</v>
      </c>
      <c r="M86" s="17" t="s">
        <v>336</v>
      </c>
      <c r="N86" t="s">
        <v>356</v>
      </c>
      <c r="O86" t="s">
        <v>80</v>
      </c>
      <c r="P86" t="s">
        <v>333</v>
      </c>
      <c r="Q86" t="s">
        <v>322</v>
      </c>
      <c r="R86">
        <v>1.57609E-3</v>
      </c>
      <c r="S86">
        <v>1.57609E-3</v>
      </c>
      <c r="T86" t="s">
        <v>311</v>
      </c>
      <c r="U86" t="s">
        <v>357</v>
      </c>
      <c r="V86" s="17" t="s">
        <v>311</v>
      </c>
      <c r="W86">
        <v>1</v>
      </c>
      <c r="X86" t="s">
        <v>311</v>
      </c>
      <c r="Y86" t="s">
        <v>324</v>
      </c>
      <c r="Z86" t="s">
        <v>358</v>
      </c>
    </row>
    <row r="87" spans="1:26" x14ac:dyDescent="0.3">
      <c r="A87">
        <v>86</v>
      </c>
      <c r="B87" s="16" t="s">
        <v>311</v>
      </c>
      <c r="C87" t="s">
        <v>352</v>
      </c>
      <c r="D87" t="s">
        <v>353</v>
      </c>
      <c r="E87" t="s">
        <v>17</v>
      </c>
      <c r="F87" t="s">
        <v>328</v>
      </c>
      <c r="G87" s="17" t="s">
        <v>354</v>
      </c>
      <c r="H87" t="s">
        <v>329</v>
      </c>
      <c r="I87" t="s">
        <v>330</v>
      </c>
      <c r="J87" t="s">
        <v>317</v>
      </c>
      <c r="K87" s="17" t="s">
        <v>355</v>
      </c>
      <c r="L87" s="17" t="s">
        <v>336</v>
      </c>
      <c r="M87" s="17" t="s">
        <v>336</v>
      </c>
      <c r="N87" t="s">
        <v>356</v>
      </c>
      <c r="O87" t="s">
        <v>80</v>
      </c>
      <c r="P87" t="s">
        <v>333</v>
      </c>
      <c r="Q87" t="s">
        <v>322</v>
      </c>
      <c r="R87">
        <v>1.0869600000000001E-3</v>
      </c>
      <c r="S87">
        <v>1.0869600000000001E-3</v>
      </c>
      <c r="T87" t="s">
        <v>311</v>
      </c>
      <c r="U87" t="s">
        <v>357</v>
      </c>
      <c r="V87" s="17" t="s">
        <v>311</v>
      </c>
      <c r="W87">
        <v>1</v>
      </c>
      <c r="X87" t="s">
        <v>311</v>
      </c>
      <c r="Y87" t="s">
        <v>324</v>
      </c>
      <c r="Z87" t="s">
        <v>358</v>
      </c>
    </row>
    <row r="88" spans="1:26" x14ac:dyDescent="0.3">
      <c r="A88">
        <v>87</v>
      </c>
      <c r="B88" s="16" t="s">
        <v>311</v>
      </c>
      <c r="C88" t="s">
        <v>352</v>
      </c>
      <c r="D88" t="s">
        <v>353</v>
      </c>
      <c r="E88" t="s">
        <v>17</v>
      </c>
      <c r="F88" t="s">
        <v>328</v>
      </c>
      <c r="G88" s="17" t="s">
        <v>354</v>
      </c>
      <c r="H88" t="s">
        <v>329</v>
      </c>
      <c r="I88" t="s">
        <v>330</v>
      </c>
      <c r="J88" t="s">
        <v>317</v>
      </c>
      <c r="K88" s="17" t="s">
        <v>355</v>
      </c>
      <c r="L88" s="17" t="s">
        <v>336</v>
      </c>
      <c r="M88" s="17" t="s">
        <v>336</v>
      </c>
      <c r="N88" t="s">
        <v>356</v>
      </c>
      <c r="O88" t="s">
        <v>80</v>
      </c>
      <c r="P88" t="s">
        <v>333</v>
      </c>
      <c r="Q88" t="s">
        <v>322</v>
      </c>
      <c r="R88">
        <v>9.2391299999999995E-4</v>
      </c>
      <c r="S88">
        <v>9.2391299999999995E-4</v>
      </c>
      <c r="T88" t="s">
        <v>311</v>
      </c>
      <c r="U88" t="s">
        <v>357</v>
      </c>
      <c r="V88" s="17" t="s">
        <v>311</v>
      </c>
      <c r="W88">
        <v>1</v>
      </c>
      <c r="X88" t="s">
        <v>311</v>
      </c>
      <c r="Y88" t="s">
        <v>324</v>
      </c>
      <c r="Z88" t="s">
        <v>358</v>
      </c>
    </row>
    <row r="89" spans="1:26" x14ac:dyDescent="0.3">
      <c r="A89">
        <v>88</v>
      </c>
      <c r="B89" s="16" t="s">
        <v>311</v>
      </c>
      <c r="C89" t="s">
        <v>352</v>
      </c>
      <c r="D89" t="s">
        <v>353</v>
      </c>
      <c r="E89" t="s">
        <v>17</v>
      </c>
      <c r="F89" t="s">
        <v>328</v>
      </c>
      <c r="G89" s="17" t="s">
        <v>354</v>
      </c>
      <c r="H89" t="s">
        <v>329</v>
      </c>
      <c r="I89" t="s">
        <v>330</v>
      </c>
      <c r="J89" t="s">
        <v>317</v>
      </c>
      <c r="K89" s="17" t="s">
        <v>355</v>
      </c>
      <c r="L89" s="17" t="s">
        <v>336</v>
      </c>
      <c r="M89" s="17" t="s">
        <v>336</v>
      </c>
      <c r="N89" t="s">
        <v>356</v>
      </c>
      <c r="O89" t="s">
        <v>80</v>
      </c>
      <c r="P89" t="s">
        <v>333</v>
      </c>
      <c r="Q89" t="s">
        <v>322</v>
      </c>
      <c r="R89">
        <v>1.63043E-4</v>
      </c>
      <c r="S89">
        <v>1.63043E-4</v>
      </c>
      <c r="T89" t="s">
        <v>311</v>
      </c>
      <c r="U89" t="s">
        <v>357</v>
      </c>
      <c r="V89" s="17" t="s">
        <v>311</v>
      </c>
      <c r="W89">
        <v>1</v>
      </c>
      <c r="X89" t="s">
        <v>311</v>
      </c>
      <c r="Y89" t="s">
        <v>324</v>
      </c>
      <c r="Z89" t="s">
        <v>358</v>
      </c>
    </row>
    <row r="90" spans="1:26" x14ac:dyDescent="0.3">
      <c r="A90">
        <v>89</v>
      </c>
      <c r="B90" s="16" t="s">
        <v>311</v>
      </c>
      <c r="C90" t="s">
        <v>352</v>
      </c>
      <c r="D90" t="s">
        <v>353</v>
      </c>
      <c r="E90" t="s">
        <v>17</v>
      </c>
      <c r="F90" t="s">
        <v>328</v>
      </c>
      <c r="G90" s="17" t="s">
        <v>359</v>
      </c>
      <c r="H90" t="s">
        <v>329</v>
      </c>
      <c r="I90" t="s">
        <v>330</v>
      </c>
      <c r="J90" t="s">
        <v>317</v>
      </c>
      <c r="K90" s="17" t="s">
        <v>355</v>
      </c>
      <c r="L90" s="17" t="s">
        <v>336</v>
      </c>
      <c r="M90" s="17" t="s">
        <v>336</v>
      </c>
      <c r="N90" t="s">
        <v>325</v>
      </c>
      <c r="O90" t="s">
        <v>325</v>
      </c>
      <c r="P90" t="s">
        <v>333</v>
      </c>
      <c r="Q90" t="s">
        <v>322</v>
      </c>
      <c r="R90">
        <v>2.8493199999999998E-3</v>
      </c>
      <c r="S90">
        <v>2.8493199999999998E-3</v>
      </c>
      <c r="T90" t="s">
        <v>311</v>
      </c>
      <c r="U90" t="s">
        <v>357</v>
      </c>
      <c r="V90" s="17" t="s">
        <v>311</v>
      </c>
      <c r="W90">
        <v>1</v>
      </c>
      <c r="X90" t="s">
        <v>311</v>
      </c>
      <c r="Y90" t="s">
        <v>324</v>
      </c>
      <c r="Z90" t="s">
        <v>358</v>
      </c>
    </row>
    <row r="91" spans="1:26" x14ac:dyDescent="0.3">
      <c r="A91">
        <v>90</v>
      </c>
      <c r="B91" s="16" t="s">
        <v>311</v>
      </c>
      <c r="C91" t="s">
        <v>352</v>
      </c>
      <c r="D91" t="s">
        <v>353</v>
      </c>
      <c r="E91" t="s">
        <v>17</v>
      </c>
      <c r="F91" t="s">
        <v>328</v>
      </c>
      <c r="G91" s="17" t="s">
        <v>359</v>
      </c>
      <c r="H91" t="s">
        <v>329</v>
      </c>
      <c r="I91" t="s">
        <v>330</v>
      </c>
      <c r="J91" t="s">
        <v>317</v>
      </c>
      <c r="K91" s="17" t="s">
        <v>355</v>
      </c>
      <c r="L91" s="17" t="s">
        <v>336</v>
      </c>
      <c r="M91" s="17" t="s">
        <v>336</v>
      </c>
      <c r="N91" t="s">
        <v>325</v>
      </c>
      <c r="O91" t="s">
        <v>325</v>
      </c>
      <c r="P91" t="s">
        <v>333</v>
      </c>
      <c r="Q91" t="s">
        <v>322</v>
      </c>
      <c r="R91">
        <v>3.7808199999999998E-3</v>
      </c>
      <c r="S91">
        <v>3.7808199999999998E-3</v>
      </c>
      <c r="T91" t="s">
        <v>311</v>
      </c>
      <c r="U91" t="s">
        <v>357</v>
      </c>
      <c r="V91" s="17" t="s">
        <v>311</v>
      </c>
      <c r="W91">
        <v>1</v>
      </c>
      <c r="X91" t="s">
        <v>311</v>
      </c>
      <c r="Y91" t="s">
        <v>324</v>
      </c>
      <c r="Z91" t="s">
        <v>358</v>
      </c>
    </row>
    <row r="92" spans="1:26" x14ac:dyDescent="0.3">
      <c r="A92">
        <v>91</v>
      </c>
      <c r="B92" s="16" t="s">
        <v>311</v>
      </c>
      <c r="C92" t="s">
        <v>352</v>
      </c>
      <c r="D92" t="s">
        <v>353</v>
      </c>
      <c r="E92" t="s">
        <v>17</v>
      </c>
      <c r="F92" t="s">
        <v>328</v>
      </c>
      <c r="G92" s="17" t="s">
        <v>359</v>
      </c>
      <c r="H92" t="s">
        <v>329</v>
      </c>
      <c r="I92" t="s">
        <v>330</v>
      </c>
      <c r="J92" t="s">
        <v>317</v>
      </c>
      <c r="K92" s="17" t="s">
        <v>355</v>
      </c>
      <c r="L92" s="17" t="s">
        <v>336</v>
      </c>
      <c r="M92" s="17" t="s">
        <v>336</v>
      </c>
      <c r="N92" t="s">
        <v>325</v>
      </c>
      <c r="O92" t="s">
        <v>325</v>
      </c>
      <c r="P92" t="s">
        <v>333</v>
      </c>
      <c r="Q92" t="s">
        <v>322</v>
      </c>
      <c r="R92">
        <v>4.8767100000000002E-3</v>
      </c>
      <c r="S92">
        <v>4.8767100000000002E-3</v>
      </c>
      <c r="T92" t="s">
        <v>311</v>
      </c>
      <c r="U92" t="s">
        <v>357</v>
      </c>
      <c r="V92" s="17" t="s">
        <v>311</v>
      </c>
      <c r="W92">
        <v>1</v>
      </c>
      <c r="X92" t="s">
        <v>311</v>
      </c>
      <c r="Y92" t="s">
        <v>324</v>
      </c>
      <c r="Z92" t="s">
        <v>358</v>
      </c>
    </row>
    <row r="93" spans="1:26" x14ac:dyDescent="0.3">
      <c r="A93">
        <v>92</v>
      </c>
      <c r="B93" s="16" t="s">
        <v>311</v>
      </c>
      <c r="C93" t="s">
        <v>352</v>
      </c>
      <c r="D93" t="s">
        <v>353</v>
      </c>
      <c r="E93" t="s">
        <v>17</v>
      </c>
      <c r="F93" t="s">
        <v>328</v>
      </c>
      <c r="G93" s="17" t="s">
        <v>359</v>
      </c>
      <c r="H93" t="s">
        <v>329</v>
      </c>
      <c r="I93" t="s">
        <v>330</v>
      </c>
      <c r="J93" t="s">
        <v>317</v>
      </c>
      <c r="K93" s="17" t="s">
        <v>355</v>
      </c>
      <c r="L93" s="17" t="s">
        <v>336</v>
      </c>
      <c r="M93" s="17" t="s">
        <v>336</v>
      </c>
      <c r="N93" t="s">
        <v>325</v>
      </c>
      <c r="O93" t="s">
        <v>325</v>
      </c>
      <c r="P93" t="s">
        <v>333</v>
      </c>
      <c r="Q93" t="s">
        <v>322</v>
      </c>
      <c r="R93">
        <v>4.3835599999999999E-3</v>
      </c>
      <c r="S93">
        <v>4.3835599999999999E-3</v>
      </c>
      <c r="T93" t="s">
        <v>311</v>
      </c>
      <c r="U93" t="s">
        <v>357</v>
      </c>
      <c r="V93" s="17" t="s">
        <v>311</v>
      </c>
      <c r="W93">
        <v>1</v>
      </c>
      <c r="X93" t="s">
        <v>311</v>
      </c>
      <c r="Y93" t="s">
        <v>324</v>
      </c>
      <c r="Z93" t="s">
        <v>358</v>
      </c>
    </row>
    <row r="94" spans="1:26" x14ac:dyDescent="0.3">
      <c r="A94">
        <v>93</v>
      </c>
      <c r="B94" s="16" t="s">
        <v>311</v>
      </c>
      <c r="C94" t="s">
        <v>352</v>
      </c>
      <c r="D94" t="s">
        <v>353</v>
      </c>
      <c r="E94" t="s">
        <v>17</v>
      </c>
      <c r="F94" t="s">
        <v>328</v>
      </c>
      <c r="G94" s="17" t="s">
        <v>359</v>
      </c>
      <c r="H94" t="s">
        <v>329</v>
      </c>
      <c r="I94" t="s">
        <v>330</v>
      </c>
      <c r="J94" t="s">
        <v>317</v>
      </c>
      <c r="K94" s="17" t="s">
        <v>355</v>
      </c>
      <c r="L94" s="17" t="s">
        <v>336</v>
      </c>
      <c r="M94" s="17" t="s">
        <v>336</v>
      </c>
      <c r="N94" t="s">
        <v>325</v>
      </c>
      <c r="O94" t="s">
        <v>325</v>
      </c>
      <c r="P94" t="s">
        <v>333</v>
      </c>
      <c r="Q94" t="s">
        <v>322</v>
      </c>
      <c r="R94">
        <v>1.6438399999999999E-3</v>
      </c>
      <c r="S94">
        <v>1.6438399999999999E-3</v>
      </c>
      <c r="T94" t="s">
        <v>311</v>
      </c>
      <c r="U94" t="s">
        <v>357</v>
      </c>
      <c r="V94" s="17" t="s">
        <v>311</v>
      </c>
      <c r="W94">
        <v>1</v>
      </c>
      <c r="X94" t="s">
        <v>311</v>
      </c>
      <c r="Y94" t="s">
        <v>324</v>
      </c>
      <c r="Z94" t="s">
        <v>358</v>
      </c>
    </row>
    <row r="95" spans="1:26" x14ac:dyDescent="0.3">
      <c r="A95">
        <v>94</v>
      </c>
      <c r="B95" s="16" t="s">
        <v>311</v>
      </c>
      <c r="C95" t="s">
        <v>352</v>
      </c>
      <c r="D95" t="s">
        <v>353</v>
      </c>
      <c r="E95" t="s">
        <v>17</v>
      </c>
      <c r="F95" t="s">
        <v>328</v>
      </c>
      <c r="G95" s="17" t="s">
        <v>359</v>
      </c>
      <c r="H95" t="s">
        <v>329</v>
      </c>
      <c r="I95" t="s">
        <v>330</v>
      </c>
      <c r="J95" t="s">
        <v>317</v>
      </c>
      <c r="K95" s="17" t="s">
        <v>355</v>
      </c>
      <c r="L95" s="17" t="s">
        <v>336</v>
      </c>
      <c r="M95" s="17" t="s">
        <v>336</v>
      </c>
      <c r="N95" t="s">
        <v>325</v>
      </c>
      <c r="O95" t="s">
        <v>325</v>
      </c>
      <c r="P95" t="s">
        <v>333</v>
      </c>
      <c r="Q95" t="s">
        <v>322</v>
      </c>
      <c r="R95">
        <v>1.6438399999999999E-3</v>
      </c>
      <c r="S95">
        <v>1.6438399999999999E-3</v>
      </c>
      <c r="T95" t="s">
        <v>311</v>
      </c>
      <c r="U95" t="s">
        <v>357</v>
      </c>
      <c r="V95" s="17" t="s">
        <v>311</v>
      </c>
      <c r="W95">
        <v>1</v>
      </c>
      <c r="X95" t="s">
        <v>311</v>
      </c>
      <c r="Y95" t="s">
        <v>324</v>
      </c>
      <c r="Z95" t="s">
        <v>358</v>
      </c>
    </row>
    <row r="96" spans="1:26" x14ac:dyDescent="0.3">
      <c r="A96">
        <v>95</v>
      </c>
      <c r="B96" s="16" t="s">
        <v>311</v>
      </c>
      <c r="C96" t="s">
        <v>352</v>
      </c>
      <c r="D96" t="s">
        <v>353</v>
      </c>
      <c r="E96" t="s">
        <v>17</v>
      </c>
      <c r="F96" t="s">
        <v>328</v>
      </c>
      <c r="G96" s="17" t="s">
        <v>359</v>
      </c>
      <c r="H96" t="s">
        <v>329</v>
      </c>
      <c r="I96" t="s">
        <v>330</v>
      </c>
      <c r="J96" t="s">
        <v>317</v>
      </c>
      <c r="K96" s="17" t="s">
        <v>355</v>
      </c>
      <c r="L96" s="17" t="s">
        <v>336</v>
      </c>
      <c r="M96" s="17" t="s">
        <v>336</v>
      </c>
      <c r="N96" t="s">
        <v>325</v>
      </c>
      <c r="O96" t="s">
        <v>325</v>
      </c>
      <c r="P96" t="s">
        <v>333</v>
      </c>
      <c r="Q96" t="s">
        <v>322</v>
      </c>
      <c r="R96">
        <v>7.1232900000000004E-4</v>
      </c>
      <c r="S96">
        <v>7.1232900000000004E-4</v>
      </c>
      <c r="T96" t="s">
        <v>311</v>
      </c>
      <c r="U96" t="s">
        <v>357</v>
      </c>
      <c r="V96" s="17" t="s">
        <v>311</v>
      </c>
      <c r="W96">
        <v>1</v>
      </c>
      <c r="X96" t="s">
        <v>311</v>
      </c>
      <c r="Y96" t="s">
        <v>324</v>
      </c>
      <c r="Z96" t="s">
        <v>358</v>
      </c>
    </row>
    <row r="97" spans="1:26" x14ac:dyDescent="0.3">
      <c r="A97">
        <v>96</v>
      </c>
      <c r="B97" s="16" t="s">
        <v>311</v>
      </c>
      <c r="C97" t="s">
        <v>352</v>
      </c>
      <c r="D97" t="s">
        <v>353</v>
      </c>
      <c r="E97" t="s">
        <v>17</v>
      </c>
      <c r="F97" t="s">
        <v>328</v>
      </c>
      <c r="G97" s="17" t="s">
        <v>360</v>
      </c>
      <c r="H97" t="s">
        <v>329</v>
      </c>
      <c r="I97" t="s">
        <v>330</v>
      </c>
      <c r="J97" t="s">
        <v>317</v>
      </c>
      <c r="K97" s="17" t="s">
        <v>355</v>
      </c>
      <c r="L97" s="17" t="s">
        <v>336</v>
      </c>
      <c r="M97" s="17" t="s">
        <v>336</v>
      </c>
      <c r="N97" t="s">
        <v>361</v>
      </c>
      <c r="O97" t="s">
        <v>80</v>
      </c>
      <c r="P97" t="s">
        <v>333</v>
      </c>
      <c r="Q97" t="s">
        <v>322</v>
      </c>
      <c r="R97">
        <v>5.4347800000000002E-4</v>
      </c>
      <c r="S97">
        <v>5.4347800000000002E-4</v>
      </c>
      <c r="T97" t="s">
        <v>311</v>
      </c>
      <c r="U97" t="s">
        <v>357</v>
      </c>
      <c r="V97" s="17" t="s">
        <v>311</v>
      </c>
      <c r="W97">
        <v>1</v>
      </c>
      <c r="X97" t="s">
        <v>311</v>
      </c>
      <c r="Y97" t="s">
        <v>324</v>
      </c>
      <c r="Z97" t="s">
        <v>358</v>
      </c>
    </row>
    <row r="98" spans="1:26" x14ac:dyDescent="0.3">
      <c r="A98">
        <v>97</v>
      </c>
      <c r="B98" s="16" t="s">
        <v>311</v>
      </c>
      <c r="C98" t="s">
        <v>352</v>
      </c>
      <c r="D98" t="s">
        <v>353</v>
      </c>
      <c r="E98" t="s">
        <v>17</v>
      </c>
      <c r="F98" t="s">
        <v>328</v>
      </c>
      <c r="G98" s="17" t="s">
        <v>360</v>
      </c>
      <c r="H98" t="s">
        <v>329</v>
      </c>
      <c r="I98" t="s">
        <v>330</v>
      </c>
      <c r="J98" t="s">
        <v>317</v>
      </c>
      <c r="K98" s="17" t="s">
        <v>355</v>
      </c>
      <c r="L98" s="17" t="s">
        <v>336</v>
      </c>
      <c r="M98" s="17" t="s">
        <v>336</v>
      </c>
      <c r="N98" t="s">
        <v>361</v>
      </c>
      <c r="O98" t="s">
        <v>80</v>
      </c>
      <c r="P98" t="s">
        <v>333</v>
      </c>
      <c r="Q98" t="s">
        <v>322</v>
      </c>
      <c r="R98">
        <v>1.25E-3</v>
      </c>
      <c r="S98">
        <v>1.25E-3</v>
      </c>
      <c r="T98" t="s">
        <v>311</v>
      </c>
      <c r="U98" t="s">
        <v>357</v>
      </c>
      <c r="V98" s="17" t="s">
        <v>311</v>
      </c>
      <c r="W98">
        <v>1</v>
      </c>
      <c r="X98" t="s">
        <v>311</v>
      </c>
      <c r="Y98" t="s">
        <v>324</v>
      </c>
      <c r="Z98" t="s">
        <v>358</v>
      </c>
    </row>
    <row r="99" spans="1:26" x14ac:dyDescent="0.3">
      <c r="A99">
        <v>98</v>
      </c>
      <c r="B99" s="16" t="s">
        <v>311</v>
      </c>
      <c r="C99" t="s">
        <v>352</v>
      </c>
      <c r="D99" t="s">
        <v>353</v>
      </c>
      <c r="E99" t="s">
        <v>17</v>
      </c>
      <c r="F99" t="s">
        <v>328</v>
      </c>
      <c r="G99" s="17" t="s">
        <v>360</v>
      </c>
      <c r="H99" t="s">
        <v>329</v>
      </c>
      <c r="I99" t="s">
        <v>330</v>
      </c>
      <c r="J99" t="s">
        <v>317</v>
      </c>
      <c r="K99" s="17" t="s">
        <v>355</v>
      </c>
      <c r="L99" s="17" t="s">
        <v>336</v>
      </c>
      <c r="M99" s="17" t="s">
        <v>336</v>
      </c>
      <c r="N99" t="s">
        <v>361</v>
      </c>
      <c r="O99" t="s">
        <v>80</v>
      </c>
      <c r="P99" t="s">
        <v>333</v>
      </c>
      <c r="Q99" t="s">
        <v>322</v>
      </c>
      <c r="R99">
        <v>3.20652E-3</v>
      </c>
      <c r="S99">
        <v>3.20652E-3</v>
      </c>
      <c r="T99" t="s">
        <v>311</v>
      </c>
      <c r="U99" t="s">
        <v>357</v>
      </c>
      <c r="V99" s="17" t="s">
        <v>311</v>
      </c>
      <c r="W99">
        <v>1</v>
      </c>
      <c r="X99" t="s">
        <v>311</v>
      </c>
      <c r="Y99" t="s">
        <v>324</v>
      </c>
      <c r="Z99" t="s">
        <v>358</v>
      </c>
    </row>
    <row r="100" spans="1:26" x14ac:dyDescent="0.3">
      <c r="A100">
        <v>99</v>
      </c>
      <c r="B100" s="16" t="s">
        <v>311</v>
      </c>
      <c r="C100" t="s">
        <v>352</v>
      </c>
      <c r="D100" t="s">
        <v>353</v>
      </c>
      <c r="E100" t="s">
        <v>17</v>
      </c>
      <c r="F100" t="s">
        <v>328</v>
      </c>
      <c r="G100" s="17" t="s">
        <v>360</v>
      </c>
      <c r="H100" t="s">
        <v>329</v>
      </c>
      <c r="I100" t="s">
        <v>330</v>
      </c>
      <c r="J100" t="s">
        <v>317</v>
      </c>
      <c r="K100" s="17" t="s">
        <v>355</v>
      </c>
      <c r="L100" s="17" t="s">
        <v>336</v>
      </c>
      <c r="M100" s="17" t="s">
        <v>336</v>
      </c>
      <c r="N100" t="s">
        <v>361</v>
      </c>
      <c r="O100" t="s">
        <v>80</v>
      </c>
      <c r="P100" t="s">
        <v>333</v>
      </c>
      <c r="Q100" t="s">
        <v>322</v>
      </c>
      <c r="R100">
        <v>2.6086999999999998E-3</v>
      </c>
      <c r="S100">
        <v>2.6086999999999998E-3</v>
      </c>
      <c r="T100" t="s">
        <v>311</v>
      </c>
      <c r="U100" t="s">
        <v>357</v>
      </c>
      <c r="V100" s="17" t="s">
        <v>311</v>
      </c>
      <c r="W100">
        <v>1</v>
      </c>
      <c r="X100" t="s">
        <v>311</v>
      </c>
      <c r="Y100" t="s">
        <v>324</v>
      </c>
      <c r="Z100" t="s">
        <v>358</v>
      </c>
    </row>
    <row r="101" spans="1:26" x14ac:dyDescent="0.3">
      <c r="A101">
        <v>100</v>
      </c>
      <c r="B101" s="16" t="s">
        <v>311</v>
      </c>
      <c r="C101" t="s">
        <v>352</v>
      </c>
      <c r="D101" t="s">
        <v>353</v>
      </c>
      <c r="E101" t="s">
        <v>17</v>
      </c>
      <c r="F101" t="s">
        <v>328</v>
      </c>
      <c r="G101" s="17" t="s">
        <v>360</v>
      </c>
      <c r="H101" t="s">
        <v>329</v>
      </c>
      <c r="I101" t="s">
        <v>330</v>
      </c>
      <c r="J101" t="s">
        <v>317</v>
      </c>
      <c r="K101" s="17" t="s">
        <v>355</v>
      </c>
      <c r="L101" s="17" t="s">
        <v>336</v>
      </c>
      <c r="M101" s="17" t="s">
        <v>336</v>
      </c>
      <c r="N101" t="s">
        <v>361</v>
      </c>
      <c r="O101" t="s">
        <v>80</v>
      </c>
      <c r="P101" t="s">
        <v>333</v>
      </c>
      <c r="Q101" t="s">
        <v>322</v>
      </c>
      <c r="R101">
        <v>2.7173900000000001E-3</v>
      </c>
      <c r="S101">
        <v>2.7173900000000001E-3</v>
      </c>
      <c r="T101" t="s">
        <v>311</v>
      </c>
      <c r="U101" t="s">
        <v>357</v>
      </c>
      <c r="V101" s="17" t="s">
        <v>311</v>
      </c>
      <c r="W101">
        <v>1</v>
      </c>
      <c r="X101" t="s">
        <v>311</v>
      </c>
      <c r="Y101" t="s">
        <v>324</v>
      </c>
      <c r="Z101" t="s">
        <v>358</v>
      </c>
    </row>
    <row r="102" spans="1:26" x14ac:dyDescent="0.3">
      <c r="A102">
        <v>101</v>
      </c>
      <c r="B102" s="16" t="s">
        <v>311</v>
      </c>
      <c r="C102" t="s">
        <v>352</v>
      </c>
      <c r="D102" t="s">
        <v>353</v>
      </c>
      <c r="E102" t="s">
        <v>17</v>
      </c>
      <c r="F102" t="s">
        <v>328</v>
      </c>
      <c r="G102" s="17" t="s">
        <v>360</v>
      </c>
      <c r="H102" t="s">
        <v>329</v>
      </c>
      <c r="I102" t="s">
        <v>330</v>
      </c>
      <c r="J102" t="s">
        <v>317</v>
      </c>
      <c r="K102" s="17" t="s">
        <v>355</v>
      </c>
      <c r="L102" s="17" t="s">
        <v>336</v>
      </c>
      <c r="M102" s="17" t="s">
        <v>336</v>
      </c>
      <c r="N102" t="s">
        <v>361</v>
      </c>
      <c r="O102" t="s">
        <v>80</v>
      </c>
      <c r="P102" t="s">
        <v>333</v>
      </c>
      <c r="Q102" t="s">
        <v>322</v>
      </c>
      <c r="R102">
        <v>1.84783E-3</v>
      </c>
      <c r="S102">
        <v>1.84783E-3</v>
      </c>
      <c r="T102" t="s">
        <v>311</v>
      </c>
      <c r="U102" t="s">
        <v>357</v>
      </c>
      <c r="V102" s="17" t="s">
        <v>311</v>
      </c>
      <c r="W102">
        <v>1</v>
      </c>
      <c r="X102" t="s">
        <v>311</v>
      </c>
      <c r="Y102" t="s">
        <v>324</v>
      </c>
      <c r="Z102" t="s">
        <v>358</v>
      </c>
    </row>
    <row r="103" spans="1:26" x14ac:dyDescent="0.3">
      <c r="A103">
        <v>102</v>
      </c>
      <c r="B103" s="16" t="s">
        <v>311</v>
      </c>
      <c r="C103" t="s">
        <v>352</v>
      </c>
      <c r="D103" t="s">
        <v>353</v>
      </c>
      <c r="E103" t="s">
        <v>17</v>
      </c>
      <c r="F103" t="s">
        <v>328</v>
      </c>
      <c r="G103" s="17" t="s">
        <v>360</v>
      </c>
      <c r="H103" t="s">
        <v>329</v>
      </c>
      <c r="I103" t="s">
        <v>330</v>
      </c>
      <c r="J103" t="s">
        <v>317</v>
      </c>
      <c r="K103" s="17" t="s">
        <v>355</v>
      </c>
      <c r="L103" s="17" t="s">
        <v>336</v>
      </c>
      <c r="M103" s="17" t="s">
        <v>336</v>
      </c>
      <c r="N103" t="s">
        <v>361</v>
      </c>
      <c r="O103" t="s">
        <v>80</v>
      </c>
      <c r="P103" t="s">
        <v>333</v>
      </c>
      <c r="Q103" t="s">
        <v>322</v>
      </c>
      <c r="R103">
        <v>1.57609E-3</v>
      </c>
      <c r="S103">
        <v>1.57609E-3</v>
      </c>
      <c r="T103" t="s">
        <v>311</v>
      </c>
      <c r="U103" t="s">
        <v>357</v>
      </c>
      <c r="V103" s="17" t="s">
        <v>311</v>
      </c>
      <c r="W103">
        <v>1</v>
      </c>
      <c r="X103" t="s">
        <v>311</v>
      </c>
      <c r="Y103" t="s">
        <v>324</v>
      </c>
      <c r="Z103" t="s">
        <v>358</v>
      </c>
    </row>
    <row r="104" spans="1:26" x14ac:dyDescent="0.3">
      <c r="A104">
        <v>103</v>
      </c>
      <c r="B104" s="16" t="s">
        <v>311</v>
      </c>
      <c r="C104" t="s">
        <v>352</v>
      </c>
      <c r="D104" t="s">
        <v>353</v>
      </c>
      <c r="E104" t="s">
        <v>17</v>
      </c>
      <c r="F104" t="s">
        <v>328</v>
      </c>
      <c r="G104" s="17" t="s">
        <v>360</v>
      </c>
      <c r="H104" t="s">
        <v>329</v>
      </c>
      <c r="I104" t="s">
        <v>330</v>
      </c>
      <c r="J104" t="s">
        <v>317</v>
      </c>
      <c r="K104" s="17" t="s">
        <v>355</v>
      </c>
      <c r="L104" s="17" t="s">
        <v>336</v>
      </c>
      <c r="M104" s="17" t="s">
        <v>336</v>
      </c>
      <c r="N104" t="s">
        <v>361</v>
      </c>
      <c r="O104" t="s">
        <v>80</v>
      </c>
      <c r="P104" t="s">
        <v>333</v>
      </c>
      <c r="Q104" t="s">
        <v>322</v>
      </c>
      <c r="R104">
        <v>8.1521700000000002E-4</v>
      </c>
      <c r="S104">
        <v>8.1521700000000002E-4</v>
      </c>
      <c r="T104" t="s">
        <v>311</v>
      </c>
      <c r="U104" t="s">
        <v>357</v>
      </c>
      <c r="V104" s="17" t="s">
        <v>311</v>
      </c>
      <c r="W104">
        <v>1</v>
      </c>
      <c r="X104" t="s">
        <v>311</v>
      </c>
      <c r="Y104" t="s">
        <v>324</v>
      </c>
      <c r="Z104" t="s">
        <v>358</v>
      </c>
    </row>
    <row r="105" spans="1:26" x14ac:dyDescent="0.3">
      <c r="A105">
        <v>104</v>
      </c>
      <c r="B105" s="16" t="s">
        <v>311</v>
      </c>
      <c r="C105" t="s">
        <v>352</v>
      </c>
      <c r="D105" t="s">
        <v>353</v>
      </c>
      <c r="E105" t="s">
        <v>17</v>
      </c>
      <c r="F105" t="s">
        <v>328</v>
      </c>
      <c r="G105" s="17" t="s">
        <v>359</v>
      </c>
      <c r="H105" t="s">
        <v>329</v>
      </c>
      <c r="I105" t="s">
        <v>330</v>
      </c>
      <c r="J105" t="s">
        <v>317</v>
      </c>
      <c r="K105" s="17" t="s">
        <v>355</v>
      </c>
      <c r="L105" s="17" t="s">
        <v>336</v>
      </c>
      <c r="M105" s="17" t="s">
        <v>336</v>
      </c>
      <c r="N105" t="s">
        <v>325</v>
      </c>
      <c r="O105" t="s">
        <v>325</v>
      </c>
      <c r="P105" t="s">
        <v>333</v>
      </c>
      <c r="Q105" t="s">
        <v>322</v>
      </c>
      <c r="R105">
        <v>2.8493199999999998E-3</v>
      </c>
      <c r="S105">
        <v>2.8493199999999998E-3</v>
      </c>
      <c r="T105" t="s">
        <v>311</v>
      </c>
      <c r="U105" t="s">
        <v>357</v>
      </c>
      <c r="V105" s="17" t="s">
        <v>311</v>
      </c>
      <c r="W105">
        <v>1</v>
      </c>
      <c r="X105" t="s">
        <v>311</v>
      </c>
      <c r="Y105" t="s">
        <v>324</v>
      </c>
      <c r="Z105" t="s">
        <v>358</v>
      </c>
    </row>
    <row r="106" spans="1:26" x14ac:dyDescent="0.3">
      <c r="A106">
        <v>105</v>
      </c>
      <c r="B106" s="16" t="s">
        <v>311</v>
      </c>
      <c r="C106" t="s">
        <v>352</v>
      </c>
      <c r="D106" t="s">
        <v>353</v>
      </c>
      <c r="E106" t="s">
        <v>17</v>
      </c>
      <c r="F106" t="s">
        <v>328</v>
      </c>
      <c r="G106" s="17" t="s">
        <v>359</v>
      </c>
      <c r="H106" t="s">
        <v>329</v>
      </c>
      <c r="I106" t="s">
        <v>330</v>
      </c>
      <c r="J106" t="s">
        <v>317</v>
      </c>
      <c r="K106" s="17" t="s">
        <v>355</v>
      </c>
      <c r="L106" s="17" t="s">
        <v>336</v>
      </c>
      <c r="M106" s="17" t="s">
        <v>336</v>
      </c>
      <c r="N106" t="s">
        <v>325</v>
      </c>
      <c r="O106" t="s">
        <v>325</v>
      </c>
      <c r="P106" t="s">
        <v>333</v>
      </c>
      <c r="Q106" t="s">
        <v>322</v>
      </c>
      <c r="R106">
        <v>4.8767100000000002E-3</v>
      </c>
      <c r="S106">
        <v>4.8767100000000002E-3</v>
      </c>
      <c r="T106" t="s">
        <v>311</v>
      </c>
      <c r="U106" t="s">
        <v>357</v>
      </c>
      <c r="V106" s="17" t="s">
        <v>311</v>
      </c>
      <c r="W106">
        <v>1</v>
      </c>
      <c r="X106" t="s">
        <v>311</v>
      </c>
      <c r="Y106" t="s">
        <v>324</v>
      </c>
      <c r="Z106" t="s">
        <v>358</v>
      </c>
    </row>
    <row r="107" spans="1:26" x14ac:dyDescent="0.3">
      <c r="A107">
        <v>106</v>
      </c>
      <c r="B107" s="16" t="s">
        <v>311</v>
      </c>
      <c r="C107" t="s">
        <v>352</v>
      </c>
      <c r="D107" t="s">
        <v>353</v>
      </c>
      <c r="E107" t="s">
        <v>17</v>
      </c>
      <c r="F107" t="s">
        <v>328</v>
      </c>
      <c r="G107" s="17" t="s">
        <v>359</v>
      </c>
      <c r="H107" t="s">
        <v>329</v>
      </c>
      <c r="I107" t="s">
        <v>330</v>
      </c>
      <c r="J107" t="s">
        <v>317</v>
      </c>
      <c r="K107" s="17" t="s">
        <v>355</v>
      </c>
      <c r="L107" s="17" t="s">
        <v>336</v>
      </c>
      <c r="M107" s="17" t="s">
        <v>336</v>
      </c>
      <c r="N107" t="s">
        <v>325</v>
      </c>
      <c r="O107" t="s">
        <v>325</v>
      </c>
      <c r="P107" t="s">
        <v>333</v>
      </c>
      <c r="Q107" t="s">
        <v>322</v>
      </c>
      <c r="R107">
        <v>4.3835599999999999E-3</v>
      </c>
      <c r="S107">
        <v>4.3835599999999999E-3</v>
      </c>
      <c r="T107" t="s">
        <v>311</v>
      </c>
      <c r="U107" t="s">
        <v>357</v>
      </c>
      <c r="V107" s="17" t="s">
        <v>311</v>
      </c>
      <c r="W107">
        <v>1</v>
      </c>
      <c r="X107" t="s">
        <v>311</v>
      </c>
      <c r="Y107" t="s">
        <v>324</v>
      </c>
      <c r="Z107" t="s">
        <v>358</v>
      </c>
    </row>
    <row r="108" spans="1:26" x14ac:dyDescent="0.3">
      <c r="A108">
        <v>107</v>
      </c>
      <c r="B108" s="16" t="s">
        <v>311</v>
      </c>
      <c r="C108" t="s">
        <v>352</v>
      </c>
      <c r="D108" t="s">
        <v>353</v>
      </c>
      <c r="E108" t="s">
        <v>17</v>
      </c>
      <c r="F108" t="s">
        <v>328</v>
      </c>
      <c r="G108" s="17" t="s">
        <v>359</v>
      </c>
      <c r="H108" t="s">
        <v>329</v>
      </c>
      <c r="I108" t="s">
        <v>330</v>
      </c>
      <c r="J108" t="s">
        <v>317</v>
      </c>
      <c r="K108" s="17" t="s">
        <v>355</v>
      </c>
      <c r="L108" s="17" t="s">
        <v>336</v>
      </c>
      <c r="M108" s="17" t="s">
        <v>336</v>
      </c>
      <c r="N108" t="s">
        <v>325</v>
      </c>
      <c r="O108" t="s">
        <v>325</v>
      </c>
      <c r="P108" t="s">
        <v>333</v>
      </c>
      <c r="Q108" t="s">
        <v>322</v>
      </c>
      <c r="R108">
        <v>1.6438399999999999E-3</v>
      </c>
      <c r="S108">
        <v>1.6438399999999999E-3</v>
      </c>
      <c r="T108" t="s">
        <v>311</v>
      </c>
      <c r="U108" t="s">
        <v>357</v>
      </c>
      <c r="V108" s="17" t="s">
        <v>311</v>
      </c>
      <c r="W108">
        <v>1</v>
      </c>
      <c r="X108" t="s">
        <v>311</v>
      </c>
      <c r="Y108" t="s">
        <v>324</v>
      </c>
      <c r="Z108" t="s">
        <v>358</v>
      </c>
    </row>
    <row r="109" spans="1:26" x14ac:dyDescent="0.3">
      <c r="A109">
        <v>108</v>
      </c>
      <c r="B109" s="16" t="s">
        <v>311</v>
      </c>
      <c r="C109" t="s">
        <v>352</v>
      </c>
      <c r="D109" t="s">
        <v>353</v>
      </c>
      <c r="E109" t="s">
        <v>17</v>
      </c>
      <c r="F109" t="s">
        <v>328</v>
      </c>
      <c r="G109" s="17" t="s">
        <v>359</v>
      </c>
      <c r="H109" t="s">
        <v>329</v>
      </c>
      <c r="I109" t="s">
        <v>330</v>
      </c>
      <c r="J109" t="s">
        <v>317</v>
      </c>
      <c r="K109" s="17" t="s">
        <v>355</v>
      </c>
      <c r="L109" s="17" t="s">
        <v>336</v>
      </c>
      <c r="M109" s="17" t="s">
        <v>336</v>
      </c>
      <c r="N109" t="s">
        <v>325</v>
      </c>
      <c r="O109" t="s">
        <v>325</v>
      </c>
      <c r="P109" t="s">
        <v>333</v>
      </c>
      <c r="Q109" t="s">
        <v>322</v>
      </c>
      <c r="R109">
        <v>7.1232900000000004E-4</v>
      </c>
      <c r="S109">
        <v>7.1232900000000004E-4</v>
      </c>
      <c r="T109" t="s">
        <v>311</v>
      </c>
      <c r="U109" t="s">
        <v>357</v>
      </c>
      <c r="V109" s="17" t="s">
        <v>311</v>
      </c>
      <c r="W109">
        <v>1</v>
      </c>
      <c r="X109" t="s">
        <v>311</v>
      </c>
      <c r="Y109" t="s">
        <v>324</v>
      </c>
      <c r="Z109" t="s">
        <v>358</v>
      </c>
    </row>
    <row r="110" spans="1:26" x14ac:dyDescent="0.3">
      <c r="A110">
        <v>109</v>
      </c>
      <c r="B110" s="16" t="s">
        <v>311</v>
      </c>
      <c r="C110" t="s">
        <v>352</v>
      </c>
      <c r="D110" t="s">
        <v>353</v>
      </c>
      <c r="E110" t="s">
        <v>17</v>
      </c>
      <c r="F110" t="s">
        <v>328</v>
      </c>
      <c r="G110" t="s">
        <v>362</v>
      </c>
      <c r="H110" t="s">
        <v>329</v>
      </c>
      <c r="I110" t="s">
        <v>330</v>
      </c>
      <c r="J110" t="s">
        <v>317</v>
      </c>
      <c r="K110" s="17" t="s">
        <v>355</v>
      </c>
      <c r="L110" s="17" t="s">
        <v>336</v>
      </c>
      <c r="M110" s="17" t="s">
        <v>336</v>
      </c>
      <c r="N110" t="s">
        <v>337</v>
      </c>
      <c r="O110" t="s">
        <v>80</v>
      </c>
      <c r="P110" t="s">
        <v>333</v>
      </c>
      <c r="Q110" t="s">
        <v>322</v>
      </c>
      <c r="R110">
        <v>0</v>
      </c>
      <c r="S110">
        <v>0</v>
      </c>
      <c r="T110" t="s">
        <v>311</v>
      </c>
      <c r="U110" t="s">
        <v>357</v>
      </c>
      <c r="V110" s="17" t="s">
        <v>311</v>
      </c>
      <c r="W110">
        <v>1</v>
      </c>
      <c r="X110" t="s">
        <v>311</v>
      </c>
      <c r="Y110" t="s">
        <v>324</v>
      </c>
      <c r="Z110" t="s">
        <v>358</v>
      </c>
    </row>
    <row r="111" spans="1:26" x14ac:dyDescent="0.3">
      <c r="A111">
        <v>110</v>
      </c>
      <c r="B111" s="16" t="s">
        <v>311</v>
      </c>
      <c r="C111" t="s">
        <v>352</v>
      </c>
      <c r="D111" t="s">
        <v>353</v>
      </c>
      <c r="E111" t="s">
        <v>17</v>
      </c>
      <c r="F111" t="s">
        <v>328</v>
      </c>
      <c r="G111" t="s">
        <v>362</v>
      </c>
      <c r="H111" t="s">
        <v>329</v>
      </c>
      <c r="I111" t="s">
        <v>330</v>
      </c>
      <c r="J111" t="s">
        <v>317</v>
      </c>
      <c r="K111" s="17" t="s">
        <v>355</v>
      </c>
      <c r="L111" s="17" t="s">
        <v>336</v>
      </c>
      <c r="M111" s="17" t="s">
        <v>336</v>
      </c>
      <c r="N111" t="s">
        <v>337</v>
      </c>
      <c r="O111" t="s">
        <v>80</v>
      </c>
      <c r="P111" t="s">
        <v>333</v>
      </c>
      <c r="Q111" t="s">
        <v>322</v>
      </c>
      <c r="R111">
        <v>5.66E-5</v>
      </c>
      <c r="S111">
        <v>5.66E-5</v>
      </c>
      <c r="T111" t="s">
        <v>311</v>
      </c>
      <c r="U111" t="s">
        <v>357</v>
      </c>
      <c r="V111" s="17" t="s">
        <v>311</v>
      </c>
      <c r="W111">
        <v>1</v>
      </c>
      <c r="X111" t="s">
        <v>311</v>
      </c>
      <c r="Y111" t="s">
        <v>324</v>
      </c>
      <c r="Z111" t="s">
        <v>358</v>
      </c>
    </row>
    <row r="112" spans="1:26" x14ac:dyDescent="0.3">
      <c r="A112">
        <v>111</v>
      </c>
      <c r="B112" s="16" t="s">
        <v>311</v>
      </c>
      <c r="C112" t="s">
        <v>352</v>
      </c>
      <c r="D112" t="s">
        <v>353</v>
      </c>
      <c r="E112" t="s">
        <v>17</v>
      </c>
      <c r="F112" t="s">
        <v>328</v>
      </c>
      <c r="G112" t="s">
        <v>362</v>
      </c>
      <c r="H112" t="s">
        <v>329</v>
      </c>
      <c r="I112" t="s">
        <v>330</v>
      </c>
      <c r="J112" t="s">
        <v>317</v>
      </c>
      <c r="K112" s="17" t="s">
        <v>355</v>
      </c>
      <c r="L112" s="17" t="s">
        <v>336</v>
      </c>
      <c r="M112" s="17" t="s">
        <v>336</v>
      </c>
      <c r="N112" t="s">
        <v>337</v>
      </c>
      <c r="O112" t="s">
        <v>80</v>
      </c>
      <c r="P112" t="s">
        <v>333</v>
      </c>
      <c r="Q112" t="s">
        <v>322</v>
      </c>
      <c r="R112">
        <v>3.9622600000000001E-4</v>
      </c>
      <c r="S112">
        <v>3.9622600000000001E-4</v>
      </c>
      <c r="T112" t="s">
        <v>311</v>
      </c>
      <c r="U112" t="s">
        <v>357</v>
      </c>
      <c r="V112" s="17" t="s">
        <v>311</v>
      </c>
      <c r="W112">
        <v>1</v>
      </c>
      <c r="X112" t="s">
        <v>311</v>
      </c>
      <c r="Y112" t="s">
        <v>324</v>
      </c>
      <c r="Z112" t="s">
        <v>358</v>
      </c>
    </row>
    <row r="113" spans="1:26" x14ac:dyDescent="0.3">
      <c r="A113">
        <v>112</v>
      </c>
      <c r="B113" s="16" t="s">
        <v>311</v>
      </c>
      <c r="C113" t="s">
        <v>352</v>
      </c>
      <c r="D113" t="s">
        <v>353</v>
      </c>
      <c r="E113" t="s">
        <v>17</v>
      </c>
      <c r="F113" t="s">
        <v>328</v>
      </c>
      <c r="G113" t="s">
        <v>362</v>
      </c>
      <c r="H113" t="s">
        <v>329</v>
      </c>
      <c r="I113" t="s">
        <v>330</v>
      </c>
      <c r="J113" t="s">
        <v>317</v>
      </c>
      <c r="K113" s="17" t="s">
        <v>355</v>
      </c>
      <c r="L113" s="17" t="s">
        <v>336</v>
      </c>
      <c r="M113" s="17" t="s">
        <v>336</v>
      </c>
      <c r="N113" t="s">
        <v>337</v>
      </c>
      <c r="O113" t="s">
        <v>80</v>
      </c>
      <c r="P113" t="s">
        <v>333</v>
      </c>
      <c r="Q113" t="s">
        <v>322</v>
      </c>
      <c r="R113">
        <v>5.0943400000000002E-4</v>
      </c>
      <c r="S113">
        <v>5.0943400000000002E-4</v>
      </c>
      <c r="T113" t="s">
        <v>311</v>
      </c>
      <c r="U113" t="s">
        <v>357</v>
      </c>
      <c r="V113" s="17" t="s">
        <v>311</v>
      </c>
      <c r="W113">
        <v>1</v>
      </c>
      <c r="X113" t="s">
        <v>311</v>
      </c>
      <c r="Y113" t="s">
        <v>324</v>
      </c>
      <c r="Z113" t="s">
        <v>358</v>
      </c>
    </row>
    <row r="114" spans="1:26" x14ac:dyDescent="0.3">
      <c r="A114">
        <v>113</v>
      </c>
      <c r="B114" s="16" t="s">
        <v>311</v>
      </c>
      <c r="C114" t="s">
        <v>352</v>
      </c>
      <c r="D114" t="s">
        <v>353</v>
      </c>
      <c r="E114" t="s">
        <v>17</v>
      </c>
      <c r="F114" t="s">
        <v>328</v>
      </c>
      <c r="G114" t="s">
        <v>362</v>
      </c>
      <c r="H114" t="s">
        <v>329</v>
      </c>
      <c r="I114" t="s">
        <v>330</v>
      </c>
      <c r="J114" t="s">
        <v>317</v>
      </c>
      <c r="K114" s="17" t="s">
        <v>355</v>
      </c>
      <c r="L114" s="17" t="s">
        <v>336</v>
      </c>
      <c r="M114" s="17" t="s">
        <v>336</v>
      </c>
      <c r="N114" t="s">
        <v>337</v>
      </c>
      <c r="O114" t="s">
        <v>80</v>
      </c>
      <c r="P114" t="s">
        <v>333</v>
      </c>
      <c r="Q114" t="s">
        <v>322</v>
      </c>
      <c r="R114">
        <v>7.3584900000000001E-4</v>
      </c>
      <c r="S114">
        <v>7.3584900000000001E-4</v>
      </c>
      <c r="T114" t="s">
        <v>311</v>
      </c>
      <c r="U114" t="s">
        <v>357</v>
      </c>
      <c r="V114" s="17" t="s">
        <v>311</v>
      </c>
      <c r="W114">
        <v>1</v>
      </c>
      <c r="X114" t="s">
        <v>311</v>
      </c>
      <c r="Y114" t="s">
        <v>324</v>
      </c>
      <c r="Z114" t="s">
        <v>358</v>
      </c>
    </row>
    <row r="115" spans="1:26" x14ac:dyDescent="0.3">
      <c r="A115">
        <v>114</v>
      </c>
      <c r="B115" s="16" t="s">
        <v>311</v>
      </c>
      <c r="C115" t="s">
        <v>352</v>
      </c>
      <c r="D115" t="s">
        <v>353</v>
      </c>
      <c r="E115" t="s">
        <v>17</v>
      </c>
      <c r="F115" t="s">
        <v>328</v>
      </c>
      <c r="G115" t="s">
        <v>362</v>
      </c>
      <c r="H115" t="s">
        <v>329</v>
      </c>
      <c r="I115" t="s">
        <v>330</v>
      </c>
      <c r="J115" t="s">
        <v>317</v>
      </c>
      <c r="K115" s="17" t="s">
        <v>355</v>
      </c>
      <c r="L115" s="17" t="s">
        <v>336</v>
      </c>
      <c r="M115" s="17" t="s">
        <v>336</v>
      </c>
      <c r="N115" t="s">
        <v>337</v>
      </c>
      <c r="O115" t="s">
        <v>80</v>
      </c>
      <c r="P115" t="s">
        <v>333</v>
      </c>
      <c r="Q115" t="s">
        <v>322</v>
      </c>
      <c r="R115">
        <v>1.07547E-3</v>
      </c>
      <c r="S115">
        <v>1.07547E-3</v>
      </c>
      <c r="T115" t="s">
        <v>311</v>
      </c>
      <c r="U115" t="s">
        <v>357</v>
      </c>
      <c r="V115" s="17" t="s">
        <v>311</v>
      </c>
      <c r="W115">
        <v>1</v>
      </c>
      <c r="X115" t="s">
        <v>311</v>
      </c>
      <c r="Y115" t="s">
        <v>324</v>
      </c>
      <c r="Z115" t="s">
        <v>358</v>
      </c>
    </row>
    <row r="116" spans="1:26" x14ac:dyDescent="0.3">
      <c r="A116">
        <v>115</v>
      </c>
      <c r="B116" s="16" t="s">
        <v>311</v>
      </c>
      <c r="C116" t="s">
        <v>352</v>
      </c>
      <c r="D116" t="s">
        <v>353</v>
      </c>
      <c r="E116" t="s">
        <v>17</v>
      </c>
      <c r="F116" t="s">
        <v>328</v>
      </c>
      <c r="G116" t="s">
        <v>362</v>
      </c>
      <c r="H116" t="s">
        <v>329</v>
      </c>
      <c r="I116" t="s">
        <v>330</v>
      </c>
      <c r="J116" t="s">
        <v>317</v>
      </c>
      <c r="K116" s="17" t="s">
        <v>355</v>
      </c>
      <c r="L116" s="17" t="s">
        <v>336</v>
      </c>
      <c r="M116" s="17" t="s">
        <v>336</v>
      </c>
      <c r="N116" t="s">
        <v>337</v>
      </c>
      <c r="O116" t="s">
        <v>80</v>
      </c>
      <c r="P116" t="s">
        <v>333</v>
      </c>
      <c r="Q116" t="s">
        <v>322</v>
      </c>
      <c r="R116">
        <v>6.7924499999999998E-4</v>
      </c>
      <c r="S116">
        <v>6.7924499999999998E-4</v>
      </c>
      <c r="T116" t="s">
        <v>311</v>
      </c>
      <c r="U116" t="s">
        <v>357</v>
      </c>
      <c r="V116" s="17" t="s">
        <v>311</v>
      </c>
      <c r="W116">
        <v>1</v>
      </c>
      <c r="X116" t="s">
        <v>311</v>
      </c>
      <c r="Y116" t="s">
        <v>324</v>
      </c>
      <c r="Z116" t="s">
        <v>358</v>
      </c>
    </row>
    <row r="117" spans="1:26" x14ac:dyDescent="0.3">
      <c r="A117">
        <v>116</v>
      </c>
      <c r="B117" s="16" t="s">
        <v>311</v>
      </c>
      <c r="C117" t="s">
        <v>352</v>
      </c>
      <c r="D117" t="s">
        <v>353</v>
      </c>
      <c r="E117" t="s">
        <v>17</v>
      </c>
      <c r="F117" t="s">
        <v>328</v>
      </c>
      <c r="G117" t="s">
        <v>362</v>
      </c>
      <c r="H117" t="s">
        <v>329</v>
      </c>
      <c r="I117" t="s">
        <v>330</v>
      </c>
      <c r="J117" t="s">
        <v>317</v>
      </c>
      <c r="K117" s="17" t="s">
        <v>355</v>
      </c>
      <c r="L117" s="17" t="s">
        <v>336</v>
      </c>
      <c r="M117" s="17" t="s">
        <v>336</v>
      </c>
      <c r="N117" t="s">
        <v>337</v>
      </c>
      <c r="O117" t="s">
        <v>80</v>
      </c>
      <c r="P117" t="s">
        <v>333</v>
      </c>
      <c r="Q117" t="s">
        <v>322</v>
      </c>
      <c r="R117">
        <v>2.2641499999999999E-4</v>
      </c>
      <c r="S117">
        <v>2.2641499999999999E-4</v>
      </c>
      <c r="T117" t="s">
        <v>311</v>
      </c>
      <c r="U117" t="s">
        <v>357</v>
      </c>
      <c r="V117" s="17" t="s">
        <v>311</v>
      </c>
      <c r="W117">
        <v>1</v>
      </c>
      <c r="X117" t="s">
        <v>311</v>
      </c>
      <c r="Y117" t="s">
        <v>324</v>
      </c>
      <c r="Z117" t="s">
        <v>358</v>
      </c>
    </row>
    <row r="118" spans="1:26" x14ac:dyDescent="0.3">
      <c r="A118">
        <v>117</v>
      </c>
      <c r="B118" s="16" t="s">
        <v>311</v>
      </c>
      <c r="C118" t="s">
        <v>352</v>
      </c>
      <c r="D118" t="s">
        <v>353</v>
      </c>
      <c r="E118" t="s">
        <v>17</v>
      </c>
      <c r="F118" t="s">
        <v>328</v>
      </c>
      <c r="G118" s="17" t="s">
        <v>359</v>
      </c>
      <c r="H118" t="s">
        <v>329</v>
      </c>
      <c r="I118" t="s">
        <v>330</v>
      </c>
      <c r="J118" t="s">
        <v>317</v>
      </c>
      <c r="K118" s="17" t="s">
        <v>355</v>
      </c>
      <c r="L118" s="17" t="s">
        <v>336</v>
      </c>
      <c r="M118" s="17" t="s">
        <v>336</v>
      </c>
      <c r="N118" t="s">
        <v>325</v>
      </c>
      <c r="O118" t="s">
        <v>325</v>
      </c>
      <c r="P118" t="s">
        <v>333</v>
      </c>
      <c r="Q118" t="s">
        <v>322</v>
      </c>
      <c r="R118">
        <v>1.86301E-3</v>
      </c>
      <c r="S118">
        <v>1.86301E-3</v>
      </c>
      <c r="T118" t="s">
        <v>311</v>
      </c>
      <c r="U118" t="s">
        <v>357</v>
      </c>
      <c r="V118" s="17" t="s">
        <v>311</v>
      </c>
      <c r="W118">
        <v>1</v>
      </c>
      <c r="X118" t="s">
        <v>311</v>
      </c>
      <c r="Y118" t="s">
        <v>324</v>
      </c>
      <c r="Z118" t="s">
        <v>358</v>
      </c>
    </row>
    <row r="119" spans="1:26" x14ac:dyDescent="0.3">
      <c r="A119">
        <v>118</v>
      </c>
      <c r="B119" s="16" t="s">
        <v>311</v>
      </c>
      <c r="C119" t="s">
        <v>352</v>
      </c>
      <c r="D119" t="s">
        <v>353</v>
      </c>
      <c r="E119" t="s">
        <v>17</v>
      </c>
      <c r="F119" t="s">
        <v>328</v>
      </c>
      <c r="G119" s="17" t="s">
        <v>359</v>
      </c>
      <c r="H119" t="s">
        <v>329</v>
      </c>
      <c r="I119" t="s">
        <v>330</v>
      </c>
      <c r="J119" t="s">
        <v>317</v>
      </c>
      <c r="K119" s="17" t="s">
        <v>355</v>
      </c>
      <c r="L119" s="17" t="s">
        <v>336</v>
      </c>
      <c r="M119" s="17" t="s">
        <v>336</v>
      </c>
      <c r="N119" t="s">
        <v>325</v>
      </c>
      <c r="O119" t="s">
        <v>325</v>
      </c>
      <c r="P119" t="s">
        <v>333</v>
      </c>
      <c r="Q119" t="s">
        <v>322</v>
      </c>
      <c r="R119">
        <v>2.8493199999999998E-3</v>
      </c>
      <c r="S119">
        <v>2.8493199999999998E-3</v>
      </c>
      <c r="T119" t="s">
        <v>311</v>
      </c>
      <c r="U119" t="s">
        <v>357</v>
      </c>
      <c r="V119" s="17" t="s">
        <v>311</v>
      </c>
      <c r="W119">
        <v>1</v>
      </c>
      <c r="X119" t="s">
        <v>311</v>
      </c>
      <c r="Y119" t="s">
        <v>324</v>
      </c>
      <c r="Z119" t="s">
        <v>358</v>
      </c>
    </row>
    <row r="120" spans="1:26" x14ac:dyDescent="0.3">
      <c r="A120">
        <v>119</v>
      </c>
      <c r="B120" s="16" t="s">
        <v>311</v>
      </c>
      <c r="C120" t="s">
        <v>352</v>
      </c>
      <c r="D120" t="s">
        <v>353</v>
      </c>
      <c r="E120" t="s">
        <v>17</v>
      </c>
      <c r="F120" t="s">
        <v>328</v>
      </c>
      <c r="G120" s="17" t="s">
        <v>359</v>
      </c>
      <c r="H120" t="s">
        <v>329</v>
      </c>
      <c r="I120" t="s">
        <v>330</v>
      </c>
      <c r="J120" t="s">
        <v>317</v>
      </c>
      <c r="K120" s="17" t="s">
        <v>355</v>
      </c>
      <c r="L120" s="17" t="s">
        <v>336</v>
      </c>
      <c r="M120" s="17" t="s">
        <v>336</v>
      </c>
      <c r="N120" t="s">
        <v>325</v>
      </c>
      <c r="O120" t="s">
        <v>325</v>
      </c>
      <c r="P120" t="s">
        <v>333</v>
      </c>
      <c r="Q120" t="s">
        <v>322</v>
      </c>
      <c r="R120">
        <v>4.8767100000000002E-3</v>
      </c>
      <c r="S120">
        <v>4.8767100000000002E-3</v>
      </c>
      <c r="T120" t="s">
        <v>311</v>
      </c>
      <c r="U120" t="s">
        <v>357</v>
      </c>
      <c r="V120" s="17" t="s">
        <v>311</v>
      </c>
      <c r="W120">
        <v>1</v>
      </c>
      <c r="X120" t="s">
        <v>311</v>
      </c>
      <c r="Y120" t="s">
        <v>324</v>
      </c>
      <c r="Z120" t="s">
        <v>358</v>
      </c>
    </row>
    <row r="121" spans="1:26" x14ac:dyDescent="0.3">
      <c r="A121">
        <v>120</v>
      </c>
      <c r="B121" s="16" t="s">
        <v>311</v>
      </c>
      <c r="C121" t="s">
        <v>352</v>
      </c>
      <c r="D121" t="s">
        <v>353</v>
      </c>
      <c r="E121" t="s">
        <v>17</v>
      </c>
      <c r="F121" t="s">
        <v>328</v>
      </c>
      <c r="G121" s="17" t="s">
        <v>359</v>
      </c>
      <c r="H121" t="s">
        <v>329</v>
      </c>
      <c r="I121" t="s">
        <v>330</v>
      </c>
      <c r="J121" t="s">
        <v>317</v>
      </c>
      <c r="K121" s="17" t="s">
        <v>355</v>
      </c>
      <c r="L121" s="17" t="s">
        <v>336</v>
      </c>
      <c r="M121" s="17" t="s">
        <v>336</v>
      </c>
      <c r="N121" t="s">
        <v>325</v>
      </c>
      <c r="O121" t="s">
        <v>325</v>
      </c>
      <c r="P121" t="s">
        <v>333</v>
      </c>
      <c r="Q121" t="s">
        <v>322</v>
      </c>
      <c r="R121">
        <v>4.3835599999999999E-3</v>
      </c>
      <c r="S121">
        <v>4.3835599999999999E-3</v>
      </c>
      <c r="T121" t="s">
        <v>311</v>
      </c>
      <c r="U121" t="s">
        <v>357</v>
      </c>
      <c r="V121" s="17" t="s">
        <v>311</v>
      </c>
      <c r="W121">
        <v>1</v>
      </c>
      <c r="X121" t="s">
        <v>311</v>
      </c>
      <c r="Y121" t="s">
        <v>324</v>
      </c>
      <c r="Z121" t="s">
        <v>358</v>
      </c>
    </row>
    <row r="122" spans="1:26" x14ac:dyDescent="0.3">
      <c r="A122">
        <v>121</v>
      </c>
      <c r="B122" s="16" t="s">
        <v>311</v>
      </c>
      <c r="C122" t="s">
        <v>352</v>
      </c>
      <c r="D122" t="s">
        <v>353</v>
      </c>
      <c r="E122" t="s">
        <v>17</v>
      </c>
      <c r="F122" t="s">
        <v>328</v>
      </c>
      <c r="G122" s="17" t="s">
        <v>359</v>
      </c>
      <c r="H122" t="s">
        <v>329</v>
      </c>
      <c r="I122" t="s">
        <v>330</v>
      </c>
      <c r="J122" t="s">
        <v>317</v>
      </c>
      <c r="K122" s="17" t="s">
        <v>355</v>
      </c>
      <c r="L122" s="17" t="s">
        <v>336</v>
      </c>
      <c r="M122" s="17" t="s">
        <v>336</v>
      </c>
      <c r="N122" t="s">
        <v>325</v>
      </c>
      <c r="O122" t="s">
        <v>325</v>
      </c>
      <c r="P122" t="s">
        <v>333</v>
      </c>
      <c r="Q122" t="s">
        <v>322</v>
      </c>
      <c r="R122">
        <v>7.1232900000000004E-4</v>
      </c>
      <c r="S122">
        <v>7.1232900000000004E-4</v>
      </c>
      <c r="T122" t="s">
        <v>311</v>
      </c>
      <c r="U122" t="s">
        <v>357</v>
      </c>
      <c r="V122" s="17" t="s">
        <v>311</v>
      </c>
      <c r="W122">
        <v>1</v>
      </c>
      <c r="X122" t="s">
        <v>311</v>
      </c>
      <c r="Y122" t="s">
        <v>324</v>
      </c>
      <c r="Z122" t="s">
        <v>358</v>
      </c>
    </row>
    <row r="123" spans="1:26" x14ac:dyDescent="0.3">
      <c r="A123">
        <v>122</v>
      </c>
      <c r="B123" s="16" t="s">
        <v>311</v>
      </c>
      <c r="C123" t="s">
        <v>363</v>
      </c>
      <c r="D123" t="s">
        <v>364</v>
      </c>
      <c r="E123" t="s">
        <v>11</v>
      </c>
      <c r="F123" t="s">
        <v>314</v>
      </c>
      <c r="G123" t="s">
        <v>315</v>
      </c>
      <c r="H123" t="s">
        <v>315</v>
      </c>
      <c r="I123" t="s">
        <v>316</v>
      </c>
      <c r="J123" t="s">
        <v>317</v>
      </c>
      <c r="K123" s="17" t="s">
        <v>365</v>
      </c>
      <c r="L123" s="17" t="s">
        <v>319</v>
      </c>
      <c r="M123" s="17" t="s">
        <v>319</v>
      </c>
      <c r="N123" t="s">
        <v>366</v>
      </c>
      <c r="O123" t="s">
        <v>88</v>
      </c>
      <c r="P123" t="s">
        <v>321</v>
      </c>
      <c r="Q123" t="s">
        <v>322</v>
      </c>
      <c r="R123">
        <v>9.3900000000000006E-5</v>
      </c>
      <c r="S123">
        <v>9.3900000000000006E-5</v>
      </c>
      <c r="T123" t="s">
        <v>311</v>
      </c>
      <c r="U123" t="s">
        <v>323</v>
      </c>
      <c r="V123" s="17" t="s">
        <v>311</v>
      </c>
      <c r="W123">
        <v>6</v>
      </c>
      <c r="X123" t="s">
        <v>311</v>
      </c>
      <c r="Y123" t="s">
        <v>324</v>
      </c>
      <c r="Z123" t="s">
        <v>311</v>
      </c>
    </row>
    <row r="124" spans="1:26" x14ac:dyDescent="0.3">
      <c r="A124">
        <v>123</v>
      </c>
      <c r="B124" s="16" t="s">
        <v>311</v>
      </c>
      <c r="C124" t="s">
        <v>363</v>
      </c>
      <c r="D124" t="s">
        <v>364</v>
      </c>
      <c r="E124" t="s">
        <v>11</v>
      </c>
      <c r="F124" t="s">
        <v>314</v>
      </c>
      <c r="G124" t="s">
        <v>315</v>
      </c>
      <c r="H124" t="s">
        <v>315</v>
      </c>
      <c r="I124" t="s">
        <v>316</v>
      </c>
      <c r="J124" t="s">
        <v>317</v>
      </c>
      <c r="K124" s="17" t="s">
        <v>365</v>
      </c>
      <c r="L124" s="17" t="s">
        <v>319</v>
      </c>
      <c r="M124" s="17" t="s">
        <v>319</v>
      </c>
      <c r="N124" t="s">
        <v>325</v>
      </c>
      <c r="O124" t="s">
        <v>325</v>
      </c>
      <c r="P124" t="s">
        <v>321</v>
      </c>
      <c r="Q124" t="s">
        <v>322</v>
      </c>
      <c r="R124">
        <v>7.37E-7</v>
      </c>
      <c r="S124">
        <v>7.37E-7</v>
      </c>
      <c r="T124" t="s">
        <v>311</v>
      </c>
      <c r="U124" t="s">
        <v>323</v>
      </c>
      <c r="V124" s="17" t="s">
        <v>311</v>
      </c>
      <c r="W124">
        <v>6</v>
      </c>
      <c r="X124" t="s">
        <v>311</v>
      </c>
      <c r="Y124" t="s">
        <v>324</v>
      </c>
      <c r="Z124" t="s">
        <v>311</v>
      </c>
    </row>
    <row r="125" spans="1:26" x14ac:dyDescent="0.3">
      <c r="A125">
        <v>124</v>
      </c>
      <c r="B125" s="16" t="s">
        <v>311</v>
      </c>
      <c r="C125" t="s">
        <v>363</v>
      </c>
      <c r="D125" t="s">
        <v>364</v>
      </c>
      <c r="E125" t="s">
        <v>11</v>
      </c>
      <c r="F125" t="s">
        <v>314</v>
      </c>
      <c r="G125" t="s">
        <v>315</v>
      </c>
      <c r="H125" t="s">
        <v>315</v>
      </c>
      <c r="I125" t="s">
        <v>316</v>
      </c>
      <c r="J125" t="s">
        <v>317</v>
      </c>
      <c r="K125" s="17" t="s">
        <v>365</v>
      </c>
      <c r="L125" s="17" t="s">
        <v>319</v>
      </c>
      <c r="M125" s="17" t="s">
        <v>319</v>
      </c>
      <c r="N125" t="s">
        <v>367</v>
      </c>
      <c r="O125" t="s">
        <v>80</v>
      </c>
      <c r="P125" t="s">
        <v>321</v>
      </c>
      <c r="Q125" t="s">
        <v>322</v>
      </c>
      <c r="R125">
        <v>2.51E-5</v>
      </c>
      <c r="S125">
        <v>2.51E-5</v>
      </c>
      <c r="T125" t="s">
        <v>311</v>
      </c>
      <c r="U125" t="s">
        <v>323</v>
      </c>
      <c r="V125" s="17" t="s">
        <v>311</v>
      </c>
      <c r="W125">
        <v>6</v>
      </c>
      <c r="X125" t="s">
        <v>311</v>
      </c>
      <c r="Y125" t="s">
        <v>324</v>
      </c>
      <c r="Z125" t="s">
        <v>311</v>
      </c>
    </row>
    <row r="126" spans="1:26" x14ac:dyDescent="0.3">
      <c r="A126">
        <v>125</v>
      </c>
      <c r="B126" s="16" t="s">
        <v>311</v>
      </c>
      <c r="C126" t="s">
        <v>363</v>
      </c>
      <c r="D126" t="s">
        <v>364</v>
      </c>
      <c r="E126" t="s">
        <v>11</v>
      </c>
      <c r="F126" t="s">
        <v>314</v>
      </c>
      <c r="G126" t="s">
        <v>315</v>
      </c>
      <c r="H126" t="s">
        <v>315</v>
      </c>
      <c r="I126" t="s">
        <v>316</v>
      </c>
      <c r="J126" t="s">
        <v>317</v>
      </c>
      <c r="K126" s="17" t="s">
        <v>365</v>
      </c>
      <c r="L126" s="17" t="s">
        <v>319</v>
      </c>
      <c r="M126" s="17" t="s">
        <v>319</v>
      </c>
      <c r="N126" t="s">
        <v>325</v>
      </c>
      <c r="O126" t="s">
        <v>325</v>
      </c>
      <c r="P126" t="s">
        <v>321</v>
      </c>
      <c r="Q126" t="s">
        <v>322</v>
      </c>
      <c r="R126">
        <v>7.37E-7</v>
      </c>
      <c r="S126">
        <v>7.37E-7</v>
      </c>
      <c r="T126" t="s">
        <v>311</v>
      </c>
      <c r="U126" t="s">
        <v>323</v>
      </c>
      <c r="V126" s="17" t="s">
        <v>311</v>
      </c>
      <c r="W126">
        <v>6</v>
      </c>
      <c r="X126" t="s">
        <v>311</v>
      </c>
      <c r="Y126" t="s">
        <v>324</v>
      </c>
      <c r="Z126" t="s">
        <v>311</v>
      </c>
    </row>
    <row r="127" spans="1:26" x14ac:dyDescent="0.3">
      <c r="A127">
        <v>126</v>
      </c>
      <c r="B127" s="16" t="s">
        <v>311</v>
      </c>
      <c r="C127" t="s">
        <v>368</v>
      </c>
      <c r="D127" t="s">
        <v>369</v>
      </c>
      <c r="E127" t="s">
        <v>5</v>
      </c>
      <c r="F127" t="s">
        <v>314</v>
      </c>
      <c r="G127" t="s">
        <v>315</v>
      </c>
      <c r="H127" t="s">
        <v>315</v>
      </c>
      <c r="I127" t="s">
        <v>316</v>
      </c>
      <c r="J127" t="s">
        <v>317</v>
      </c>
      <c r="K127" s="17" t="s">
        <v>311</v>
      </c>
      <c r="L127" s="17" t="s">
        <v>311</v>
      </c>
      <c r="M127" s="17" t="s">
        <v>311</v>
      </c>
      <c r="N127" t="s">
        <v>320</v>
      </c>
      <c r="O127" t="s">
        <v>80</v>
      </c>
      <c r="P127" t="s">
        <v>333</v>
      </c>
      <c r="Q127" t="s">
        <v>322</v>
      </c>
      <c r="R127">
        <v>2.03757E-2</v>
      </c>
      <c r="S127">
        <v>2.03757E-2</v>
      </c>
      <c r="T127" t="s">
        <v>311</v>
      </c>
      <c r="U127" t="s">
        <v>370</v>
      </c>
      <c r="V127" s="17" t="s">
        <v>311</v>
      </c>
      <c r="W127">
        <v>8</v>
      </c>
      <c r="X127" t="s">
        <v>311</v>
      </c>
      <c r="Y127" t="s">
        <v>324</v>
      </c>
      <c r="Z127" t="s">
        <v>311</v>
      </c>
    </row>
    <row r="128" spans="1:26" x14ac:dyDescent="0.3">
      <c r="A128">
        <v>127</v>
      </c>
      <c r="B128" s="16" t="s">
        <v>311</v>
      </c>
      <c r="C128" t="s">
        <v>368</v>
      </c>
      <c r="D128" t="s">
        <v>369</v>
      </c>
      <c r="E128" t="s">
        <v>5</v>
      </c>
      <c r="F128" t="s">
        <v>314</v>
      </c>
      <c r="G128" t="s">
        <v>315</v>
      </c>
      <c r="H128" t="s">
        <v>315</v>
      </c>
      <c r="I128" t="s">
        <v>316</v>
      </c>
      <c r="J128" t="s">
        <v>317</v>
      </c>
      <c r="K128" s="17" t="s">
        <v>311</v>
      </c>
      <c r="L128" s="17" t="s">
        <v>311</v>
      </c>
      <c r="M128" s="17" t="s">
        <v>311</v>
      </c>
      <c r="N128" t="s">
        <v>320</v>
      </c>
      <c r="O128" t="s">
        <v>80</v>
      </c>
      <c r="P128" t="s">
        <v>333</v>
      </c>
      <c r="Q128" t="s">
        <v>322</v>
      </c>
      <c r="R128">
        <v>2.0664700000000001E-2</v>
      </c>
      <c r="S128">
        <v>2.0664700000000001E-2</v>
      </c>
      <c r="T128" t="s">
        <v>311</v>
      </c>
      <c r="U128" t="s">
        <v>370</v>
      </c>
      <c r="V128" s="17" t="s">
        <v>311</v>
      </c>
      <c r="W128">
        <v>8</v>
      </c>
      <c r="X128" t="s">
        <v>311</v>
      </c>
      <c r="Y128" t="s">
        <v>324</v>
      </c>
      <c r="Z128" t="s">
        <v>311</v>
      </c>
    </row>
    <row r="129" spans="1:26" x14ac:dyDescent="0.3">
      <c r="A129">
        <v>128</v>
      </c>
      <c r="B129" s="16" t="s">
        <v>311</v>
      </c>
      <c r="C129" t="s">
        <v>368</v>
      </c>
      <c r="D129" t="s">
        <v>369</v>
      </c>
      <c r="E129" t="s">
        <v>5</v>
      </c>
      <c r="F129" t="s">
        <v>314</v>
      </c>
      <c r="G129" t="s">
        <v>315</v>
      </c>
      <c r="H129" t="s">
        <v>315</v>
      </c>
      <c r="I129" t="s">
        <v>316</v>
      </c>
      <c r="J129" t="s">
        <v>317</v>
      </c>
      <c r="K129" s="17" t="s">
        <v>311</v>
      </c>
      <c r="L129" s="17" t="s">
        <v>311</v>
      </c>
      <c r="M129" s="17" t="s">
        <v>311</v>
      </c>
      <c r="N129" t="s">
        <v>320</v>
      </c>
      <c r="O129" t="s">
        <v>80</v>
      </c>
      <c r="P129" t="s">
        <v>333</v>
      </c>
      <c r="Q129" t="s">
        <v>322</v>
      </c>
      <c r="R129">
        <v>2.41275E-4</v>
      </c>
      <c r="S129">
        <v>2.41275E-4</v>
      </c>
      <c r="T129" t="s">
        <v>311</v>
      </c>
      <c r="U129" t="s">
        <v>370</v>
      </c>
      <c r="V129" s="17" t="s">
        <v>311</v>
      </c>
      <c r="W129">
        <v>8</v>
      </c>
      <c r="X129" t="s">
        <v>311</v>
      </c>
      <c r="Y129" t="s">
        <v>324</v>
      </c>
      <c r="Z129" t="s">
        <v>311</v>
      </c>
    </row>
    <row r="130" spans="1:26" x14ac:dyDescent="0.3">
      <c r="A130">
        <v>129</v>
      </c>
      <c r="B130" s="16" t="s">
        <v>311</v>
      </c>
      <c r="C130" t="s">
        <v>368</v>
      </c>
      <c r="D130" t="s">
        <v>369</v>
      </c>
      <c r="E130" t="s">
        <v>5</v>
      </c>
      <c r="F130" t="s">
        <v>314</v>
      </c>
      <c r="G130" t="s">
        <v>315</v>
      </c>
      <c r="H130" t="s">
        <v>315</v>
      </c>
      <c r="I130" t="s">
        <v>316</v>
      </c>
      <c r="J130" t="s">
        <v>317</v>
      </c>
      <c r="K130" s="17" t="s">
        <v>311</v>
      </c>
      <c r="L130" s="17" t="s">
        <v>311</v>
      </c>
      <c r="M130" s="17" t="s">
        <v>311</v>
      </c>
      <c r="N130" t="s">
        <v>320</v>
      </c>
      <c r="O130" t="s">
        <v>80</v>
      </c>
      <c r="P130" t="s">
        <v>333</v>
      </c>
      <c r="Q130" t="s">
        <v>322</v>
      </c>
      <c r="R130">
        <v>2.35961E-4</v>
      </c>
      <c r="S130">
        <v>2.35961E-4</v>
      </c>
      <c r="T130" t="s">
        <v>311</v>
      </c>
      <c r="U130" t="s">
        <v>370</v>
      </c>
      <c r="V130" s="17" t="s">
        <v>311</v>
      </c>
      <c r="W130">
        <v>8</v>
      </c>
      <c r="X130" t="s">
        <v>311</v>
      </c>
      <c r="Y130" t="s">
        <v>324</v>
      </c>
      <c r="Z130" t="s">
        <v>311</v>
      </c>
    </row>
    <row r="131" spans="1:26" x14ac:dyDescent="0.3">
      <c r="A131">
        <v>130</v>
      </c>
      <c r="B131" s="16" t="s">
        <v>311</v>
      </c>
      <c r="C131" t="s">
        <v>368</v>
      </c>
      <c r="D131" t="s">
        <v>369</v>
      </c>
      <c r="E131" t="s">
        <v>5</v>
      </c>
      <c r="F131" t="s">
        <v>314</v>
      </c>
      <c r="G131" t="s">
        <v>315</v>
      </c>
      <c r="H131" t="s">
        <v>315</v>
      </c>
      <c r="I131" t="s">
        <v>316</v>
      </c>
      <c r="J131" t="s">
        <v>317</v>
      </c>
      <c r="K131" s="17" t="s">
        <v>311</v>
      </c>
      <c r="L131" s="17" t="s">
        <v>311</v>
      </c>
      <c r="M131" s="17" t="s">
        <v>311</v>
      </c>
      <c r="N131" t="s">
        <v>342</v>
      </c>
      <c r="O131" t="s">
        <v>80</v>
      </c>
      <c r="P131" t="s">
        <v>333</v>
      </c>
      <c r="Q131" t="s">
        <v>322</v>
      </c>
      <c r="R131">
        <v>1.3728300000000001E-2</v>
      </c>
      <c r="S131">
        <v>1.3728300000000001E-2</v>
      </c>
      <c r="T131" t="s">
        <v>311</v>
      </c>
      <c r="U131" t="s">
        <v>370</v>
      </c>
      <c r="V131" s="17" t="s">
        <v>311</v>
      </c>
      <c r="W131">
        <v>8</v>
      </c>
      <c r="X131" t="s">
        <v>311</v>
      </c>
      <c r="Y131" t="s">
        <v>324</v>
      </c>
      <c r="Z131" t="s">
        <v>311</v>
      </c>
    </row>
    <row r="132" spans="1:26" x14ac:dyDescent="0.3">
      <c r="A132">
        <v>131</v>
      </c>
      <c r="B132" s="16" t="s">
        <v>311</v>
      </c>
      <c r="C132" t="s">
        <v>368</v>
      </c>
      <c r="D132" t="s">
        <v>369</v>
      </c>
      <c r="E132" t="s">
        <v>5</v>
      </c>
      <c r="F132" t="s">
        <v>314</v>
      </c>
      <c r="G132" t="s">
        <v>315</v>
      </c>
      <c r="H132" t="s">
        <v>315</v>
      </c>
      <c r="I132" t="s">
        <v>316</v>
      </c>
      <c r="J132" t="s">
        <v>317</v>
      </c>
      <c r="K132" s="17" t="s">
        <v>311</v>
      </c>
      <c r="L132" s="17" t="s">
        <v>311</v>
      </c>
      <c r="M132" s="17" t="s">
        <v>311</v>
      </c>
      <c r="N132" t="s">
        <v>342</v>
      </c>
      <c r="O132" t="s">
        <v>80</v>
      </c>
      <c r="P132" t="s">
        <v>333</v>
      </c>
      <c r="Q132" t="s">
        <v>322</v>
      </c>
      <c r="R132">
        <v>1.5317900000000001E-2</v>
      </c>
      <c r="S132">
        <v>1.5317900000000001E-2</v>
      </c>
      <c r="T132" t="s">
        <v>311</v>
      </c>
      <c r="U132" t="s">
        <v>370</v>
      </c>
      <c r="V132" s="17" t="s">
        <v>311</v>
      </c>
      <c r="W132">
        <v>8</v>
      </c>
      <c r="X132" t="s">
        <v>311</v>
      </c>
      <c r="Y132" t="s">
        <v>324</v>
      </c>
      <c r="Z132" t="s">
        <v>311</v>
      </c>
    </row>
    <row r="133" spans="1:26" x14ac:dyDescent="0.3">
      <c r="A133">
        <v>132</v>
      </c>
      <c r="B133" s="16" t="s">
        <v>311</v>
      </c>
      <c r="C133" t="s">
        <v>368</v>
      </c>
      <c r="D133" t="s">
        <v>369</v>
      </c>
      <c r="E133" t="s">
        <v>5</v>
      </c>
      <c r="F133" t="s">
        <v>314</v>
      </c>
      <c r="G133" t="s">
        <v>315</v>
      </c>
      <c r="H133" t="s">
        <v>315</v>
      </c>
      <c r="I133" t="s">
        <v>316</v>
      </c>
      <c r="J133" t="s">
        <v>317</v>
      </c>
      <c r="K133" s="17" t="s">
        <v>311</v>
      </c>
      <c r="L133" s="17" t="s">
        <v>311</v>
      </c>
      <c r="M133" s="17" t="s">
        <v>311</v>
      </c>
      <c r="N133" t="s">
        <v>342</v>
      </c>
      <c r="O133" t="s">
        <v>80</v>
      </c>
      <c r="P133" t="s">
        <v>333</v>
      </c>
      <c r="Q133" t="s">
        <v>322</v>
      </c>
      <c r="R133">
        <v>6.8414500000000004E-4</v>
      </c>
      <c r="S133">
        <v>6.8414500000000004E-4</v>
      </c>
      <c r="T133" t="s">
        <v>311</v>
      </c>
      <c r="U133" t="s">
        <v>370</v>
      </c>
      <c r="V133" s="17" t="s">
        <v>311</v>
      </c>
      <c r="W133">
        <v>8</v>
      </c>
      <c r="X133" t="s">
        <v>311</v>
      </c>
      <c r="Y133" t="s">
        <v>324</v>
      </c>
      <c r="Z133" t="s">
        <v>311</v>
      </c>
    </row>
    <row r="134" spans="1:26" x14ac:dyDescent="0.3">
      <c r="A134">
        <v>133</v>
      </c>
      <c r="B134" s="16" t="s">
        <v>311</v>
      </c>
      <c r="C134" t="s">
        <v>368</v>
      </c>
      <c r="D134" t="s">
        <v>369</v>
      </c>
      <c r="E134" t="s">
        <v>5</v>
      </c>
      <c r="F134" t="s">
        <v>314</v>
      </c>
      <c r="G134" t="s">
        <v>315</v>
      </c>
      <c r="H134" t="s">
        <v>315</v>
      </c>
      <c r="I134" t="s">
        <v>316</v>
      </c>
      <c r="J134" t="s">
        <v>317</v>
      </c>
      <c r="K134" s="17" t="s">
        <v>311</v>
      </c>
      <c r="L134" s="17" t="s">
        <v>311</v>
      </c>
      <c r="M134" s="17" t="s">
        <v>311</v>
      </c>
      <c r="N134" t="s">
        <v>342</v>
      </c>
      <c r="O134" t="s">
        <v>80</v>
      </c>
      <c r="P134" t="s">
        <v>333</v>
      </c>
      <c r="Q134" t="s">
        <v>322</v>
      </c>
      <c r="R134">
        <v>2.1077100000000001E-3</v>
      </c>
      <c r="S134">
        <v>2.1077100000000001E-3</v>
      </c>
      <c r="T134" t="s">
        <v>311</v>
      </c>
      <c r="U134" t="s">
        <v>370</v>
      </c>
      <c r="V134" s="17" t="s">
        <v>311</v>
      </c>
      <c r="W134">
        <v>8</v>
      </c>
      <c r="X134" t="s">
        <v>311</v>
      </c>
      <c r="Y134" t="s">
        <v>324</v>
      </c>
      <c r="Z134" t="s">
        <v>311</v>
      </c>
    </row>
    <row r="135" spans="1:26" x14ac:dyDescent="0.3">
      <c r="A135">
        <v>134</v>
      </c>
      <c r="B135" s="16" t="s">
        <v>311</v>
      </c>
      <c r="C135" t="s">
        <v>368</v>
      </c>
      <c r="D135" t="s">
        <v>369</v>
      </c>
      <c r="E135" t="s">
        <v>5</v>
      </c>
      <c r="F135" t="s">
        <v>314</v>
      </c>
      <c r="G135" t="s">
        <v>315</v>
      </c>
      <c r="H135" t="s">
        <v>315</v>
      </c>
      <c r="I135" t="s">
        <v>316</v>
      </c>
      <c r="J135" t="s">
        <v>317</v>
      </c>
      <c r="K135" s="17" t="s">
        <v>311</v>
      </c>
      <c r="L135" s="17" t="s">
        <v>311</v>
      </c>
      <c r="M135" s="17" t="s">
        <v>311</v>
      </c>
      <c r="N135" t="s">
        <v>371</v>
      </c>
      <c r="O135" t="s">
        <v>88</v>
      </c>
      <c r="P135" t="s">
        <v>333</v>
      </c>
      <c r="Q135" t="s">
        <v>322</v>
      </c>
      <c r="R135">
        <v>1.41618E-2</v>
      </c>
      <c r="S135">
        <v>1.41618E-2</v>
      </c>
      <c r="T135" t="s">
        <v>311</v>
      </c>
      <c r="U135" t="s">
        <v>370</v>
      </c>
      <c r="V135" s="17" t="s">
        <v>311</v>
      </c>
      <c r="W135">
        <v>8</v>
      </c>
      <c r="X135" t="s">
        <v>311</v>
      </c>
      <c r="Y135" t="s">
        <v>324</v>
      </c>
      <c r="Z135" t="s">
        <v>311</v>
      </c>
    </row>
    <row r="136" spans="1:26" x14ac:dyDescent="0.3">
      <c r="A136">
        <v>135</v>
      </c>
      <c r="B136" s="16" t="s">
        <v>311</v>
      </c>
      <c r="C136" t="s">
        <v>368</v>
      </c>
      <c r="D136" t="s">
        <v>369</v>
      </c>
      <c r="E136" t="s">
        <v>5</v>
      </c>
      <c r="F136" t="s">
        <v>314</v>
      </c>
      <c r="G136" t="s">
        <v>315</v>
      </c>
      <c r="H136" t="s">
        <v>315</v>
      </c>
      <c r="I136" t="s">
        <v>316</v>
      </c>
      <c r="J136" t="s">
        <v>317</v>
      </c>
      <c r="K136" s="17" t="s">
        <v>311</v>
      </c>
      <c r="L136" s="17" t="s">
        <v>311</v>
      </c>
      <c r="M136" s="17" t="s">
        <v>311</v>
      </c>
      <c r="N136" t="s">
        <v>371</v>
      </c>
      <c r="O136" t="s">
        <v>88</v>
      </c>
      <c r="P136" t="s">
        <v>333</v>
      </c>
      <c r="Q136" t="s">
        <v>322</v>
      </c>
      <c r="R136">
        <v>1.4450899999999999E-2</v>
      </c>
      <c r="S136">
        <v>1.4450899999999999E-2</v>
      </c>
      <c r="T136" t="s">
        <v>311</v>
      </c>
      <c r="U136" t="s">
        <v>370</v>
      </c>
      <c r="V136" s="17" t="s">
        <v>311</v>
      </c>
      <c r="W136">
        <v>8</v>
      </c>
      <c r="X136" t="s">
        <v>311</v>
      </c>
      <c r="Y136" t="s">
        <v>324</v>
      </c>
      <c r="Z136" t="s">
        <v>311</v>
      </c>
    </row>
    <row r="137" spans="1:26" x14ac:dyDescent="0.3">
      <c r="A137">
        <v>136</v>
      </c>
      <c r="B137" s="16" t="s">
        <v>311</v>
      </c>
      <c r="C137" t="s">
        <v>368</v>
      </c>
      <c r="D137" t="s">
        <v>369</v>
      </c>
      <c r="E137" t="s">
        <v>5</v>
      </c>
      <c r="F137" t="s">
        <v>314</v>
      </c>
      <c r="G137" t="s">
        <v>315</v>
      </c>
      <c r="H137" t="s">
        <v>315</v>
      </c>
      <c r="I137" t="s">
        <v>316</v>
      </c>
      <c r="J137" t="s">
        <v>317</v>
      </c>
      <c r="K137" s="17" t="s">
        <v>311</v>
      </c>
      <c r="L137" s="17" t="s">
        <v>311</v>
      </c>
      <c r="M137" s="17" t="s">
        <v>311</v>
      </c>
      <c r="N137" t="s">
        <v>371</v>
      </c>
      <c r="O137" t="s">
        <v>88</v>
      </c>
      <c r="P137" t="s">
        <v>333</v>
      </c>
      <c r="Q137" t="s">
        <v>322</v>
      </c>
      <c r="R137">
        <v>6.7103599999999996E-4</v>
      </c>
      <c r="S137">
        <v>6.7103599999999996E-4</v>
      </c>
      <c r="T137" t="s">
        <v>311</v>
      </c>
      <c r="U137" t="s">
        <v>370</v>
      </c>
      <c r="V137" s="17" t="s">
        <v>311</v>
      </c>
      <c r="W137">
        <v>8</v>
      </c>
      <c r="X137" t="s">
        <v>311</v>
      </c>
      <c r="Y137" t="s">
        <v>324</v>
      </c>
      <c r="Z137" t="s">
        <v>311</v>
      </c>
    </row>
    <row r="138" spans="1:26" x14ac:dyDescent="0.3">
      <c r="A138">
        <v>137</v>
      </c>
      <c r="B138" s="16" t="s">
        <v>311</v>
      </c>
      <c r="C138" t="s">
        <v>368</v>
      </c>
      <c r="D138" t="s">
        <v>369</v>
      </c>
      <c r="E138" t="s">
        <v>5</v>
      </c>
      <c r="F138" t="s">
        <v>314</v>
      </c>
      <c r="G138" t="s">
        <v>315</v>
      </c>
      <c r="H138" t="s">
        <v>315</v>
      </c>
      <c r="I138" t="s">
        <v>316</v>
      </c>
      <c r="J138" t="s">
        <v>317</v>
      </c>
      <c r="K138" s="17" t="s">
        <v>311</v>
      </c>
      <c r="L138" s="17" t="s">
        <v>311</v>
      </c>
      <c r="M138" s="17" t="s">
        <v>311</v>
      </c>
      <c r="N138" t="s">
        <v>371</v>
      </c>
      <c r="O138" t="s">
        <v>88</v>
      </c>
      <c r="P138" t="s">
        <v>333</v>
      </c>
      <c r="Q138" t="s">
        <v>322</v>
      </c>
      <c r="R138">
        <v>1.4395E-3</v>
      </c>
      <c r="S138">
        <v>1.4395E-3</v>
      </c>
      <c r="T138" t="s">
        <v>311</v>
      </c>
      <c r="U138" t="s">
        <v>370</v>
      </c>
      <c r="V138" s="17" t="s">
        <v>311</v>
      </c>
      <c r="W138">
        <v>8</v>
      </c>
      <c r="X138" t="s">
        <v>311</v>
      </c>
      <c r="Y138" t="s">
        <v>324</v>
      </c>
      <c r="Z138" t="s">
        <v>311</v>
      </c>
    </row>
    <row r="139" spans="1:26" x14ac:dyDescent="0.3">
      <c r="A139">
        <v>138</v>
      </c>
      <c r="B139" s="16" t="s">
        <v>311</v>
      </c>
      <c r="C139" t="s">
        <v>372</v>
      </c>
      <c r="D139" t="s">
        <v>373</v>
      </c>
      <c r="E139" t="s">
        <v>17</v>
      </c>
      <c r="F139" t="s">
        <v>328</v>
      </c>
      <c r="G139" t="s">
        <v>340</v>
      </c>
      <c r="H139" t="s">
        <v>340</v>
      </c>
      <c r="I139" t="s">
        <v>316</v>
      </c>
      <c r="J139" t="s">
        <v>317</v>
      </c>
      <c r="K139" s="17" t="s">
        <v>374</v>
      </c>
      <c r="L139" s="17" t="s">
        <v>319</v>
      </c>
      <c r="M139" s="17" t="s">
        <v>336</v>
      </c>
      <c r="N139" t="s">
        <v>375</v>
      </c>
      <c r="O139" t="s">
        <v>10</v>
      </c>
      <c r="P139" t="s">
        <v>321</v>
      </c>
      <c r="Q139" t="s">
        <v>322</v>
      </c>
      <c r="R139">
        <v>2.1451488000000001E-2</v>
      </c>
      <c r="S139">
        <v>2.1451488000000001E-2</v>
      </c>
      <c r="T139" t="s">
        <v>311</v>
      </c>
      <c r="U139" t="s">
        <v>323</v>
      </c>
      <c r="V139" s="17" t="s">
        <v>311</v>
      </c>
      <c r="W139">
        <v>9</v>
      </c>
      <c r="X139" s="17" t="s">
        <v>376</v>
      </c>
      <c r="Y139" t="s">
        <v>324</v>
      </c>
      <c r="Z139" s="17" t="s">
        <v>311</v>
      </c>
    </row>
    <row r="140" spans="1:26" x14ac:dyDescent="0.3">
      <c r="A140">
        <v>139</v>
      </c>
      <c r="B140" s="16" t="s">
        <v>311</v>
      </c>
      <c r="C140" t="s">
        <v>372</v>
      </c>
      <c r="D140" t="s">
        <v>373</v>
      </c>
      <c r="E140" t="s">
        <v>17</v>
      </c>
      <c r="F140" t="s">
        <v>328</v>
      </c>
      <c r="G140" t="s">
        <v>340</v>
      </c>
      <c r="H140" t="s">
        <v>340</v>
      </c>
      <c r="I140" t="s">
        <v>316</v>
      </c>
      <c r="J140" t="s">
        <v>317</v>
      </c>
      <c r="K140" s="17" t="s">
        <v>374</v>
      </c>
      <c r="L140" s="17" t="s">
        <v>319</v>
      </c>
      <c r="M140" s="17" t="s">
        <v>336</v>
      </c>
      <c r="N140" t="s">
        <v>342</v>
      </c>
      <c r="O140" t="s">
        <v>80</v>
      </c>
      <c r="P140" t="s">
        <v>321</v>
      </c>
      <c r="Q140" t="s">
        <v>322</v>
      </c>
      <c r="R140">
        <v>2.4943802000000001E-2</v>
      </c>
      <c r="S140">
        <v>2.4943802000000001E-2</v>
      </c>
      <c r="T140" t="s">
        <v>311</v>
      </c>
      <c r="U140" t="s">
        <v>323</v>
      </c>
      <c r="V140" s="17" t="s">
        <v>311</v>
      </c>
      <c r="W140">
        <v>9</v>
      </c>
      <c r="X140" s="17" t="s">
        <v>376</v>
      </c>
      <c r="Y140" t="s">
        <v>324</v>
      </c>
      <c r="Z140" s="17" t="s">
        <v>311</v>
      </c>
    </row>
    <row r="141" spans="1:26" x14ac:dyDescent="0.3">
      <c r="A141">
        <v>140</v>
      </c>
      <c r="B141" s="16" t="s">
        <v>311</v>
      </c>
      <c r="C141" t="s">
        <v>372</v>
      </c>
      <c r="D141" t="s">
        <v>373</v>
      </c>
      <c r="E141" t="s">
        <v>17</v>
      </c>
      <c r="F141" t="s">
        <v>328</v>
      </c>
      <c r="G141" t="s">
        <v>340</v>
      </c>
      <c r="H141" t="s">
        <v>340</v>
      </c>
      <c r="I141" t="s">
        <v>316</v>
      </c>
      <c r="J141" t="s">
        <v>317</v>
      </c>
      <c r="K141" s="17" t="s">
        <v>374</v>
      </c>
      <c r="L141" s="17" t="s">
        <v>319</v>
      </c>
      <c r="M141" s="17" t="s">
        <v>336</v>
      </c>
      <c r="N141" t="s">
        <v>344</v>
      </c>
      <c r="O141" t="s">
        <v>80</v>
      </c>
      <c r="P141" t="s">
        <v>321</v>
      </c>
      <c r="Q141" t="s">
        <v>322</v>
      </c>
      <c r="R141">
        <v>2.0390022000000001E-2</v>
      </c>
      <c r="S141">
        <v>2.0390022000000001E-2</v>
      </c>
      <c r="T141" t="s">
        <v>311</v>
      </c>
      <c r="U141" t="s">
        <v>323</v>
      </c>
      <c r="V141" s="17" t="s">
        <v>311</v>
      </c>
      <c r="W141">
        <v>9</v>
      </c>
      <c r="X141" s="17" t="s">
        <v>376</v>
      </c>
      <c r="Y141" t="s">
        <v>324</v>
      </c>
      <c r="Z141" s="17" t="s">
        <v>311</v>
      </c>
    </row>
    <row r="142" spans="1:26" x14ac:dyDescent="0.3">
      <c r="A142">
        <v>141</v>
      </c>
      <c r="B142" s="16" t="s">
        <v>311</v>
      </c>
      <c r="C142" t="s">
        <v>377</v>
      </c>
      <c r="D142" t="s">
        <v>378</v>
      </c>
      <c r="E142" t="s">
        <v>4</v>
      </c>
      <c r="F142" t="s">
        <v>379</v>
      </c>
      <c r="G142" t="s">
        <v>315</v>
      </c>
      <c r="H142" t="s">
        <v>315</v>
      </c>
      <c r="I142" t="s">
        <v>316</v>
      </c>
      <c r="J142" t="s">
        <v>317</v>
      </c>
      <c r="K142" s="17" t="s">
        <v>380</v>
      </c>
      <c r="L142" s="17" t="s">
        <v>319</v>
      </c>
      <c r="M142" s="17" t="s">
        <v>336</v>
      </c>
      <c r="N142" t="s">
        <v>381</v>
      </c>
      <c r="O142" t="s">
        <v>80</v>
      </c>
      <c r="P142" t="s">
        <v>333</v>
      </c>
      <c r="Q142" t="s">
        <v>322</v>
      </c>
      <c r="R142">
        <v>8.3992099999999998E-4</v>
      </c>
      <c r="S142">
        <v>8.3992099999999998E-4</v>
      </c>
      <c r="T142" t="s">
        <v>311</v>
      </c>
      <c r="U142" t="s">
        <v>382</v>
      </c>
      <c r="V142" s="17" t="s">
        <v>311</v>
      </c>
      <c r="W142">
        <v>3</v>
      </c>
      <c r="X142" s="17" t="s">
        <v>311</v>
      </c>
      <c r="Y142" t="s">
        <v>324</v>
      </c>
      <c r="Z142" s="17" t="s">
        <v>311</v>
      </c>
    </row>
    <row r="143" spans="1:26" x14ac:dyDescent="0.3">
      <c r="A143">
        <v>142</v>
      </c>
      <c r="B143" s="16" t="s">
        <v>311</v>
      </c>
      <c r="C143" t="s">
        <v>377</v>
      </c>
      <c r="D143" t="s">
        <v>378</v>
      </c>
      <c r="E143" t="s">
        <v>4</v>
      </c>
      <c r="F143" t="s">
        <v>379</v>
      </c>
      <c r="G143" t="s">
        <v>315</v>
      </c>
      <c r="H143" t="s">
        <v>315</v>
      </c>
      <c r="I143" t="s">
        <v>316</v>
      </c>
      <c r="J143" t="s">
        <v>317</v>
      </c>
      <c r="K143" s="17" t="s">
        <v>380</v>
      </c>
      <c r="L143" s="17" t="s">
        <v>319</v>
      </c>
      <c r="M143" s="17" t="s">
        <v>336</v>
      </c>
      <c r="N143" t="s">
        <v>325</v>
      </c>
      <c r="O143" t="s">
        <v>325</v>
      </c>
      <c r="P143" t="s">
        <v>333</v>
      </c>
      <c r="Q143" t="s">
        <v>322</v>
      </c>
      <c r="R143">
        <v>3.0400000000000001E-6</v>
      </c>
      <c r="S143">
        <v>3.0400000000000001E-6</v>
      </c>
      <c r="T143" t="s">
        <v>311</v>
      </c>
      <c r="U143" t="s">
        <v>382</v>
      </c>
      <c r="V143" s="17" t="s">
        <v>311</v>
      </c>
      <c r="W143">
        <v>3</v>
      </c>
      <c r="X143" s="17" t="s">
        <v>311</v>
      </c>
      <c r="Y143" t="s">
        <v>324</v>
      </c>
      <c r="Z143" s="17" t="s">
        <v>311</v>
      </c>
    </row>
    <row r="144" spans="1:26" x14ac:dyDescent="0.3">
      <c r="A144">
        <v>143</v>
      </c>
      <c r="B144" s="16" t="s">
        <v>311</v>
      </c>
      <c r="C144" t="s">
        <v>377</v>
      </c>
      <c r="D144" t="s">
        <v>383</v>
      </c>
      <c r="E144" t="s">
        <v>4</v>
      </c>
      <c r="F144" t="s">
        <v>379</v>
      </c>
      <c r="G144" t="s">
        <v>384</v>
      </c>
      <c r="H144" t="s">
        <v>315</v>
      </c>
      <c r="I144" t="s">
        <v>316</v>
      </c>
      <c r="J144" t="s">
        <v>317</v>
      </c>
      <c r="K144" s="17" t="s">
        <v>311</v>
      </c>
      <c r="L144" s="17" t="s">
        <v>311</v>
      </c>
      <c r="M144" s="17" t="s">
        <v>311</v>
      </c>
      <c r="N144" t="s">
        <v>385</v>
      </c>
      <c r="O144" t="s">
        <v>80</v>
      </c>
      <c r="P144" t="s">
        <v>333</v>
      </c>
      <c r="Q144" t="s">
        <v>322</v>
      </c>
      <c r="R144">
        <v>1.4914799999999999E-4</v>
      </c>
      <c r="S144">
        <v>1.4914799999999999E-4</v>
      </c>
      <c r="T144" t="s">
        <v>311</v>
      </c>
      <c r="U144" t="s">
        <v>382</v>
      </c>
      <c r="V144" s="17" t="s">
        <v>311</v>
      </c>
      <c r="W144">
        <v>3</v>
      </c>
      <c r="X144" s="17" t="s">
        <v>311</v>
      </c>
      <c r="Y144" t="s">
        <v>324</v>
      </c>
      <c r="Z144" s="17" t="s">
        <v>311</v>
      </c>
    </row>
    <row r="145" spans="1:26" x14ac:dyDescent="0.3">
      <c r="A145">
        <v>144</v>
      </c>
      <c r="B145" s="16" t="s">
        <v>311</v>
      </c>
      <c r="C145" t="s">
        <v>377</v>
      </c>
      <c r="D145" t="s">
        <v>383</v>
      </c>
      <c r="E145" t="s">
        <v>4</v>
      </c>
      <c r="F145" t="s">
        <v>379</v>
      </c>
      <c r="G145" t="s">
        <v>384</v>
      </c>
      <c r="H145" t="s">
        <v>315</v>
      </c>
      <c r="I145" t="s">
        <v>316</v>
      </c>
      <c r="J145" t="s">
        <v>317</v>
      </c>
      <c r="K145" s="17" t="s">
        <v>311</v>
      </c>
      <c r="L145" s="17" t="s">
        <v>311</v>
      </c>
      <c r="M145" s="17" t="s">
        <v>311</v>
      </c>
      <c r="N145" t="s">
        <v>325</v>
      </c>
      <c r="O145" t="s">
        <v>325</v>
      </c>
      <c r="P145" t="s">
        <v>333</v>
      </c>
      <c r="Q145" t="s">
        <v>322</v>
      </c>
      <c r="R145">
        <v>0</v>
      </c>
      <c r="S145">
        <v>0</v>
      </c>
      <c r="T145" t="s">
        <v>311</v>
      </c>
      <c r="U145" t="s">
        <v>382</v>
      </c>
      <c r="V145" s="17" t="s">
        <v>311</v>
      </c>
      <c r="W145">
        <v>3</v>
      </c>
      <c r="X145" s="17" t="s">
        <v>311</v>
      </c>
      <c r="Y145" t="s">
        <v>324</v>
      </c>
      <c r="Z145" s="17" t="s">
        <v>311</v>
      </c>
    </row>
    <row r="146" spans="1:26" x14ac:dyDescent="0.3">
      <c r="A146">
        <v>145</v>
      </c>
      <c r="B146" s="16" t="s">
        <v>311</v>
      </c>
      <c r="C146" t="s">
        <v>377</v>
      </c>
      <c r="D146" t="s">
        <v>386</v>
      </c>
      <c r="E146" t="s">
        <v>4</v>
      </c>
      <c r="F146" t="s">
        <v>314</v>
      </c>
      <c r="G146" t="s">
        <v>387</v>
      </c>
      <c r="H146" t="s">
        <v>329</v>
      </c>
      <c r="I146" t="s">
        <v>330</v>
      </c>
      <c r="J146" t="s">
        <v>317</v>
      </c>
      <c r="K146" s="17" t="s">
        <v>388</v>
      </c>
      <c r="L146" s="17" t="s">
        <v>319</v>
      </c>
      <c r="M146" s="17" t="s">
        <v>319</v>
      </c>
      <c r="N146" t="s">
        <v>389</v>
      </c>
      <c r="O146" t="s">
        <v>80</v>
      </c>
      <c r="P146" t="s">
        <v>333</v>
      </c>
      <c r="Q146" t="s">
        <v>322</v>
      </c>
      <c r="R146">
        <v>3.57E-5</v>
      </c>
      <c r="S146">
        <v>3.57E-5</v>
      </c>
      <c r="T146" t="s">
        <v>311</v>
      </c>
      <c r="U146" t="s">
        <v>382</v>
      </c>
      <c r="V146" s="17" t="s">
        <v>311</v>
      </c>
      <c r="W146">
        <v>3</v>
      </c>
      <c r="X146" s="17" t="s">
        <v>311</v>
      </c>
      <c r="Y146" t="s">
        <v>324</v>
      </c>
      <c r="Z146" s="17" t="s">
        <v>311</v>
      </c>
    </row>
    <row r="147" spans="1:26" x14ac:dyDescent="0.3">
      <c r="A147">
        <v>146</v>
      </c>
      <c r="B147" s="16" t="s">
        <v>311</v>
      </c>
      <c r="C147" t="s">
        <v>377</v>
      </c>
      <c r="D147" t="s">
        <v>386</v>
      </c>
      <c r="E147" t="s">
        <v>4</v>
      </c>
      <c r="F147" t="s">
        <v>314</v>
      </c>
      <c r="G147" t="s">
        <v>387</v>
      </c>
      <c r="H147" t="s">
        <v>329</v>
      </c>
      <c r="I147" t="s">
        <v>330</v>
      </c>
      <c r="J147" t="s">
        <v>317</v>
      </c>
      <c r="K147" s="17" t="s">
        <v>388</v>
      </c>
      <c r="L147" s="17" t="s">
        <v>319</v>
      </c>
      <c r="M147" s="17" t="s">
        <v>319</v>
      </c>
      <c r="N147" t="s">
        <v>325</v>
      </c>
      <c r="O147" t="s">
        <v>325</v>
      </c>
      <c r="P147" t="s">
        <v>333</v>
      </c>
      <c r="Q147" t="s">
        <v>322</v>
      </c>
      <c r="R147">
        <v>1.17349E-4</v>
      </c>
      <c r="S147">
        <v>1.17349E-4</v>
      </c>
      <c r="T147" t="s">
        <v>311</v>
      </c>
      <c r="U147" t="s">
        <v>382</v>
      </c>
      <c r="V147" s="17" t="s">
        <v>311</v>
      </c>
      <c r="W147">
        <v>3</v>
      </c>
      <c r="X147" s="17" t="s">
        <v>311</v>
      </c>
      <c r="Y147" t="s">
        <v>324</v>
      </c>
      <c r="Z147" s="17" t="s">
        <v>311</v>
      </c>
    </row>
    <row r="148" spans="1:26" x14ac:dyDescent="0.3">
      <c r="A148">
        <v>147</v>
      </c>
      <c r="B148" s="16" t="s">
        <v>311</v>
      </c>
      <c r="C148" t="s">
        <v>390</v>
      </c>
      <c r="D148" t="s">
        <v>391</v>
      </c>
      <c r="E148" t="s">
        <v>5</v>
      </c>
      <c r="F148" t="s">
        <v>314</v>
      </c>
      <c r="G148" t="s">
        <v>340</v>
      </c>
      <c r="H148" t="s">
        <v>340</v>
      </c>
      <c r="I148" t="s">
        <v>316</v>
      </c>
      <c r="J148" t="s">
        <v>317</v>
      </c>
      <c r="K148" s="17" t="s">
        <v>392</v>
      </c>
      <c r="L148" s="17" t="s">
        <v>336</v>
      </c>
      <c r="M148" s="17" t="s">
        <v>336</v>
      </c>
      <c r="N148" t="s">
        <v>393</v>
      </c>
      <c r="O148" t="s">
        <v>88</v>
      </c>
      <c r="P148" t="s">
        <v>333</v>
      </c>
      <c r="Q148" t="s">
        <v>322</v>
      </c>
      <c r="R148">
        <v>1.12613E-4</v>
      </c>
      <c r="S148">
        <v>1.12613E-4</v>
      </c>
      <c r="T148" t="s">
        <v>311</v>
      </c>
      <c r="U148" t="s">
        <v>370</v>
      </c>
      <c r="V148" s="17" t="s">
        <v>311</v>
      </c>
      <c r="W148">
        <v>8</v>
      </c>
      <c r="X148" s="17" t="s">
        <v>311</v>
      </c>
      <c r="Y148" t="s">
        <v>324</v>
      </c>
      <c r="Z148" s="17" t="s">
        <v>311</v>
      </c>
    </row>
    <row r="149" spans="1:26" x14ac:dyDescent="0.3">
      <c r="A149">
        <v>148</v>
      </c>
      <c r="B149" s="16" t="s">
        <v>311</v>
      </c>
      <c r="C149" t="s">
        <v>390</v>
      </c>
      <c r="D149" t="s">
        <v>394</v>
      </c>
      <c r="E149" t="s">
        <v>395</v>
      </c>
      <c r="F149" t="s">
        <v>314</v>
      </c>
      <c r="G149" t="s">
        <v>340</v>
      </c>
      <c r="H149" t="s">
        <v>340</v>
      </c>
      <c r="I149" t="s">
        <v>316</v>
      </c>
      <c r="J149" t="s">
        <v>317</v>
      </c>
      <c r="K149" s="17" t="s">
        <v>396</v>
      </c>
      <c r="L149" s="17" t="s">
        <v>319</v>
      </c>
      <c r="M149" s="17" t="s">
        <v>336</v>
      </c>
      <c r="N149" t="s">
        <v>342</v>
      </c>
      <c r="O149" t="s">
        <v>80</v>
      </c>
      <c r="P149" t="s">
        <v>333</v>
      </c>
      <c r="Q149" t="s">
        <v>322</v>
      </c>
      <c r="R149">
        <v>2.670529E-3</v>
      </c>
      <c r="S149">
        <v>2.670529E-3</v>
      </c>
      <c r="T149" t="s">
        <v>311</v>
      </c>
      <c r="U149" t="s">
        <v>370</v>
      </c>
      <c r="V149" s="17" t="s">
        <v>311</v>
      </c>
      <c r="W149">
        <v>8</v>
      </c>
      <c r="X149" s="17" t="s">
        <v>311</v>
      </c>
      <c r="Y149" t="s">
        <v>324</v>
      </c>
      <c r="Z149" s="17" t="s">
        <v>311</v>
      </c>
    </row>
    <row r="150" spans="1:26" x14ac:dyDescent="0.3">
      <c r="A150">
        <v>149</v>
      </c>
      <c r="B150" s="16" t="s">
        <v>311</v>
      </c>
      <c r="C150" t="s">
        <v>390</v>
      </c>
      <c r="D150" t="s">
        <v>397</v>
      </c>
      <c r="E150" t="s">
        <v>5</v>
      </c>
      <c r="F150" t="s">
        <v>314</v>
      </c>
      <c r="G150" t="s">
        <v>340</v>
      </c>
      <c r="H150" t="s">
        <v>340</v>
      </c>
      <c r="I150" t="s">
        <v>316</v>
      </c>
      <c r="J150" t="s">
        <v>317</v>
      </c>
      <c r="K150" s="17" t="s">
        <v>398</v>
      </c>
      <c r="L150" s="17" t="s">
        <v>319</v>
      </c>
      <c r="M150" s="17" t="s">
        <v>336</v>
      </c>
      <c r="N150" t="s">
        <v>342</v>
      </c>
      <c r="O150" t="s">
        <v>80</v>
      </c>
      <c r="P150" t="s">
        <v>333</v>
      </c>
      <c r="Q150" t="s">
        <v>322</v>
      </c>
      <c r="R150">
        <v>0</v>
      </c>
      <c r="S150">
        <v>0</v>
      </c>
      <c r="T150" t="s">
        <v>311</v>
      </c>
      <c r="U150" t="s">
        <v>370</v>
      </c>
      <c r="V150" s="17" t="s">
        <v>311</v>
      </c>
      <c r="W150">
        <v>8</v>
      </c>
      <c r="X150" s="17" t="s">
        <v>311</v>
      </c>
      <c r="Y150" t="s">
        <v>324</v>
      </c>
      <c r="Z150" s="17" t="s">
        <v>311</v>
      </c>
    </row>
    <row r="151" spans="1:26" x14ac:dyDescent="0.3">
      <c r="A151">
        <v>150</v>
      </c>
      <c r="B151" s="16" t="s">
        <v>311</v>
      </c>
      <c r="C151" t="s">
        <v>390</v>
      </c>
      <c r="D151" t="s">
        <v>399</v>
      </c>
      <c r="E151" t="s">
        <v>5</v>
      </c>
      <c r="F151" t="s">
        <v>314</v>
      </c>
      <c r="G151" t="s">
        <v>340</v>
      </c>
      <c r="H151" t="s">
        <v>340</v>
      </c>
      <c r="I151" t="s">
        <v>316</v>
      </c>
      <c r="J151" t="s">
        <v>317</v>
      </c>
      <c r="K151" s="17" t="s">
        <v>400</v>
      </c>
      <c r="L151" s="17" t="s">
        <v>319</v>
      </c>
      <c r="M151" s="17" t="s">
        <v>336</v>
      </c>
      <c r="N151" t="s">
        <v>371</v>
      </c>
      <c r="O151" t="s">
        <v>88</v>
      </c>
      <c r="P151" t="s">
        <v>333</v>
      </c>
      <c r="Q151" t="s">
        <v>322</v>
      </c>
      <c r="R151">
        <v>3.4909920000000001E-3</v>
      </c>
      <c r="S151">
        <v>3.4909920000000001E-3</v>
      </c>
      <c r="T151" t="s">
        <v>311</v>
      </c>
      <c r="U151" t="s">
        <v>370</v>
      </c>
      <c r="V151" s="17" t="s">
        <v>311</v>
      </c>
      <c r="W151">
        <v>8</v>
      </c>
      <c r="X151" s="17" t="s">
        <v>311</v>
      </c>
      <c r="Y151" t="s">
        <v>324</v>
      </c>
      <c r="Z151" s="17" t="s">
        <v>311</v>
      </c>
    </row>
    <row r="152" spans="1:26" x14ac:dyDescent="0.3">
      <c r="A152">
        <v>151</v>
      </c>
      <c r="B152" s="16" t="s">
        <v>311</v>
      </c>
      <c r="C152" t="s">
        <v>390</v>
      </c>
      <c r="D152" t="s">
        <v>401</v>
      </c>
      <c r="E152" t="s">
        <v>5</v>
      </c>
      <c r="F152" t="s">
        <v>314</v>
      </c>
      <c r="G152" t="s">
        <v>340</v>
      </c>
      <c r="H152" t="s">
        <v>340</v>
      </c>
      <c r="I152" t="s">
        <v>316</v>
      </c>
      <c r="J152" t="s">
        <v>317</v>
      </c>
      <c r="K152" s="17" t="s">
        <v>402</v>
      </c>
      <c r="L152" s="17" t="s">
        <v>319</v>
      </c>
      <c r="M152" s="17" t="s">
        <v>336</v>
      </c>
      <c r="N152" t="s">
        <v>403</v>
      </c>
      <c r="O152" t="s">
        <v>80</v>
      </c>
      <c r="P152" t="s">
        <v>333</v>
      </c>
      <c r="Q152" t="s">
        <v>322</v>
      </c>
      <c r="R152">
        <v>3.2199999999999997E-5</v>
      </c>
      <c r="S152">
        <v>3.2199999999999997E-5</v>
      </c>
      <c r="T152" t="s">
        <v>311</v>
      </c>
      <c r="U152" t="s">
        <v>370</v>
      </c>
      <c r="V152" s="17" t="s">
        <v>311</v>
      </c>
      <c r="W152">
        <v>8</v>
      </c>
      <c r="X152" s="17" t="s">
        <v>311</v>
      </c>
      <c r="Y152" t="s">
        <v>324</v>
      </c>
      <c r="Z152" s="17" t="s">
        <v>311</v>
      </c>
    </row>
    <row r="153" spans="1:26" x14ac:dyDescent="0.3">
      <c r="A153">
        <v>152</v>
      </c>
      <c r="B153" s="16" t="s">
        <v>404</v>
      </c>
      <c r="C153" t="s">
        <v>405</v>
      </c>
      <c r="D153" t="s">
        <v>327</v>
      </c>
      <c r="E153" t="s">
        <v>17</v>
      </c>
      <c r="F153" t="s">
        <v>328</v>
      </c>
      <c r="G153" t="s">
        <v>329</v>
      </c>
      <c r="H153" t="s">
        <v>329</v>
      </c>
      <c r="I153" t="s">
        <v>330</v>
      </c>
      <c r="J153" t="s">
        <v>317</v>
      </c>
      <c r="K153" t="s">
        <v>406</v>
      </c>
      <c r="L153" s="17" t="s">
        <v>319</v>
      </c>
      <c r="M153" s="17" t="s">
        <v>336</v>
      </c>
      <c r="N153" t="s">
        <v>407</v>
      </c>
      <c r="O153" t="s">
        <v>80</v>
      </c>
      <c r="P153" t="s">
        <v>321</v>
      </c>
      <c r="Q153" t="s">
        <v>322</v>
      </c>
      <c r="R153">
        <v>0.136426941</v>
      </c>
      <c r="S153">
        <v>0.136426941</v>
      </c>
      <c r="T153" t="s">
        <v>311</v>
      </c>
      <c r="U153" t="s">
        <v>323</v>
      </c>
      <c r="V153" s="17" t="s">
        <v>311</v>
      </c>
      <c r="W153">
        <v>10</v>
      </c>
      <c r="X153" s="17" t="s">
        <v>311</v>
      </c>
      <c r="Y153" t="s">
        <v>324</v>
      </c>
      <c r="Z153" s="17" t="s">
        <v>311</v>
      </c>
    </row>
    <row r="154" spans="1:26" x14ac:dyDescent="0.3">
      <c r="A154">
        <v>153</v>
      </c>
      <c r="B154" s="16" t="s">
        <v>404</v>
      </c>
      <c r="C154" t="s">
        <v>405</v>
      </c>
      <c r="D154" t="s">
        <v>327</v>
      </c>
      <c r="E154" t="s">
        <v>17</v>
      </c>
      <c r="F154" t="s">
        <v>328</v>
      </c>
      <c r="G154" t="s">
        <v>329</v>
      </c>
      <c r="H154" t="s">
        <v>329</v>
      </c>
      <c r="I154" t="s">
        <v>330</v>
      </c>
      <c r="J154" t="s">
        <v>317</v>
      </c>
      <c r="K154" t="s">
        <v>406</v>
      </c>
      <c r="L154" s="17" t="s">
        <v>319</v>
      </c>
      <c r="M154" s="17" t="s">
        <v>336</v>
      </c>
      <c r="N154" t="s">
        <v>407</v>
      </c>
      <c r="O154" t="s">
        <v>80</v>
      </c>
      <c r="P154" t="s">
        <v>321</v>
      </c>
      <c r="Q154" t="s">
        <v>322</v>
      </c>
      <c r="R154">
        <v>0.635547945</v>
      </c>
      <c r="S154">
        <v>0.635547945</v>
      </c>
      <c r="T154" t="s">
        <v>311</v>
      </c>
      <c r="U154" t="s">
        <v>323</v>
      </c>
      <c r="V154" s="17" t="s">
        <v>311</v>
      </c>
      <c r="W154">
        <v>10</v>
      </c>
      <c r="X154" s="17" t="s">
        <v>311</v>
      </c>
      <c r="Y154" t="s">
        <v>324</v>
      </c>
      <c r="Z154" s="17" t="s">
        <v>311</v>
      </c>
    </row>
    <row r="155" spans="1:26" x14ac:dyDescent="0.3">
      <c r="A155">
        <v>154</v>
      </c>
      <c r="B155" s="16" t="s">
        <v>311</v>
      </c>
      <c r="C155" t="s">
        <v>405</v>
      </c>
      <c r="D155" t="s">
        <v>327</v>
      </c>
      <c r="E155" t="s">
        <v>17</v>
      </c>
      <c r="F155" t="s">
        <v>328</v>
      </c>
      <c r="G155" t="s">
        <v>329</v>
      </c>
      <c r="H155" t="s">
        <v>329</v>
      </c>
      <c r="I155" t="s">
        <v>330</v>
      </c>
      <c r="J155" t="s">
        <v>317</v>
      </c>
      <c r="K155" t="s">
        <v>406</v>
      </c>
      <c r="L155" s="17" t="s">
        <v>319</v>
      </c>
      <c r="M155" s="17" t="s">
        <v>336</v>
      </c>
      <c r="N155" t="s">
        <v>407</v>
      </c>
      <c r="O155" t="s">
        <v>80</v>
      </c>
      <c r="P155" t="s">
        <v>321</v>
      </c>
      <c r="Q155" t="s">
        <v>322</v>
      </c>
      <c r="R155">
        <v>4.8127853999999998E-2</v>
      </c>
      <c r="S155">
        <v>4.8127853999999998E-2</v>
      </c>
      <c r="T155" t="s">
        <v>311</v>
      </c>
      <c r="U155" t="s">
        <v>323</v>
      </c>
      <c r="V155" s="17" t="s">
        <v>311</v>
      </c>
      <c r="W155">
        <v>10</v>
      </c>
      <c r="X155" s="17" t="s">
        <v>311</v>
      </c>
      <c r="Y155" t="s">
        <v>324</v>
      </c>
      <c r="Z155" s="17" t="s">
        <v>311</v>
      </c>
    </row>
    <row r="156" spans="1:26" x14ac:dyDescent="0.3">
      <c r="A156">
        <v>155</v>
      </c>
      <c r="B156" s="16" t="s">
        <v>404</v>
      </c>
      <c r="C156" t="s">
        <v>405</v>
      </c>
      <c r="D156" t="s">
        <v>327</v>
      </c>
      <c r="E156" t="s">
        <v>17</v>
      </c>
      <c r="F156" t="s">
        <v>328</v>
      </c>
      <c r="G156" t="s">
        <v>329</v>
      </c>
      <c r="H156" t="s">
        <v>329</v>
      </c>
      <c r="I156" t="s">
        <v>330</v>
      </c>
      <c r="J156" t="s">
        <v>317</v>
      </c>
      <c r="K156" t="s">
        <v>406</v>
      </c>
      <c r="L156" s="17" t="s">
        <v>319</v>
      </c>
      <c r="M156" s="17" t="s">
        <v>336</v>
      </c>
      <c r="N156" t="s">
        <v>407</v>
      </c>
      <c r="O156" t="s">
        <v>80</v>
      </c>
      <c r="P156" t="s">
        <v>321</v>
      </c>
      <c r="Q156" t="s">
        <v>322</v>
      </c>
      <c r="R156">
        <v>0.53877853899999995</v>
      </c>
      <c r="S156">
        <v>0.53877853899999995</v>
      </c>
      <c r="T156" t="s">
        <v>311</v>
      </c>
      <c r="U156" t="s">
        <v>323</v>
      </c>
      <c r="V156" s="17" t="s">
        <v>311</v>
      </c>
      <c r="W156">
        <v>10</v>
      </c>
      <c r="X156" s="17" t="s">
        <v>311</v>
      </c>
      <c r="Y156" t="s">
        <v>324</v>
      </c>
      <c r="Z156" s="17" t="s">
        <v>311</v>
      </c>
    </row>
    <row r="157" spans="1:26" x14ac:dyDescent="0.3">
      <c r="A157">
        <v>156</v>
      </c>
      <c r="B157" s="16" t="s">
        <v>311</v>
      </c>
      <c r="C157" t="s">
        <v>405</v>
      </c>
      <c r="D157" t="s">
        <v>327</v>
      </c>
      <c r="E157" t="s">
        <v>17</v>
      </c>
      <c r="F157" t="s">
        <v>328</v>
      </c>
      <c r="G157" t="s">
        <v>329</v>
      </c>
      <c r="H157" t="s">
        <v>329</v>
      </c>
      <c r="I157" t="s">
        <v>330</v>
      </c>
      <c r="J157" t="s">
        <v>317</v>
      </c>
      <c r="K157" t="s">
        <v>406</v>
      </c>
      <c r="L157" s="17" t="s">
        <v>319</v>
      </c>
      <c r="M157" s="17" t="s">
        <v>336</v>
      </c>
      <c r="N157" t="s">
        <v>337</v>
      </c>
      <c r="O157" t="s">
        <v>80</v>
      </c>
      <c r="P157" t="s">
        <v>321</v>
      </c>
      <c r="Q157" t="s">
        <v>322</v>
      </c>
      <c r="R157">
        <v>4.1004565999999999E-2</v>
      </c>
      <c r="S157">
        <v>4.1004565999999999E-2</v>
      </c>
      <c r="T157" t="s">
        <v>311</v>
      </c>
      <c r="U157" t="s">
        <v>323</v>
      </c>
      <c r="V157" s="17" t="s">
        <v>311</v>
      </c>
      <c r="W157">
        <v>10</v>
      </c>
      <c r="X157" s="17" t="s">
        <v>311</v>
      </c>
      <c r="Y157" t="s">
        <v>324</v>
      </c>
      <c r="Z157" s="17" t="s">
        <v>311</v>
      </c>
    </row>
    <row r="158" spans="1:26" x14ac:dyDescent="0.3">
      <c r="A158">
        <v>157</v>
      </c>
      <c r="B158" s="16" t="s">
        <v>404</v>
      </c>
      <c r="C158" t="s">
        <v>405</v>
      </c>
      <c r="D158" t="s">
        <v>327</v>
      </c>
      <c r="E158" t="s">
        <v>17</v>
      </c>
      <c r="F158" t="s">
        <v>328</v>
      </c>
      <c r="G158" t="s">
        <v>329</v>
      </c>
      <c r="H158" t="s">
        <v>329</v>
      </c>
      <c r="I158" t="s">
        <v>330</v>
      </c>
      <c r="J158" t="s">
        <v>317</v>
      </c>
      <c r="K158" t="s">
        <v>406</v>
      </c>
      <c r="L158" s="17" t="s">
        <v>319</v>
      </c>
      <c r="M158" s="17" t="s">
        <v>336</v>
      </c>
      <c r="N158" t="s">
        <v>337</v>
      </c>
      <c r="O158" t="s">
        <v>80</v>
      </c>
      <c r="P158" t="s">
        <v>321</v>
      </c>
      <c r="Q158" t="s">
        <v>322</v>
      </c>
      <c r="R158">
        <v>0.23794520499999999</v>
      </c>
      <c r="S158">
        <v>0.23794520499999999</v>
      </c>
      <c r="T158" t="s">
        <v>311</v>
      </c>
      <c r="U158" t="s">
        <v>323</v>
      </c>
      <c r="V158" s="17" t="s">
        <v>311</v>
      </c>
      <c r="W158">
        <v>10</v>
      </c>
      <c r="X158" s="17" t="s">
        <v>311</v>
      </c>
      <c r="Y158" t="s">
        <v>324</v>
      </c>
      <c r="Z158" s="17" t="s">
        <v>311</v>
      </c>
    </row>
    <row r="159" spans="1:26" x14ac:dyDescent="0.3">
      <c r="A159">
        <v>158</v>
      </c>
      <c r="B159" s="16" t="s">
        <v>311</v>
      </c>
      <c r="C159" t="s">
        <v>405</v>
      </c>
      <c r="D159" t="s">
        <v>327</v>
      </c>
      <c r="E159" t="s">
        <v>17</v>
      </c>
      <c r="F159" t="s">
        <v>328</v>
      </c>
      <c r="G159" t="s">
        <v>329</v>
      </c>
      <c r="H159" t="s">
        <v>329</v>
      </c>
      <c r="I159" t="s">
        <v>330</v>
      </c>
      <c r="J159" t="s">
        <v>317</v>
      </c>
      <c r="K159" t="s">
        <v>406</v>
      </c>
      <c r="L159" s="17" t="s">
        <v>319</v>
      </c>
      <c r="M159" s="17" t="s">
        <v>336</v>
      </c>
      <c r="N159" t="s">
        <v>337</v>
      </c>
      <c r="O159" t="s">
        <v>80</v>
      </c>
      <c r="P159" t="s">
        <v>321</v>
      </c>
      <c r="Q159" t="s">
        <v>322</v>
      </c>
      <c r="R159">
        <v>3.6369863000000002E-2</v>
      </c>
      <c r="S159">
        <v>3.6369863000000002E-2</v>
      </c>
      <c r="T159" t="s">
        <v>311</v>
      </c>
      <c r="U159" t="s">
        <v>323</v>
      </c>
      <c r="V159" s="17" t="s">
        <v>311</v>
      </c>
      <c r="W159">
        <v>10</v>
      </c>
      <c r="X159" s="17" t="s">
        <v>311</v>
      </c>
      <c r="Y159" t="s">
        <v>324</v>
      </c>
      <c r="Z159" s="17" t="s">
        <v>311</v>
      </c>
    </row>
    <row r="160" spans="1:26" x14ac:dyDescent="0.3">
      <c r="A160">
        <v>159</v>
      </c>
      <c r="B160" s="16" t="s">
        <v>311</v>
      </c>
      <c r="C160" t="s">
        <v>405</v>
      </c>
      <c r="D160" t="s">
        <v>327</v>
      </c>
      <c r="E160" t="s">
        <v>17</v>
      </c>
      <c r="F160" t="s">
        <v>328</v>
      </c>
      <c r="G160" t="s">
        <v>329</v>
      </c>
      <c r="H160" t="s">
        <v>329</v>
      </c>
      <c r="I160" t="s">
        <v>330</v>
      </c>
      <c r="J160" t="s">
        <v>317</v>
      </c>
      <c r="K160" t="s">
        <v>406</v>
      </c>
      <c r="L160" s="17" t="s">
        <v>319</v>
      </c>
      <c r="M160" s="17" t="s">
        <v>336</v>
      </c>
      <c r="N160" t="s">
        <v>337</v>
      </c>
      <c r="O160" t="s">
        <v>80</v>
      </c>
      <c r="P160" t="s">
        <v>321</v>
      </c>
      <c r="Q160" t="s">
        <v>322</v>
      </c>
      <c r="R160">
        <v>6.5433790000000006E-2</v>
      </c>
      <c r="S160">
        <v>6.5433790000000006E-2</v>
      </c>
      <c r="T160" t="s">
        <v>311</v>
      </c>
      <c r="U160" t="s">
        <v>323</v>
      </c>
      <c r="V160" s="17" t="s">
        <v>311</v>
      </c>
      <c r="W160">
        <v>10</v>
      </c>
      <c r="X160" s="17" t="s">
        <v>311</v>
      </c>
      <c r="Y160" t="s">
        <v>324</v>
      </c>
      <c r="Z160" s="17" t="s">
        <v>311</v>
      </c>
    </row>
    <row r="161" spans="1:26" x14ac:dyDescent="0.3">
      <c r="A161">
        <v>160</v>
      </c>
      <c r="B161" s="16" t="s">
        <v>311</v>
      </c>
      <c r="C161" t="s">
        <v>408</v>
      </c>
      <c r="D161" t="s">
        <v>409</v>
      </c>
      <c r="E161" t="s">
        <v>17</v>
      </c>
      <c r="F161" t="s">
        <v>328</v>
      </c>
      <c r="G161" t="s">
        <v>410</v>
      </c>
      <c r="H161" t="s">
        <v>329</v>
      </c>
      <c r="I161" t="s">
        <v>411</v>
      </c>
      <c r="J161" t="s">
        <v>317</v>
      </c>
      <c r="K161" s="17" t="s">
        <v>412</v>
      </c>
      <c r="L161" s="17" t="s">
        <v>336</v>
      </c>
      <c r="M161" s="17" t="s">
        <v>336</v>
      </c>
      <c r="N161" t="s">
        <v>342</v>
      </c>
      <c r="O161" t="s">
        <v>80</v>
      </c>
      <c r="P161" t="s">
        <v>333</v>
      </c>
      <c r="Q161" t="s">
        <v>322</v>
      </c>
      <c r="R161">
        <v>2.1600000000000001E-6</v>
      </c>
      <c r="S161">
        <v>2.1600000000000001E-6</v>
      </c>
      <c r="T161" t="s">
        <v>311</v>
      </c>
      <c r="U161" t="s">
        <v>413</v>
      </c>
      <c r="V161" s="17" t="s">
        <v>311</v>
      </c>
      <c r="W161">
        <v>3</v>
      </c>
      <c r="X161" s="17" t="s">
        <v>311</v>
      </c>
      <c r="Y161" t="s">
        <v>324</v>
      </c>
      <c r="Z161" s="17" t="s">
        <v>311</v>
      </c>
    </row>
    <row r="162" spans="1:26" x14ac:dyDescent="0.3">
      <c r="A162">
        <v>161</v>
      </c>
      <c r="B162" s="16" t="s">
        <v>311</v>
      </c>
      <c r="C162" t="s">
        <v>408</v>
      </c>
      <c r="D162" t="s">
        <v>409</v>
      </c>
      <c r="E162" t="s">
        <v>17</v>
      </c>
      <c r="F162" t="s">
        <v>328</v>
      </c>
      <c r="G162" t="s">
        <v>410</v>
      </c>
      <c r="H162" t="s">
        <v>329</v>
      </c>
      <c r="I162" t="s">
        <v>411</v>
      </c>
      <c r="J162" t="s">
        <v>317</v>
      </c>
      <c r="K162" s="17" t="s">
        <v>414</v>
      </c>
      <c r="L162" s="17" t="s">
        <v>336</v>
      </c>
      <c r="M162" s="17" t="s">
        <v>336</v>
      </c>
      <c r="N162" t="s">
        <v>337</v>
      </c>
      <c r="O162" t="s">
        <v>80</v>
      </c>
      <c r="P162" t="s">
        <v>333</v>
      </c>
      <c r="Q162" t="s">
        <v>322</v>
      </c>
      <c r="R162">
        <v>0</v>
      </c>
      <c r="S162">
        <v>0</v>
      </c>
      <c r="T162" t="s">
        <v>311</v>
      </c>
      <c r="U162" t="s">
        <v>413</v>
      </c>
      <c r="V162" s="17" t="s">
        <v>311</v>
      </c>
      <c r="W162">
        <v>3</v>
      </c>
      <c r="X162" s="17" t="s">
        <v>311</v>
      </c>
      <c r="Y162" t="s">
        <v>324</v>
      </c>
      <c r="Z162" s="17" t="s">
        <v>311</v>
      </c>
    </row>
    <row r="163" spans="1:26" x14ac:dyDescent="0.3">
      <c r="A163">
        <v>162</v>
      </c>
      <c r="B163" s="16" t="s">
        <v>311</v>
      </c>
      <c r="C163" t="s">
        <v>415</v>
      </c>
      <c r="D163" t="s">
        <v>373</v>
      </c>
      <c r="E163" t="s">
        <v>17</v>
      </c>
      <c r="F163" t="s">
        <v>328</v>
      </c>
      <c r="G163" t="s">
        <v>329</v>
      </c>
      <c r="H163" t="s">
        <v>329</v>
      </c>
      <c r="I163" t="s">
        <v>330</v>
      </c>
      <c r="J163" t="s">
        <v>317</v>
      </c>
      <c r="K163" s="17" t="s">
        <v>311</v>
      </c>
      <c r="L163" s="17" t="s">
        <v>311</v>
      </c>
      <c r="M163" s="17" t="s">
        <v>311</v>
      </c>
      <c r="N163" t="s">
        <v>342</v>
      </c>
      <c r="O163" t="s">
        <v>80</v>
      </c>
      <c r="P163" t="s">
        <v>321</v>
      </c>
      <c r="Q163" t="s">
        <v>322</v>
      </c>
      <c r="R163">
        <v>4.5191090000000003E-3</v>
      </c>
      <c r="S163">
        <v>4.5191090000000003E-3</v>
      </c>
      <c r="T163" t="s">
        <v>311</v>
      </c>
      <c r="U163" t="s">
        <v>323</v>
      </c>
      <c r="V163" s="17" t="s">
        <v>311</v>
      </c>
      <c r="W163">
        <v>12</v>
      </c>
      <c r="X163" s="17" t="s">
        <v>311</v>
      </c>
      <c r="Y163" t="s">
        <v>324</v>
      </c>
      <c r="Z163" s="17" t="s">
        <v>311</v>
      </c>
    </row>
    <row r="164" spans="1:26" x14ac:dyDescent="0.3">
      <c r="A164">
        <v>163</v>
      </c>
      <c r="B164" s="16" t="s">
        <v>311</v>
      </c>
      <c r="C164" t="s">
        <v>415</v>
      </c>
      <c r="D164" t="s">
        <v>373</v>
      </c>
      <c r="E164" t="s">
        <v>17</v>
      </c>
      <c r="F164" t="s">
        <v>328</v>
      </c>
      <c r="G164" t="s">
        <v>329</v>
      </c>
      <c r="H164" t="s">
        <v>329</v>
      </c>
      <c r="I164" t="s">
        <v>330</v>
      </c>
      <c r="J164" t="s">
        <v>317</v>
      </c>
      <c r="K164" s="17" t="s">
        <v>311</v>
      </c>
      <c r="L164" s="17" t="s">
        <v>311</v>
      </c>
      <c r="M164" s="17" t="s">
        <v>311</v>
      </c>
      <c r="N164" t="s">
        <v>337</v>
      </c>
      <c r="O164" t="s">
        <v>80</v>
      </c>
      <c r="P164" t="s">
        <v>321</v>
      </c>
      <c r="Q164" t="s">
        <v>322</v>
      </c>
      <c r="R164">
        <v>1.5780989999999999E-3</v>
      </c>
      <c r="S164">
        <v>1.5780989999999999E-3</v>
      </c>
      <c r="T164" t="s">
        <v>311</v>
      </c>
      <c r="U164" t="s">
        <v>323</v>
      </c>
      <c r="V164" s="17" t="s">
        <v>311</v>
      </c>
      <c r="W164">
        <v>12</v>
      </c>
      <c r="X164" s="17" t="s">
        <v>311</v>
      </c>
      <c r="Y164" t="s">
        <v>324</v>
      </c>
      <c r="Z164" s="17" t="s">
        <v>311</v>
      </c>
    </row>
    <row r="165" spans="1:26" x14ac:dyDescent="0.3">
      <c r="A165">
        <v>164</v>
      </c>
      <c r="B165" s="16" t="s">
        <v>311</v>
      </c>
      <c r="C165" t="s">
        <v>416</v>
      </c>
      <c r="D165" t="s">
        <v>417</v>
      </c>
      <c r="E165" t="s">
        <v>5</v>
      </c>
      <c r="F165" t="s">
        <v>314</v>
      </c>
      <c r="G165" t="s">
        <v>418</v>
      </c>
      <c r="H165" t="s">
        <v>340</v>
      </c>
      <c r="I165" t="s">
        <v>316</v>
      </c>
      <c r="J165" t="s">
        <v>419</v>
      </c>
      <c r="K165" t="s">
        <v>420</v>
      </c>
      <c r="L165" s="17" t="s">
        <v>319</v>
      </c>
      <c r="M165" s="17" t="s">
        <v>336</v>
      </c>
      <c r="N165" t="s">
        <v>421</v>
      </c>
      <c r="O165" t="s">
        <v>422</v>
      </c>
      <c r="P165" s="19" t="s">
        <v>333</v>
      </c>
      <c r="Q165" t="s">
        <v>423</v>
      </c>
      <c r="R165">
        <v>1.0270270270270302E-3</v>
      </c>
      <c r="S165">
        <f t="shared" ref="S165:S183" si="0">R165/24</f>
        <v>4.2792792792792921E-5</v>
      </c>
      <c r="T165">
        <v>2.3783859459459394E-3</v>
      </c>
      <c r="U165" t="s">
        <v>424</v>
      </c>
      <c r="V165" s="17" t="s">
        <v>311</v>
      </c>
      <c r="W165" s="20">
        <v>4</v>
      </c>
      <c r="X165" s="20" t="s">
        <v>311</v>
      </c>
      <c r="Y165" s="21" t="s">
        <v>425</v>
      </c>
      <c r="Z165" s="17" t="s">
        <v>311</v>
      </c>
    </row>
    <row r="166" spans="1:26" x14ac:dyDescent="0.3">
      <c r="A166">
        <v>165</v>
      </c>
      <c r="B166" s="16" t="s">
        <v>311</v>
      </c>
      <c r="C166" t="s">
        <v>416</v>
      </c>
      <c r="D166" t="s">
        <v>417</v>
      </c>
      <c r="E166" t="s">
        <v>5</v>
      </c>
      <c r="F166" t="s">
        <v>314</v>
      </c>
      <c r="G166" t="s">
        <v>418</v>
      </c>
      <c r="H166" t="s">
        <v>340</v>
      </c>
      <c r="I166" t="s">
        <v>316</v>
      </c>
      <c r="J166" t="s">
        <v>419</v>
      </c>
      <c r="K166" t="s">
        <v>420</v>
      </c>
      <c r="L166" s="17" t="s">
        <v>319</v>
      </c>
      <c r="M166" s="17" t="s">
        <v>336</v>
      </c>
      <c r="N166" t="s">
        <v>421</v>
      </c>
      <c r="O166" t="s">
        <v>422</v>
      </c>
      <c r="P166" s="19" t="s">
        <v>333</v>
      </c>
      <c r="Q166" t="s">
        <v>423</v>
      </c>
      <c r="R166">
        <v>4.3243243243243199E-4</v>
      </c>
      <c r="S166">
        <f t="shared" si="0"/>
        <v>1.8018018018017999E-5</v>
      </c>
      <c r="T166">
        <v>7.5675513513513606E-4</v>
      </c>
      <c r="U166" t="s">
        <v>424</v>
      </c>
      <c r="V166" s="17" t="s">
        <v>311</v>
      </c>
      <c r="W166" s="20">
        <v>4</v>
      </c>
      <c r="X166" s="20" t="s">
        <v>311</v>
      </c>
      <c r="Y166" s="21" t="s">
        <v>425</v>
      </c>
      <c r="Z166" s="17" t="s">
        <v>311</v>
      </c>
    </row>
    <row r="167" spans="1:26" x14ac:dyDescent="0.3">
      <c r="A167">
        <v>166</v>
      </c>
      <c r="B167" s="16" t="s">
        <v>311</v>
      </c>
      <c r="C167" t="s">
        <v>416</v>
      </c>
      <c r="D167" t="s">
        <v>426</v>
      </c>
      <c r="E167" t="s">
        <v>5</v>
      </c>
      <c r="F167" t="s">
        <v>314</v>
      </c>
      <c r="G167" t="s">
        <v>427</v>
      </c>
      <c r="H167" t="s">
        <v>340</v>
      </c>
      <c r="I167" t="s">
        <v>316</v>
      </c>
      <c r="J167" t="s">
        <v>419</v>
      </c>
      <c r="K167" t="s">
        <v>428</v>
      </c>
      <c r="L167" s="17" t="s">
        <v>319</v>
      </c>
      <c r="M167" s="17" t="s">
        <v>336</v>
      </c>
      <c r="N167" t="s">
        <v>429</v>
      </c>
      <c r="O167" t="s">
        <v>10</v>
      </c>
      <c r="P167" s="19" t="s">
        <v>333</v>
      </c>
      <c r="Q167" t="s">
        <v>423</v>
      </c>
      <c r="R167">
        <v>1.0162162162162201E-2</v>
      </c>
      <c r="S167">
        <f t="shared" si="0"/>
        <v>4.2342342342342504E-4</v>
      </c>
      <c r="T167">
        <v>5.1892756756755989E-3</v>
      </c>
      <c r="U167" t="s">
        <v>424</v>
      </c>
      <c r="V167" s="17" t="s">
        <v>311</v>
      </c>
      <c r="W167" s="20">
        <v>4</v>
      </c>
      <c r="X167" s="20" t="s">
        <v>311</v>
      </c>
      <c r="Y167" s="21" t="s">
        <v>425</v>
      </c>
      <c r="Z167" s="17" t="s">
        <v>311</v>
      </c>
    </row>
    <row r="168" spans="1:26" x14ac:dyDescent="0.3">
      <c r="A168">
        <v>167</v>
      </c>
      <c r="B168" s="16" t="s">
        <v>311</v>
      </c>
      <c r="C168" t="s">
        <v>416</v>
      </c>
      <c r="D168" t="s">
        <v>426</v>
      </c>
      <c r="E168" t="s">
        <v>5</v>
      </c>
      <c r="F168" t="s">
        <v>314</v>
      </c>
      <c r="G168" t="s">
        <v>427</v>
      </c>
      <c r="H168" t="s">
        <v>340</v>
      </c>
      <c r="I168" t="s">
        <v>316</v>
      </c>
      <c r="J168" t="s">
        <v>419</v>
      </c>
      <c r="K168" t="s">
        <v>428</v>
      </c>
      <c r="L168" s="17" t="s">
        <v>319</v>
      </c>
      <c r="M168" s="17" t="s">
        <v>336</v>
      </c>
      <c r="N168" t="s">
        <v>429</v>
      </c>
      <c r="O168" t="s">
        <v>10</v>
      </c>
      <c r="P168" s="19" t="s">
        <v>333</v>
      </c>
      <c r="Q168" t="s">
        <v>423</v>
      </c>
      <c r="R168">
        <v>1.5135135135135101E-3</v>
      </c>
      <c r="S168">
        <f t="shared" si="0"/>
        <v>6.3063063063062926E-5</v>
      </c>
      <c r="T168">
        <v>3.2433297297298E-4</v>
      </c>
      <c r="U168" t="s">
        <v>424</v>
      </c>
      <c r="V168" s="17" t="s">
        <v>311</v>
      </c>
      <c r="W168" s="20">
        <v>4</v>
      </c>
      <c r="X168" s="20" t="s">
        <v>311</v>
      </c>
      <c r="Y168" s="21" t="s">
        <v>425</v>
      </c>
      <c r="Z168" s="17" t="s">
        <v>311</v>
      </c>
    </row>
    <row r="169" spans="1:26" x14ac:dyDescent="0.3">
      <c r="A169">
        <v>168</v>
      </c>
      <c r="B169" s="16" t="s">
        <v>311</v>
      </c>
      <c r="C169" t="s">
        <v>416</v>
      </c>
      <c r="D169" t="s">
        <v>417</v>
      </c>
      <c r="E169" t="s">
        <v>5</v>
      </c>
      <c r="F169" t="s">
        <v>314</v>
      </c>
      <c r="G169" t="s">
        <v>418</v>
      </c>
      <c r="H169" t="s">
        <v>340</v>
      </c>
      <c r="I169" t="s">
        <v>316</v>
      </c>
      <c r="J169" t="s">
        <v>419</v>
      </c>
      <c r="K169" t="s">
        <v>420</v>
      </c>
      <c r="L169" s="17" t="s">
        <v>319</v>
      </c>
      <c r="M169" s="17" t="s">
        <v>336</v>
      </c>
      <c r="N169" t="s">
        <v>421</v>
      </c>
      <c r="O169" t="s">
        <v>422</v>
      </c>
      <c r="P169" s="19" t="s">
        <v>321</v>
      </c>
      <c r="Q169" t="s">
        <v>423</v>
      </c>
      <c r="R169">
        <v>0.61004784688995195</v>
      </c>
      <c r="S169">
        <f t="shared" si="0"/>
        <v>2.541866028708133E-2</v>
      </c>
      <c r="T169">
        <v>0.143540306220096</v>
      </c>
      <c r="U169" t="s">
        <v>323</v>
      </c>
      <c r="V169" t="s">
        <v>430</v>
      </c>
      <c r="W169" s="20">
        <v>4</v>
      </c>
      <c r="X169" s="20" t="s">
        <v>311</v>
      </c>
      <c r="Y169" s="21" t="s">
        <v>425</v>
      </c>
      <c r="Z169" s="17" t="s">
        <v>311</v>
      </c>
    </row>
    <row r="170" spans="1:26" x14ac:dyDescent="0.3">
      <c r="A170">
        <v>169</v>
      </c>
      <c r="B170" s="16" t="s">
        <v>311</v>
      </c>
      <c r="C170" t="s">
        <v>416</v>
      </c>
      <c r="D170" t="s">
        <v>417</v>
      </c>
      <c r="E170" t="s">
        <v>5</v>
      </c>
      <c r="F170" t="s">
        <v>314</v>
      </c>
      <c r="G170" t="s">
        <v>418</v>
      </c>
      <c r="H170" t="s">
        <v>340</v>
      </c>
      <c r="I170" t="s">
        <v>316</v>
      </c>
      <c r="J170" t="s">
        <v>419</v>
      </c>
      <c r="K170" t="s">
        <v>420</v>
      </c>
      <c r="L170" s="17" t="s">
        <v>319</v>
      </c>
      <c r="M170" s="17" t="s">
        <v>336</v>
      </c>
      <c r="N170" t="s">
        <v>421</v>
      </c>
      <c r="O170" t="s">
        <v>422</v>
      </c>
      <c r="P170" s="19" t="s">
        <v>321</v>
      </c>
      <c r="Q170" t="s">
        <v>423</v>
      </c>
      <c r="R170">
        <v>0.60107655502392299</v>
      </c>
      <c r="S170">
        <f t="shared" si="0"/>
        <v>2.5044856459330123E-2</v>
      </c>
      <c r="T170">
        <v>0.31100488995215392</v>
      </c>
      <c r="U170" t="s">
        <v>323</v>
      </c>
      <c r="V170" t="s">
        <v>430</v>
      </c>
      <c r="W170" s="20">
        <v>4</v>
      </c>
      <c r="X170" s="20" t="s">
        <v>311</v>
      </c>
      <c r="Y170" s="21" t="s">
        <v>425</v>
      </c>
      <c r="Z170" s="17" t="s">
        <v>311</v>
      </c>
    </row>
    <row r="171" spans="1:26" x14ac:dyDescent="0.3">
      <c r="A171">
        <v>170</v>
      </c>
      <c r="B171" s="16" t="s">
        <v>311</v>
      </c>
      <c r="C171" t="s">
        <v>416</v>
      </c>
      <c r="D171" t="s">
        <v>426</v>
      </c>
      <c r="E171" t="s">
        <v>5</v>
      </c>
      <c r="F171" t="s">
        <v>314</v>
      </c>
      <c r="G171" t="s">
        <v>427</v>
      </c>
      <c r="H171" t="s">
        <v>340</v>
      </c>
      <c r="I171" t="s">
        <v>316</v>
      </c>
      <c r="J171" t="s">
        <v>419</v>
      </c>
      <c r="K171" t="s">
        <v>428</v>
      </c>
      <c r="L171" s="17" t="s">
        <v>319</v>
      </c>
      <c r="M171" s="17" t="s">
        <v>336</v>
      </c>
      <c r="N171" t="s">
        <v>429</v>
      </c>
      <c r="O171" t="s">
        <v>10</v>
      </c>
      <c r="P171" s="19" t="s">
        <v>321</v>
      </c>
      <c r="Q171" t="s">
        <v>423</v>
      </c>
      <c r="R171">
        <v>1.0974880382775101</v>
      </c>
      <c r="S171">
        <f t="shared" si="0"/>
        <v>4.5728668261562917E-2</v>
      </c>
      <c r="T171">
        <v>0.14952392344498003</v>
      </c>
      <c r="U171" t="s">
        <v>323</v>
      </c>
      <c r="V171" t="s">
        <v>430</v>
      </c>
      <c r="W171" s="20">
        <v>4</v>
      </c>
      <c r="X171" s="20" t="s">
        <v>311</v>
      </c>
      <c r="Y171" s="21" t="s">
        <v>425</v>
      </c>
      <c r="Z171" s="17" t="s">
        <v>311</v>
      </c>
    </row>
    <row r="172" spans="1:26" x14ac:dyDescent="0.3">
      <c r="A172">
        <v>171</v>
      </c>
      <c r="B172" s="16" t="s">
        <v>311</v>
      </c>
      <c r="C172" t="s">
        <v>416</v>
      </c>
      <c r="D172" t="s">
        <v>426</v>
      </c>
      <c r="E172" t="s">
        <v>5</v>
      </c>
      <c r="F172" t="s">
        <v>314</v>
      </c>
      <c r="G172" t="s">
        <v>427</v>
      </c>
      <c r="H172" t="s">
        <v>340</v>
      </c>
      <c r="I172" t="s">
        <v>316</v>
      </c>
      <c r="J172" t="s">
        <v>419</v>
      </c>
      <c r="K172" t="s">
        <v>428</v>
      </c>
      <c r="L172" s="17" t="s">
        <v>319</v>
      </c>
      <c r="M172" s="17" t="s">
        <v>336</v>
      </c>
      <c r="N172" t="s">
        <v>429</v>
      </c>
      <c r="O172" t="s">
        <v>10</v>
      </c>
      <c r="P172" s="19" t="s">
        <v>321</v>
      </c>
      <c r="Q172" t="s">
        <v>423</v>
      </c>
      <c r="R172">
        <v>1.11543062200957</v>
      </c>
      <c r="S172">
        <f t="shared" si="0"/>
        <v>4.6476275917065414E-2</v>
      </c>
      <c r="T172">
        <v>0.25119875598085989</v>
      </c>
      <c r="U172" t="s">
        <v>323</v>
      </c>
      <c r="V172" t="s">
        <v>430</v>
      </c>
      <c r="W172" s="20">
        <v>4</v>
      </c>
      <c r="X172" s="20" t="s">
        <v>311</v>
      </c>
      <c r="Y172" s="21" t="s">
        <v>425</v>
      </c>
      <c r="Z172" s="17" t="s">
        <v>311</v>
      </c>
    </row>
    <row r="173" spans="1:26" x14ac:dyDescent="0.3">
      <c r="A173">
        <v>172</v>
      </c>
      <c r="B173" s="16" t="s">
        <v>311</v>
      </c>
      <c r="C173" t="s">
        <v>416</v>
      </c>
      <c r="D173" t="s">
        <v>431</v>
      </c>
      <c r="E173" t="s">
        <v>5</v>
      </c>
      <c r="F173" t="s">
        <v>314</v>
      </c>
      <c r="G173" t="s">
        <v>418</v>
      </c>
      <c r="H173" t="s">
        <v>329</v>
      </c>
      <c r="I173" t="s">
        <v>330</v>
      </c>
      <c r="J173" t="s">
        <v>419</v>
      </c>
      <c r="K173" t="s">
        <v>420</v>
      </c>
      <c r="L173" s="17" t="s">
        <v>319</v>
      </c>
      <c r="M173" s="17" t="s">
        <v>336</v>
      </c>
      <c r="N173" t="s">
        <v>421</v>
      </c>
      <c r="O173" t="s">
        <v>422</v>
      </c>
      <c r="P173" s="19" t="s">
        <v>333</v>
      </c>
      <c r="Q173" t="s">
        <v>423</v>
      </c>
      <c r="R173">
        <v>3.2432432432432398E-4</v>
      </c>
      <c r="S173">
        <f t="shared" si="0"/>
        <v>1.35135135135135E-5</v>
      </c>
      <c r="T173">
        <v>3.2432335135135193E-4</v>
      </c>
      <c r="U173" t="s">
        <v>424</v>
      </c>
      <c r="V173" t="s">
        <v>311</v>
      </c>
      <c r="W173" s="20">
        <v>4</v>
      </c>
      <c r="X173" s="20" t="s">
        <v>311</v>
      </c>
      <c r="Y173" s="21" t="s">
        <v>425</v>
      </c>
      <c r="Z173" s="17" t="s">
        <v>311</v>
      </c>
    </row>
    <row r="174" spans="1:26" x14ac:dyDescent="0.3">
      <c r="A174">
        <v>173</v>
      </c>
      <c r="B174" s="16" t="s">
        <v>311</v>
      </c>
      <c r="C174" t="s">
        <v>416</v>
      </c>
      <c r="D174" t="s">
        <v>431</v>
      </c>
      <c r="E174" t="s">
        <v>5</v>
      </c>
      <c r="F174" t="s">
        <v>314</v>
      </c>
      <c r="G174" t="s">
        <v>432</v>
      </c>
      <c r="H174" t="s">
        <v>329</v>
      </c>
      <c r="I174" t="s">
        <v>330</v>
      </c>
      <c r="J174" t="s">
        <v>419</v>
      </c>
      <c r="K174" t="s">
        <v>420</v>
      </c>
      <c r="L174" s="17" t="s">
        <v>319</v>
      </c>
      <c r="M174" s="17" t="s">
        <v>336</v>
      </c>
      <c r="N174" t="s">
        <v>421</v>
      </c>
      <c r="O174" t="s">
        <v>422</v>
      </c>
      <c r="P174" s="19" t="s">
        <v>333</v>
      </c>
      <c r="Q174" t="s">
        <v>423</v>
      </c>
      <c r="R174">
        <v>1.6216216216216199E-4</v>
      </c>
      <c r="S174">
        <f t="shared" si="0"/>
        <v>6.7567567567567499E-6</v>
      </c>
      <c r="T174">
        <v>2.1621567567567602E-4</v>
      </c>
      <c r="U174" t="s">
        <v>424</v>
      </c>
      <c r="V174" t="s">
        <v>311</v>
      </c>
      <c r="W174" s="20">
        <v>4</v>
      </c>
      <c r="X174" s="20" t="s">
        <v>311</v>
      </c>
      <c r="Y174" s="21" t="s">
        <v>425</v>
      </c>
      <c r="Z174" s="17" t="s">
        <v>311</v>
      </c>
    </row>
    <row r="175" spans="1:26" x14ac:dyDescent="0.3">
      <c r="A175">
        <v>174</v>
      </c>
      <c r="B175" s="16" t="s">
        <v>311</v>
      </c>
      <c r="C175" t="s">
        <v>416</v>
      </c>
      <c r="D175" t="s">
        <v>426</v>
      </c>
      <c r="E175" t="s">
        <v>5</v>
      </c>
      <c r="F175" t="s">
        <v>314</v>
      </c>
      <c r="G175" t="s">
        <v>427</v>
      </c>
      <c r="H175" t="s">
        <v>329</v>
      </c>
      <c r="I175" t="s">
        <v>330</v>
      </c>
      <c r="J175" t="s">
        <v>419</v>
      </c>
      <c r="K175" t="s">
        <v>428</v>
      </c>
      <c r="L175" s="17" t="s">
        <v>319</v>
      </c>
      <c r="M175" s="17" t="s">
        <v>336</v>
      </c>
      <c r="N175" t="s">
        <v>429</v>
      </c>
      <c r="O175" t="s">
        <v>10</v>
      </c>
      <c r="P175" s="19" t="s">
        <v>333</v>
      </c>
      <c r="Q175" t="s">
        <v>423</v>
      </c>
      <c r="R175">
        <v>1.0972972972973E-2</v>
      </c>
      <c r="S175">
        <f t="shared" si="0"/>
        <v>4.5720720720720832E-4</v>
      </c>
      <c r="T175">
        <v>1.1567654054053996E-2</v>
      </c>
      <c r="U175" t="s">
        <v>424</v>
      </c>
      <c r="V175" t="s">
        <v>311</v>
      </c>
      <c r="W175" s="20">
        <v>4</v>
      </c>
      <c r="X175" s="20" t="s">
        <v>311</v>
      </c>
      <c r="Y175" s="21" t="s">
        <v>425</v>
      </c>
      <c r="Z175" s="17" t="s">
        <v>311</v>
      </c>
    </row>
    <row r="176" spans="1:26" x14ac:dyDescent="0.3">
      <c r="A176">
        <v>175</v>
      </c>
      <c r="B176" s="16" t="s">
        <v>311</v>
      </c>
      <c r="C176" t="s">
        <v>416</v>
      </c>
      <c r="D176" t="s">
        <v>426</v>
      </c>
      <c r="E176" t="s">
        <v>5</v>
      </c>
      <c r="F176" t="s">
        <v>314</v>
      </c>
      <c r="G176" t="s">
        <v>433</v>
      </c>
      <c r="H176" t="s">
        <v>329</v>
      </c>
      <c r="I176" t="s">
        <v>330</v>
      </c>
      <c r="J176" t="s">
        <v>419</v>
      </c>
      <c r="K176" t="s">
        <v>428</v>
      </c>
      <c r="L176" s="17" t="s">
        <v>319</v>
      </c>
      <c r="M176" s="17" t="s">
        <v>336</v>
      </c>
      <c r="N176" t="s">
        <v>429</v>
      </c>
      <c r="O176" t="s">
        <v>10</v>
      </c>
      <c r="P176" s="19" t="s">
        <v>333</v>
      </c>
      <c r="Q176" t="s">
        <v>423</v>
      </c>
      <c r="R176">
        <v>3.72972972972973E-3</v>
      </c>
      <c r="S176">
        <f t="shared" si="0"/>
        <v>1.5540540540540541E-4</v>
      </c>
      <c r="T176">
        <v>2.8105405405405401E-3</v>
      </c>
      <c r="U176" t="s">
        <v>424</v>
      </c>
      <c r="V176" t="s">
        <v>311</v>
      </c>
      <c r="W176" s="20">
        <v>4</v>
      </c>
      <c r="X176" s="20" t="s">
        <v>311</v>
      </c>
      <c r="Y176" s="21" t="s">
        <v>425</v>
      </c>
      <c r="Z176" s="17" t="s">
        <v>311</v>
      </c>
    </row>
    <row r="177" spans="1:26" x14ac:dyDescent="0.3">
      <c r="A177">
        <v>176</v>
      </c>
      <c r="B177" s="16" t="s">
        <v>311</v>
      </c>
      <c r="C177" t="s">
        <v>416</v>
      </c>
      <c r="D177" t="s">
        <v>431</v>
      </c>
      <c r="E177" t="s">
        <v>5</v>
      </c>
      <c r="F177" t="s">
        <v>314</v>
      </c>
      <c r="G177" t="s">
        <v>418</v>
      </c>
      <c r="H177" t="s">
        <v>329</v>
      </c>
      <c r="I177" t="s">
        <v>330</v>
      </c>
      <c r="J177" t="s">
        <v>419</v>
      </c>
      <c r="K177" t="s">
        <v>420</v>
      </c>
      <c r="L177" s="17" t="s">
        <v>319</v>
      </c>
      <c r="M177" s="17" t="s">
        <v>336</v>
      </c>
      <c r="N177" t="s">
        <v>421</v>
      </c>
      <c r="O177" t="s">
        <v>422</v>
      </c>
      <c r="P177" s="19" t="s">
        <v>321</v>
      </c>
      <c r="Q177" t="s">
        <v>423</v>
      </c>
      <c r="R177">
        <v>0.5412679425837319</v>
      </c>
      <c r="S177">
        <f t="shared" si="0"/>
        <v>2.2552830940988828E-2</v>
      </c>
      <c r="T177">
        <v>0.14354011483253612</v>
      </c>
      <c r="U177" t="s">
        <v>323</v>
      </c>
      <c r="V177" t="s">
        <v>430</v>
      </c>
      <c r="W177" s="20">
        <v>4</v>
      </c>
      <c r="X177" s="20" t="s">
        <v>311</v>
      </c>
      <c r="Y177" s="21" t="s">
        <v>425</v>
      </c>
      <c r="Z177" s="17" t="s">
        <v>311</v>
      </c>
    </row>
    <row r="178" spans="1:26" x14ac:dyDescent="0.3">
      <c r="A178">
        <v>177</v>
      </c>
      <c r="B178" s="16" t="s">
        <v>311</v>
      </c>
      <c r="C178" t="s">
        <v>416</v>
      </c>
      <c r="D178" t="s">
        <v>431</v>
      </c>
      <c r="E178" t="s">
        <v>5</v>
      </c>
      <c r="F178" t="s">
        <v>314</v>
      </c>
      <c r="G178" t="s">
        <v>432</v>
      </c>
      <c r="H178" t="s">
        <v>329</v>
      </c>
      <c r="I178" t="s">
        <v>330</v>
      </c>
      <c r="J178" t="s">
        <v>419</v>
      </c>
      <c r="K178" t="s">
        <v>420</v>
      </c>
      <c r="L178" s="17" t="s">
        <v>319</v>
      </c>
      <c r="M178" s="17" t="s">
        <v>336</v>
      </c>
      <c r="N178" t="s">
        <v>421</v>
      </c>
      <c r="O178" t="s">
        <v>422</v>
      </c>
      <c r="P178" s="19" t="s">
        <v>321</v>
      </c>
      <c r="Q178" t="s">
        <v>423</v>
      </c>
      <c r="R178">
        <v>0.71471291866028697</v>
      </c>
      <c r="S178">
        <f t="shared" si="0"/>
        <v>2.9779704944178625E-2</v>
      </c>
      <c r="T178">
        <v>7.7752162679426196E-2</v>
      </c>
      <c r="U178" t="s">
        <v>323</v>
      </c>
      <c r="V178" t="s">
        <v>430</v>
      </c>
      <c r="W178" s="20">
        <v>4</v>
      </c>
      <c r="X178" s="20" t="s">
        <v>311</v>
      </c>
      <c r="Y178" s="21" t="s">
        <v>425</v>
      </c>
      <c r="Z178" s="17" t="s">
        <v>311</v>
      </c>
    </row>
    <row r="179" spans="1:26" x14ac:dyDescent="0.3">
      <c r="A179">
        <v>178</v>
      </c>
      <c r="B179" s="16" t="s">
        <v>311</v>
      </c>
      <c r="C179" t="s">
        <v>416</v>
      </c>
      <c r="D179" t="s">
        <v>426</v>
      </c>
      <c r="E179" t="s">
        <v>5</v>
      </c>
      <c r="F179" t="s">
        <v>314</v>
      </c>
      <c r="G179" t="s">
        <v>427</v>
      </c>
      <c r="H179" t="s">
        <v>329</v>
      </c>
      <c r="I179" t="s">
        <v>330</v>
      </c>
      <c r="J179" t="s">
        <v>419</v>
      </c>
      <c r="K179" t="s">
        <v>428</v>
      </c>
      <c r="L179" s="17" t="s">
        <v>319</v>
      </c>
      <c r="M179" s="17" t="s">
        <v>336</v>
      </c>
      <c r="N179" t="s">
        <v>429</v>
      </c>
      <c r="O179" t="s">
        <v>10</v>
      </c>
      <c r="P179" s="19" t="s">
        <v>321</v>
      </c>
      <c r="Q179" t="s">
        <v>423</v>
      </c>
      <c r="R179">
        <v>0.90311004784688997</v>
      </c>
      <c r="S179">
        <f t="shared" si="0"/>
        <v>3.7629585326953749E-2</v>
      </c>
      <c r="T179">
        <v>0.13755990430622</v>
      </c>
      <c r="U179" t="s">
        <v>323</v>
      </c>
      <c r="V179" t="s">
        <v>430</v>
      </c>
      <c r="W179" s="20">
        <v>4</v>
      </c>
      <c r="X179" s="20" t="s">
        <v>311</v>
      </c>
      <c r="Y179" s="21" t="s">
        <v>425</v>
      </c>
      <c r="Z179" s="17" t="s">
        <v>311</v>
      </c>
    </row>
    <row r="180" spans="1:26" x14ac:dyDescent="0.3">
      <c r="A180">
        <v>179</v>
      </c>
      <c r="B180" s="16" t="s">
        <v>311</v>
      </c>
      <c r="C180" t="s">
        <v>416</v>
      </c>
      <c r="D180" t="s">
        <v>426</v>
      </c>
      <c r="E180" t="s">
        <v>5</v>
      </c>
      <c r="F180" t="s">
        <v>314</v>
      </c>
      <c r="G180" t="s">
        <v>433</v>
      </c>
      <c r="H180" t="s">
        <v>329</v>
      </c>
      <c r="I180" t="s">
        <v>330</v>
      </c>
      <c r="J180" t="s">
        <v>419</v>
      </c>
      <c r="K180" t="s">
        <v>428</v>
      </c>
      <c r="L180" s="17" t="s">
        <v>319</v>
      </c>
      <c r="M180" s="17" t="s">
        <v>336</v>
      </c>
      <c r="N180" t="s">
        <v>429</v>
      </c>
      <c r="O180" t="s">
        <v>10</v>
      </c>
      <c r="P180" s="19" t="s">
        <v>321</v>
      </c>
      <c r="Q180" t="s">
        <v>423</v>
      </c>
      <c r="R180">
        <v>0.77751196172248793</v>
      </c>
      <c r="S180">
        <f t="shared" si="0"/>
        <v>3.2396331738436999E-2</v>
      </c>
      <c r="T180">
        <v>0.29904207655502407</v>
      </c>
      <c r="U180" t="s">
        <v>323</v>
      </c>
      <c r="V180" t="s">
        <v>430</v>
      </c>
      <c r="W180" s="20">
        <v>4</v>
      </c>
      <c r="X180" s="20" t="s">
        <v>311</v>
      </c>
      <c r="Y180" s="21" t="s">
        <v>425</v>
      </c>
      <c r="Z180" s="17" t="s">
        <v>311</v>
      </c>
    </row>
    <row r="181" spans="1:26" x14ac:dyDescent="0.3">
      <c r="A181">
        <v>180</v>
      </c>
      <c r="B181" s="16" t="s">
        <v>311</v>
      </c>
      <c r="C181" t="s">
        <v>434</v>
      </c>
      <c r="D181" t="s">
        <v>435</v>
      </c>
      <c r="E181" t="s">
        <v>17</v>
      </c>
      <c r="F181" t="s">
        <v>328</v>
      </c>
      <c r="G181" t="s">
        <v>436</v>
      </c>
      <c r="H181" t="s">
        <v>329</v>
      </c>
      <c r="I181" t="s">
        <v>330</v>
      </c>
      <c r="J181" t="s">
        <v>437</v>
      </c>
      <c r="K181" t="s">
        <v>438</v>
      </c>
      <c r="L181" t="s">
        <v>319</v>
      </c>
      <c r="M181" t="s">
        <v>319</v>
      </c>
      <c r="N181" t="s">
        <v>407</v>
      </c>
      <c r="O181" t="s">
        <v>80</v>
      </c>
      <c r="P181" s="19" t="s">
        <v>333</v>
      </c>
      <c r="Q181" t="s">
        <v>423</v>
      </c>
      <c r="R181">
        <v>2.6246575342465755E-2</v>
      </c>
      <c r="S181">
        <f t="shared" si="0"/>
        <v>1.093607305936073E-3</v>
      </c>
      <c r="T181">
        <v>2.7945205479452057E-3</v>
      </c>
      <c r="U181" t="s">
        <v>439</v>
      </c>
      <c r="V181" t="s">
        <v>440</v>
      </c>
      <c r="W181" s="20" t="s">
        <v>311</v>
      </c>
      <c r="X181" s="20" t="s">
        <v>311</v>
      </c>
      <c r="Y181" s="21" t="s">
        <v>425</v>
      </c>
      <c r="Z181" s="17" t="s">
        <v>311</v>
      </c>
    </row>
    <row r="182" spans="1:26" x14ac:dyDescent="0.3">
      <c r="A182">
        <v>181</v>
      </c>
      <c r="B182" s="16" t="s">
        <v>311</v>
      </c>
      <c r="C182" t="s">
        <v>434</v>
      </c>
      <c r="D182" t="s">
        <v>441</v>
      </c>
      <c r="E182" t="s">
        <v>17</v>
      </c>
      <c r="F182" t="s">
        <v>328</v>
      </c>
      <c r="G182" t="s">
        <v>442</v>
      </c>
      <c r="H182" t="s">
        <v>329</v>
      </c>
      <c r="I182" t="s">
        <v>330</v>
      </c>
      <c r="J182" t="s">
        <v>437</v>
      </c>
      <c r="K182" t="s">
        <v>438</v>
      </c>
      <c r="L182" t="s">
        <v>319</v>
      </c>
      <c r="M182" t="s">
        <v>319</v>
      </c>
      <c r="N182" t="s">
        <v>407</v>
      </c>
      <c r="O182" t="s">
        <v>80</v>
      </c>
      <c r="P182" s="19" t="s">
        <v>333</v>
      </c>
      <c r="Q182" t="s">
        <v>423</v>
      </c>
      <c r="R182">
        <v>2.0657534246575342E-2</v>
      </c>
      <c r="S182">
        <f t="shared" si="0"/>
        <v>8.6073059360730587E-4</v>
      </c>
      <c r="T182">
        <v>2.7945205479452057E-3</v>
      </c>
      <c r="U182" t="s">
        <v>439</v>
      </c>
      <c r="V182" t="s">
        <v>440</v>
      </c>
      <c r="W182" s="20" t="s">
        <v>311</v>
      </c>
      <c r="X182" s="20" t="s">
        <v>311</v>
      </c>
      <c r="Y182" s="21" t="s">
        <v>425</v>
      </c>
      <c r="Z182" s="17" t="s">
        <v>311</v>
      </c>
    </row>
    <row r="183" spans="1:26" x14ac:dyDescent="0.3">
      <c r="A183">
        <v>182</v>
      </c>
      <c r="B183" s="16" t="s">
        <v>311</v>
      </c>
      <c r="C183" t="s">
        <v>434</v>
      </c>
      <c r="D183" t="s">
        <v>443</v>
      </c>
      <c r="E183" t="s">
        <v>17</v>
      </c>
      <c r="F183" t="s">
        <v>328</v>
      </c>
      <c r="G183" t="s">
        <v>362</v>
      </c>
      <c r="H183" t="s">
        <v>329</v>
      </c>
      <c r="I183" t="s">
        <v>330</v>
      </c>
      <c r="J183" t="s">
        <v>437</v>
      </c>
      <c r="K183" t="s">
        <v>438</v>
      </c>
      <c r="L183" t="s">
        <v>319</v>
      </c>
      <c r="M183" t="s">
        <v>319</v>
      </c>
      <c r="N183" t="s">
        <v>444</v>
      </c>
      <c r="O183" t="s">
        <v>422</v>
      </c>
      <c r="P183" s="19" t="s">
        <v>333</v>
      </c>
      <c r="Q183" t="s">
        <v>423</v>
      </c>
      <c r="R183">
        <v>2.3506849315068492E-2</v>
      </c>
      <c r="S183">
        <f t="shared" si="0"/>
        <v>9.794520547945205E-4</v>
      </c>
      <c r="T183">
        <v>2.7945205479452057E-3</v>
      </c>
      <c r="U183" t="s">
        <v>439</v>
      </c>
      <c r="V183" t="s">
        <v>440</v>
      </c>
      <c r="W183" s="20" t="s">
        <v>311</v>
      </c>
      <c r="X183" s="20" t="s">
        <v>311</v>
      </c>
      <c r="Y183" s="21" t="s">
        <v>425</v>
      </c>
      <c r="Z183" s="17" t="s">
        <v>311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 and nutrient fluxes  (NA)</vt:lpstr>
      <vt:lpstr>sites and nutrient fluxes </vt:lpstr>
      <vt:lpstr>TN</vt:lpstr>
      <vt:lpstr>NO3</vt:lpstr>
      <vt:lpstr>References nutrient fluxes</vt:lpstr>
      <vt:lpstr>denitirifcation rates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Wiegman, Adrian - REE-ARS</cp:lastModifiedBy>
  <dcterms:created xsi:type="dcterms:W3CDTF">2019-12-27T14:12:05Z</dcterms:created>
  <dcterms:modified xsi:type="dcterms:W3CDTF">2024-07-11T12:20:13Z</dcterms:modified>
</cp:coreProperties>
</file>