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Wiegman\Documents\GitHub\Wiegman_USDA_ARS\Cran_Q_C\0_raw\"/>
    </mc:Choice>
  </mc:AlternateContent>
  <xr:revisionPtr revIDLastSave="0" documentId="13_ncr:1_{6BFC1481-1AA4-4CB6-AB40-2EB2539B1029}" xr6:coauthVersionLast="47" xr6:coauthVersionMax="47" xr10:uidLastSave="{00000000-0000-0000-0000-000000000000}"/>
  <bookViews>
    <workbookView xWindow="-108" yWindow="-108" windowWidth="23256" windowHeight="12576" activeTab="1" xr2:uid="{89B9F16C-A820-5746-9E79-E27F0D1350E3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2" l="1"/>
  <c r="H23" i="2"/>
  <c r="I22" i="2"/>
  <c r="H22" i="2"/>
  <c r="F22" i="2"/>
  <c r="F23" i="2"/>
  <c r="L2" i="2"/>
  <c r="L9" i="2"/>
  <c r="M9" i="2"/>
  <c r="N9" i="2"/>
  <c r="O9" i="2"/>
  <c r="P9" i="2"/>
  <c r="Q9" i="2"/>
  <c r="R9" i="2"/>
  <c r="S9" i="2"/>
  <c r="L10" i="2"/>
  <c r="M10" i="2"/>
  <c r="N10" i="2"/>
  <c r="O10" i="2"/>
  <c r="P10" i="2"/>
  <c r="Q10" i="2"/>
  <c r="R10" i="2"/>
  <c r="S10" i="2"/>
  <c r="L11" i="2"/>
  <c r="M11" i="2"/>
  <c r="N11" i="2"/>
  <c r="O11" i="2"/>
  <c r="P11" i="2"/>
  <c r="Q11" i="2"/>
  <c r="R11" i="2"/>
  <c r="S11" i="2"/>
  <c r="L12" i="2"/>
  <c r="M12" i="2"/>
  <c r="N12" i="2"/>
  <c r="O12" i="2"/>
  <c r="P12" i="2"/>
  <c r="Q12" i="2"/>
  <c r="R12" i="2"/>
  <c r="S12" i="2"/>
  <c r="L13" i="2"/>
  <c r="M13" i="2"/>
  <c r="N13" i="2"/>
  <c r="O13" i="2"/>
  <c r="P13" i="2"/>
  <c r="Q13" i="2"/>
  <c r="R13" i="2"/>
  <c r="S13" i="2"/>
  <c r="L14" i="2"/>
  <c r="M14" i="2"/>
  <c r="N14" i="2"/>
  <c r="O14" i="2"/>
  <c r="P14" i="2"/>
  <c r="Q14" i="2"/>
  <c r="R14" i="2"/>
  <c r="S14" i="2"/>
  <c r="M2" i="2"/>
  <c r="N2" i="2"/>
  <c r="O2" i="2"/>
  <c r="P2" i="2"/>
  <c r="Q2" i="2"/>
  <c r="R2" i="2"/>
  <c r="S2" i="2"/>
  <c r="M3" i="2"/>
  <c r="N3" i="2"/>
  <c r="O3" i="2"/>
  <c r="P3" i="2"/>
  <c r="Q3" i="2"/>
  <c r="R3" i="2"/>
  <c r="S3" i="2"/>
  <c r="M4" i="2"/>
  <c r="N4" i="2"/>
  <c r="O4" i="2"/>
  <c r="P4" i="2"/>
  <c r="Q4" i="2"/>
  <c r="R4" i="2"/>
  <c r="S4" i="2"/>
  <c r="M5" i="2"/>
  <c r="N5" i="2"/>
  <c r="O5" i="2"/>
  <c r="P5" i="2"/>
  <c r="Q5" i="2"/>
  <c r="R5" i="2"/>
  <c r="S5" i="2"/>
  <c r="M6" i="2"/>
  <c r="N6" i="2"/>
  <c r="O6" i="2"/>
  <c r="P6" i="2"/>
  <c r="Q6" i="2"/>
  <c r="R6" i="2"/>
  <c r="S6" i="2"/>
  <c r="M7" i="2"/>
  <c r="N7" i="2"/>
  <c r="O7" i="2"/>
  <c r="P7" i="2"/>
  <c r="Q7" i="2"/>
  <c r="R7" i="2"/>
  <c r="S7" i="2"/>
  <c r="M8" i="2"/>
  <c r="N8" i="2"/>
  <c r="O8" i="2"/>
  <c r="P8" i="2"/>
  <c r="Q8" i="2"/>
  <c r="R8" i="2"/>
  <c r="S8" i="2"/>
  <c r="L3" i="2"/>
  <c r="L4" i="2"/>
  <c r="L5" i="2"/>
  <c r="L6" i="2"/>
  <c r="L7" i="2"/>
  <c r="L8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B2" i="2"/>
  <c r="C2" i="2"/>
  <c r="D2" i="2"/>
  <c r="E2" i="2"/>
  <c r="F2" i="2"/>
  <c r="G2" i="2"/>
  <c r="H2" i="2"/>
  <c r="I2" i="2"/>
  <c r="J2" i="2"/>
  <c r="K2" i="2"/>
  <c r="T2" i="2"/>
  <c r="B3" i="2"/>
  <c r="C3" i="2"/>
  <c r="D3" i="2"/>
  <c r="E3" i="2"/>
  <c r="F3" i="2"/>
  <c r="G3" i="2"/>
  <c r="H3" i="2"/>
  <c r="I3" i="2"/>
  <c r="J3" i="2"/>
  <c r="K3" i="2"/>
  <c r="T3" i="2"/>
  <c r="B4" i="2"/>
  <c r="C4" i="2"/>
  <c r="D4" i="2"/>
  <c r="E4" i="2"/>
  <c r="F4" i="2"/>
  <c r="G4" i="2"/>
  <c r="H4" i="2"/>
  <c r="I4" i="2"/>
  <c r="J4" i="2"/>
  <c r="K4" i="2"/>
  <c r="T4" i="2"/>
  <c r="B5" i="2"/>
  <c r="C5" i="2"/>
  <c r="D5" i="2"/>
  <c r="E5" i="2"/>
  <c r="F5" i="2"/>
  <c r="G5" i="2"/>
  <c r="H5" i="2"/>
  <c r="I5" i="2"/>
  <c r="J5" i="2"/>
  <c r="K5" i="2"/>
  <c r="T5" i="2"/>
  <c r="B6" i="2"/>
  <c r="C6" i="2"/>
  <c r="D6" i="2"/>
  <c r="E6" i="2"/>
  <c r="F6" i="2"/>
  <c r="G6" i="2"/>
  <c r="H6" i="2"/>
  <c r="I6" i="2"/>
  <c r="J6" i="2"/>
  <c r="K6" i="2"/>
  <c r="T6" i="2"/>
  <c r="B7" i="2"/>
  <c r="C7" i="2"/>
  <c r="D7" i="2"/>
  <c r="E7" i="2"/>
  <c r="F7" i="2"/>
  <c r="G7" i="2"/>
  <c r="H7" i="2"/>
  <c r="I7" i="2"/>
  <c r="J7" i="2"/>
  <c r="K7" i="2"/>
  <c r="T7" i="2"/>
  <c r="B8" i="2"/>
  <c r="C8" i="2"/>
  <c r="D8" i="2"/>
  <c r="E8" i="2"/>
  <c r="F8" i="2"/>
  <c r="G8" i="2"/>
  <c r="H8" i="2"/>
  <c r="I8" i="2"/>
  <c r="J8" i="2"/>
  <c r="K8" i="2"/>
  <c r="T8" i="2"/>
  <c r="B9" i="2"/>
  <c r="C9" i="2"/>
  <c r="D9" i="2"/>
  <c r="E9" i="2"/>
  <c r="F9" i="2"/>
  <c r="G9" i="2"/>
  <c r="H9" i="2"/>
  <c r="I9" i="2"/>
  <c r="J9" i="2"/>
  <c r="K9" i="2"/>
  <c r="T9" i="2"/>
  <c r="B10" i="2"/>
  <c r="C10" i="2"/>
  <c r="D10" i="2"/>
  <c r="E10" i="2"/>
  <c r="F10" i="2"/>
  <c r="G10" i="2"/>
  <c r="H10" i="2"/>
  <c r="I10" i="2"/>
  <c r="J10" i="2"/>
  <c r="K10" i="2"/>
  <c r="T10" i="2"/>
  <c r="B11" i="2"/>
  <c r="C11" i="2"/>
  <c r="D11" i="2"/>
  <c r="E11" i="2"/>
  <c r="F11" i="2"/>
  <c r="G11" i="2"/>
  <c r="H11" i="2"/>
  <c r="I11" i="2"/>
  <c r="J11" i="2"/>
  <c r="K11" i="2"/>
  <c r="T11" i="2"/>
  <c r="B12" i="2"/>
  <c r="C12" i="2"/>
  <c r="D12" i="2"/>
  <c r="E12" i="2"/>
  <c r="F12" i="2"/>
  <c r="G12" i="2"/>
  <c r="H12" i="2"/>
  <c r="I12" i="2"/>
  <c r="J12" i="2"/>
  <c r="K12" i="2"/>
  <c r="T12" i="2"/>
  <c r="B13" i="2"/>
  <c r="C13" i="2"/>
  <c r="D13" i="2"/>
  <c r="E13" i="2"/>
  <c r="F13" i="2"/>
  <c r="G13" i="2"/>
  <c r="H13" i="2"/>
  <c r="I13" i="2"/>
  <c r="J13" i="2"/>
  <c r="K13" i="2"/>
  <c r="T13" i="2"/>
  <c r="B14" i="2"/>
  <c r="C14" i="2"/>
  <c r="D14" i="2"/>
  <c r="E14" i="2"/>
  <c r="F14" i="2"/>
  <c r="G14" i="2"/>
  <c r="H14" i="2"/>
  <c r="I14" i="2"/>
  <c r="J14" i="2"/>
  <c r="K14" i="2"/>
  <c r="T14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Q2" i="1"/>
  <c r="R2" i="1"/>
  <c r="S2" i="1"/>
  <c r="R10" i="1" l="1"/>
  <c r="R9" i="1"/>
  <c r="H2" i="1"/>
  <c r="S4" i="1"/>
  <c r="S3" i="1"/>
  <c r="S10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2" i="1"/>
  <c r="Q3" i="1"/>
  <c r="R3" i="1" s="1"/>
  <c r="Q4" i="1"/>
  <c r="R4" i="1" s="1"/>
  <c r="Q7" i="1"/>
  <c r="R7" i="1" s="1"/>
  <c r="Q8" i="1"/>
  <c r="R8" i="1" s="1"/>
  <c r="S7" i="1" l="1"/>
  <c r="S8" i="1"/>
  <c r="P6" i="1"/>
  <c r="Q6" i="1" s="1"/>
  <c r="R6" i="1" s="1"/>
  <c r="S6" i="1" s="1"/>
  <c r="P5" i="1"/>
  <c r="Q5" i="1" s="1"/>
  <c r="R5" i="1" s="1"/>
  <c r="S5" i="1" s="1"/>
</calcChain>
</file>

<file path=xl/sharedStrings.xml><?xml version="1.0" encoding="utf-8"?>
<sst xmlns="http://schemas.openxmlformats.org/spreadsheetml/2006/main" count="81" uniqueCount="63">
  <si>
    <t>Site</t>
  </si>
  <si>
    <t>Scale</t>
  </si>
  <si>
    <t>State Bog Section 3</t>
  </si>
  <si>
    <t>Bed</t>
  </si>
  <si>
    <t>Rocky Bog North Section</t>
  </si>
  <si>
    <t>Frogfoot</t>
  </si>
  <si>
    <t>Farm</t>
  </si>
  <si>
    <t>WIP-FF</t>
  </si>
  <si>
    <t>WIP-ADM</t>
  </si>
  <si>
    <t>Atwood Bog</t>
  </si>
  <si>
    <t>Reference</t>
  </si>
  <si>
    <t xml:space="preserve">White Springs </t>
  </si>
  <si>
    <t>Year</t>
  </si>
  <si>
    <t>Qp (mm/yr)</t>
  </si>
  <si>
    <t>Qet (mm/yr)</t>
  </si>
  <si>
    <t>Qsw-out (mm/yr)</t>
  </si>
  <si>
    <t>Qfw+iw (mm/yr)</t>
  </si>
  <si>
    <t>Qgw-net (mm/yr)</t>
  </si>
  <si>
    <t>Neill et al. 2017</t>
  </si>
  <si>
    <t>Kennedy et al. 2018</t>
  </si>
  <si>
    <t>Kennedy et al. 2020</t>
  </si>
  <si>
    <t>Lat</t>
  </si>
  <si>
    <t>Lon</t>
  </si>
  <si>
    <t>unpublished</t>
  </si>
  <si>
    <t>et is estimated; Qfw+iw is SW-in, so higher than the acutual amount used for fw and iw</t>
  </si>
  <si>
    <t>Notes</t>
  </si>
  <si>
    <t>et is estimated; qgw could be high due to leaching from tail water recovery pond</t>
  </si>
  <si>
    <t>Qsw+gw-in (mm/yr)</t>
  </si>
  <si>
    <t>Qsw+gw-in (m3/yr)</t>
  </si>
  <si>
    <t>2012-2015</t>
  </si>
  <si>
    <t>2015-2016</t>
  </si>
  <si>
    <t>2014-2015</t>
  </si>
  <si>
    <t>2017-2018</t>
  </si>
  <si>
    <t>Study_ha</t>
  </si>
  <si>
    <t>bog_tot_area_m2</t>
  </si>
  <si>
    <t>total_ha</t>
  </si>
  <si>
    <t>scaling factor</t>
  </si>
  <si>
    <t>Q_m3d</t>
  </si>
  <si>
    <t>TID3</t>
  </si>
  <si>
    <t>Tidmarsh Outlet</t>
  </si>
  <si>
    <t>HW</t>
  </si>
  <si>
    <t>AW</t>
  </si>
  <si>
    <t>FP</t>
  </si>
  <si>
    <t>BDW</t>
  </si>
  <si>
    <t>Tidmarsh Head Water (Above Beaver Dam Wetland)</t>
  </si>
  <si>
    <t xml:space="preserve">Tidmarsh Arm Wetland </t>
  </si>
  <si>
    <t>Tidmarsh Freshpond Outlet</t>
  </si>
  <si>
    <t>Tidmarsh Beaver Dam Wetland</t>
  </si>
  <si>
    <t>Alias</t>
  </si>
  <si>
    <t>2016-2017</t>
  </si>
  <si>
    <t>329 L s-1 +- 95 from Oct 1, 2016 to Sep 30, 2017</t>
  </si>
  <si>
    <t>SB3</t>
  </si>
  <si>
    <t>WS</t>
  </si>
  <si>
    <t>RBN</t>
  </si>
  <si>
    <t>AtB</t>
  </si>
  <si>
    <t>FrF</t>
  </si>
  <si>
    <t>White Island Pond AD Makepeace</t>
  </si>
  <si>
    <t>White Island Pond Federal Furnace</t>
  </si>
  <si>
    <t>Howes and Teal 1995</t>
  </si>
  <si>
    <t>After correcting for evaporation, if all of the “missing” water was due to
groundwater recharge over the flooded surface of the bog, the volume (ca. 700 m3 d-1) is less than 15% of average
daily exit flows through the year. However, even this level of water loss is a maximum, since much of the water enters the dikes surrounding to the bog and returns when the bog drains (bank storage).</t>
  </si>
  <si>
    <t>1993-1994</t>
  </si>
  <si>
    <t>Nye &amp; Garland Bog</t>
  </si>
  <si>
    <t>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</si>
</sst>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/>
    <xf numFmtId="0" fontId="3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AAFD-D75A-8343-9DE9-D7F2CC807160}">
  <dimension ref="A1:T14"/>
  <sheetViews>
    <sheetView workbookViewId="0">
      <selection activeCell="M12" sqref="M12"/>
    </sheetView>
  </sheetViews>
  <sheetFormatPr defaultColWidth="11.19921875" defaultRowHeight="15.6" x14ac:dyDescent="0.3"/>
  <cols>
    <col min="1" max="1" width="21.5" bestFit="1" customWidth="1"/>
    <col min="2" max="2" width="6.59765625" customWidth="1"/>
    <col min="3" max="3" width="5.5" bestFit="1" customWidth="1"/>
    <col min="4" max="4" width="17.296875" bestFit="1" customWidth="1"/>
    <col min="5" max="5" width="20.19921875" bestFit="1" customWidth="1"/>
    <col min="9" max="9" width="20.19921875" customWidth="1"/>
    <col min="10" max="10" width="10.19921875" bestFit="1" customWidth="1"/>
    <col min="11" max="11" width="10.796875" bestFit="1" customWidth="1"/>
    <col min="12" max="12" width="15.69921875" bestFit="1" customWidth="1"/>
    <col min="13" max="13" width="14.296875" bestFit="1" customWidth="1"/>
    <col min="14" max="14" width="15.796875" bestFit="1" customWidth="1"/>
    <col min="15" max="15" width="11" bestFit="1" customWidth="1"/>
    <col min="16" max="16" width="15.19921875" bestFit="1" customWidth="1"/>
    <col min="17" max="17" width="18.19921875" bestFit="1" customWidth="1"/>
    <col min="18" max="18" width="17.5" bestFit="1" customWidth="1"/>
    <col min="19" max="19" width="17.5" customWidth="1"/>
  </cols>
  <sheetData>
    <row r="1" spans="1:20" x14ac:dyDescent="0.3">
      <c r="A1" t="s">
        <v>0</v>
      </c>
      <c r="B1" t="s">
        <v>48</v>
      </c>
      <c r="C1" t="s">
        <v>1</v>
      </c>
      <c r="D1" t="s">
        <v>10</v>
      </c>
      <c r="E1" t="s">
        <v>12</v>
      </c>
      <c r="F1" t="s">
        <v>33</v>
      </c>
      <c r="G1" t="s">
        <v>35</v>
      </c>
      <c r="H1" t="s">
        <v>36</v>
      </c>
      <c r="I1" t="s">
        <v>34</v>
      </c>
      <c r="J1" t="s">
        <v>21</v>
      </c>
      <c r="K1" t="s">
        <v>22</v>
      </c>
      <c r="L1" t="s">
        <v>15</v>
      </c>
      <c r="M1" t="s">
        <v>14</v>
      </c>
      <c r="N1" t="s">
        <v>17</v>
      </c>
      <c r="O1" t="s">
        <v>13</v>
      </c>
      <c r="P1" t="s">
        <v>16</v>
      </c>
      <c r="Q1" t="s">
        <v>27</v>
      </c>
      <c r="R1" t="s">
        <v>28</v>
      </c>
      <c r="S1" t="s">
        <v>37</v>
      </c>
      <c r="T1" t="s">
        <v>25</v>
      </c>
    </row>
    <row r="2" spans="1:20" ht="16.2" thickBot="1" x14ac:dyDescent="0.35">
      <c r="A2" t="s">
        <v>4</v>
      </c>
      <c r="B2" t="s">
        <v>53</v>
      </c>
      <c r="C2" t="s">
        <v>3</v>
      </c>
      <c r="D2" t="s">
        <v>18</v>
      </c>
      <c r="E2" t="s">
        <v>30</v>
      </c>
      <c r="F2">
        <v>1.7</v>
      </c>
      <c r="G2">
        <f>I2/10000</f>
        <v>2.8422735998999999</v>
      </c>
      <c r="H2">
        <f>G2/F2</f>
        <v>1.6719256469999999</v>
      </c>
      <c r="I2" s="4">
        <v>28422.735999</v>
      </c>
      <c r="J2">
        <v>41.885337999999997</v>
      </c>
      <c r="K2">
        <v>-70.697839999999999</v>
      </c>
      <c r="L2">
        <v>8639</v>
      </c>
      <c r="M2">
        <v>696</v>
      </c>
      <c r="N2">
        <v>5970</v>
      </c>
      <c r="O2">
        <v>1164</v>
      </c>
      <c r="P2">
        <v>2201</v>
      </c>
      <c r="Q2">
        <f>L2-P2</f>
        <v>6438</v>
      </c>
      <c r="R2" s="2">
        <f>Q2/1000*F2*10000</f>
        <v>109446</v>
      </c>
      <c r="S2" s="2">
        <f>R2*H2/365.25</f>
        <v>500.98719879962221</v>
      </c>
    </row>
    <row r="3" spans="1:20" ht="16.2" thickBot="1" x14ac:dyDescent="0.35">
      <c r="A3" t="s">
        <v>11</v>
      </c>
      <c r="B3" t="s">
        <v>52</v>
      </c>
      <c r="C3" t="s">
        <v>3</v>
      </c>
      <c r="D3" t="s">
        <v>18</v>
      </c>
      <c r="E3" t="s">
        <v>30</v>
      </c>
      <c r="F3">
        <v>2.91</v>
      </c>
      <c r="G3">
        <f t="shared" ref="G3:G8" si="0">I3/10000</f>
        <v>3.0008394848000002</v>
      </c>
      <c r="H3">
        <f t="shared" ref="H3:H7" si="1">G3/F3</f>
        <v>1.0312163178006872</v>
      </c>
      <c r="I3" s="5">
        <v>30008.394848</v>
      </c>
      <c r="J3">
        <v>41.838679999999997</v>
      </c>
      <c r="K3">
        <v>-70.695725999999993</v>
      </c>
      <c r="L3">
        <v>2976</v>
      </c>
      <c r="M3">
        <v>696</v>
      </c>
      <c r="N3">
        <v>1170</v>
      </c>
      <c r="O3">
        <v>1164</v>
      </c>
      <c r="P3">
        <v>1338</v>
      </c>
      <c r="Q3">
        <f t="shared" ref="Q3:Q8" si="2">L3-P3</f>
        <v>1638</v>
      </c>
      <c r="R3" s="2">
        <f t="shared" ref="R3:R7" si="3">Q3/1000*F3*10000</f>
        <v>47665.8</v>
      </c>
      <c r="S3" s="2">
        <f>R3*H3/365.25</f>
        <v>134.57563521156467</v>
      </c>
    </row>
    <row r="4" spans="1:20" ht="16.2" thickBot="1" x14ac:dyDescent="0.35">
      <c r="A4" t="s">
        <v>2</v>
      </c>
      <c r="B4" t="s">
        <v>51</v>
      </c>
      <c r="C4" t="s">
        <v>3</v>
      </c>
      <c r="D4" t="s">
        <v>18</v>
      </c>
      <c r="E4" t="s">
        <v>30</v>
      </c>
      <c r="F4">
        <v>1.17</v>
      </c>
      <c r="G4">
        <f t="shared" si="0"/>
        <v>4.4486941718000006</v>
      </c>
      <c r="H4">
        <f t="shared" si="1"/>
        <v>3.8023027109401717</v>
      </c>
      <c r="I4" s="3">
        <v>44486.941718000002</v>
      </c>
      <c r="J4">
        <v>41.766503999999998</v>
      </c>
      <c r="K4">
        <v>-70.667465000000007</v>
      </c>
      <c r="L4">
        <v>2273</v>
      </c>
      <c r="M4">
        <v>695</v>
      </c>
      <c r="N4">
        <v>-152</v>
      </c>
      <c r="O4">
        <v>1184</v>
      </c>
      <c r="P4">
        <v>1936</v>
      </c>
      <c r="Q4">
        <f t="shared" si="2"/>
        <v>337</v>
      </c>
      <c r="R4" s="2">
        <f t="shared" si="3"/>
        <v>3942.8999999999996</v>
      </c>
      <c r="S4" s="2">
        <f>R4*H4/365.25</f>
        <v>41.046131030707734</v>
      </c>
    </row>
    <row r="5" spans="1:20" ht="16.2" thickBot="1" x14ac:dyDescent="0.35">
      <c r="A5" t="s">
        <v>9</v>
      </c>
      <c r="B5" t="s">
        <v>54</v>
      </c>
      <c r="C5" t="s">
        <v>3</v>
      </c>
      <c r="D5" t="s">
        <v>19</v>
      </c>
      <c r="E5" t="s">
        <v>31</v>
      </c>
      <c r="F5">
        <v>2.12</v>
      </c>
      <c r="G5">
        <f t="shared" si="0"/>
        <v>33.393741675299999</v>
      </c>
      <c r="H5">
        <f t="shared" si="1"/>
        <v>15.751764941179244</v>
      </c>
      <c r="I5" s="6">
        <v>333937.416753</v>
      </c>
      <c r="J5">
        <v>41.876323999999997</v>
      </c>
      <c r="K5">
        <v>-70.730203000000003</v>
      </c>
      <c r="L5">
        <v>2765</v>
      </c>
      <c r="M5">
        <v>662</v>
      </c>
      <c r="N5">
        <v>142</v>
      </c>
      <c r="O5">
        <v>1358</v>
      </c>
      <c r="P5">
        <f>1289+639</f>
        <v>1928</v>
      </c>
      <c r="Q5">
        <f t="shared" si="2"/>
        <v>837</v>
      </c>
      <c r="R5" s="2">
        <f t="shared" si="3"/>
        <v>17744.400000000001</v>
      </c>
      <c r="S5" s="2">
        <f t="shared" ref="S5:S7" si="4">R5*H5/365.25</f>
        <v>765.24467576252152</v>
      </c>
    </row>
    <row r="6" spans="1:20" x14ac:dyDescent="0.3">
      <c r="A6" t="s">
        <v>57</v>
      </c>
      <c r="B6" t="s">
        <v>7</v>
      </c>
      <c r="C6" t="s">
        <v>6</v>
      </c>
      <c r="D6" t="s">
        <v>20</v>
      </c>
      <c r="E6" t="s">
        <v>32</v>
      </c>
      <c r="F6">
        <v>19.2</v>
      </c>
      <c r="G6">
        <f t="shared" si="0"/>
        <v>20.2087436634</v>
      </c>
      <c r="H6">
        <f t="shared" si="1"/>
        <v>1.0525387324687501</v>
      </c>
      <c r="I6" s="7">
        <v>202087.43663400001</v>
      </c>
      <c r="J6">
        <v>41.818758000000003</v>
      </c>
      <c r="K6">
        <v>-70.614092999999997</v>
      </c>
      <c r="L6">
        <v>2140</v>
      </c>
      <c r="M6">
        <v>623</v>
      </c>
      <c r="N6">
        <v>-91</v>
      </c>
      <c r="O6">
        <v>1529</v>
      </c>
      <c r="P6">
        <f>507+819</f>
        <v>1326</v>
      </c>
      <c r="Q6">
        <f t="shared" si="2"/>
        <v>814</v>
      </c>
      <c r="R6" s="2">
        <f>Q6/1000*F6*10000</f>
        <v>156287.99999999997</v>
      </c>
      <c r="S6" s="2">
        <f>R6*H6/365.25</f>
        <v>450.37419143073504</v>
      </c>
    </row>
    <row r="7" spans="1:20" x14ac:dyDescent="0.3">
      <c r="A7" t="s">
        <v>5</v>
      </c>
      <c r="B7" t="s">
        <v>55</v>
      </c>
      <c r="C7" t="s">
        <v>6</v>
      </c>
      <c r="D7" t="s">
        <v>23</v>
      </c>
      <c r="E7" t="s">
        <v>29</v>
      </c>
      <c r="F7">
        <v>26.5</v>
      </c>
      <c r="G7">
        <f t="shared" si="0"/>
        <v>28.195669399699998</v>
      </c>
      <c r="H7">
        <f t="shared" si="1"/>
        <v>1.063987524516981</v>
      </c>
      <c r="I7" s="7">
        <v>281956.69399699999</v>
      </c>
      <c r="J7">
        <v>41.799670999999996</v>
      </c>
      <c r="K7">
        <v>-70.713346000000001</v>
      </c>
      <c r="L7">
        <v>18468</v>
      </c>
      <c r="M7" s="1">
        <v>690</v>
      </c>
      <c r="O7">
        <v>1182</v>
      </c>
      <c r="P7" s="1">
        <v>8832</v>
      </c>
      <c r="Q7">
        <f t="shared" si="2"/>
        <v>9636</v>
      </c>
      <c r="R7" s="2">
        <f t="shared" si="3"/>
        <v>2553540</v>
      </c>
      <c r="S7" s="2">
        <f t="shared" si="4"/>
        <v>7438.5618161672601</v>
      </c>
      <c r="T7" t="s">
        <v>24</v>
      </c>
    </row>
    <row r="8" spans="1:20" x14ac:dyDescent="0.3">
      <c r="A8" t="s">
        <v>56</v>
      </c>
      <c r="B8" t="s">
        <v>8</v>
      </c>
      <c r="C8" t="s">
        <v>6</v>
      </c>
      <c r="D8" t="s">
        <v>23</v>
      </c>
      <c r="E8" t="s">
        <v>29</v>
      </c>
      <c r="F8">
        <v>10.3</v>
      </c>
      <c r="G8">
        <f t="shared" si="0"/>
        <v>15.282471282099999</v>
      </c>
      <c r="H8">
        <f>G8/F8</f>
        <v>1.4837350759320387</v>
      </c>
      <c r="I8" s="4">
        <v>152824.71282099999</v>
      </c>
      <c r="J8">
        <v>41.820860000000003</v>
      </c>
      <c r="K8">
        <v>-70.617583999999994</v>
      </c>
      <c r="L8">
        <v>10781</v>
      </c>
      <c r="M8" s="1">
        <v>690</v>
      </c>
      <c r="O8">
        <v>1183</v>
      </c>
      <c r="P8">
        <v>2241</v>
      </c>
      <c r="Q8">
        <f t="shared" si="2"/>
        <v>8540</v>
      </c>
      <c r="R8" s="2">
        <f>Q8/1000*F8*10000</f>
        <v>879620</v>
      </c>
      <c r="S8" s="2">
        <f>R8*H8/365.25</f>
        <v>3573.2321628784121</v>
      </c>
      <c r="T8" t="s">
        <v>26</v>
      </c>
    </row>
    <row r="9" spans="1:20" x14ac:dyDescent="0.3">
      <c r="A9" t="s">
        <v>61</v>
      </c>
      <c r="B9" t="s">
        <v>62</v>
      </c>
      <c r="C9" t="s">
        <v>6</v>
      </c>
      <c r="D9" t="s">
        <v>58</v>
      </c>
      <c r="E9" t="s">
        <v>60</v>
      </c>
      <c r="I9" s="8"/>
      <c r="J9">
        <v>41.765700000000002</v>
      </c>
      <c r="K9">
        <v>-70.619600000000005</v>
      </c>
      <c r="M9" s="1"/>
      <c r="R9" s="2">
        <f>S9*365.25</f>
        <v>1899300</v>
      </c>
      <c r="S9" s="2">
        <v>5200</v>
      </c>
      <c r="T9" t="s">
        <v>59</v>
      </c>
    </row>
    <row r="10" spans="1:20" x14ac:dyDescent="0.3">
      <c r="A10" t="s">
        <v>39</v>
      </c>
      <c r="B10" t="s">
        <v>38</v>
      </c>
      <c r="C10" t="s">
        <v>6</v>
      </c>
      <c r="D10" t="s">
        <v>23</v>
      </c>
      <c r="E10" t="s">
        <v>49</v>
      </c>
      <c r="J10">
        <v>41.912649000000002</v>
      </c>
      <c r="K10">
        <v>-70.566849000000005</v>
      </c>
      <c r="R10" s="2">
        <f>S10*365.25</f>
        <v>10382450.4</v>
      </c>
      <c r="S10" s="2">
        <f>329*60*60*24/1000</f>
        <v>28425.599999999999</v>
      </c>
      <c r="T10" t="s">
        <v>50</v>
      </c>
    </row>
    <row r="11" spans="1:20" x14ac:dyDescent="0.3">
      <c r="A11" t="s">
        <v>44</v>
      </c>
      <c r="B11" t="s">
        <v>40</v>
      </c>
      <c r="D11" t="s">
        <v>23</v>
      </c>
      <c r="J11">
        <v>41.896301000000001</v>
      </c>
      <c r="K11">
        <v>-70.568839999999994</v>
      </c>
    </row>
    <row r="12" spans="1:20" x14ac:dyDescent="0.3">
      <c r="A12" t="s">
        <v>45</v>
      </c>
      <c r="B12" t="s">
        <v>41</v>
      </c>
      <c r="D12" t="s">
        <v>23</v>
      </c>
      <c r="J12">
        <v>41.902141999999998</v>
      </c>
      <c r="K12">
        <v>-70.565149000000005</v>
      </c>
    </row>
    <row r="13" spans="1:20" x14ac:dyDescent="0.3">
      <c r="A13" t="s">
        <v>46</v>
      </c>
      <c r="B13" t="s">
        <v>42</v>
      </c>
      <c r="D13" t="s">
        <v>23</v>
      </c>
      <c r="J13">
        <v>41.905377000000001</v>
      </c>
      <c r="K13">
        <v>-70.561053000000001</v>
      </c>
    </row>
    <row r="14" spans="1:20" x14ac:dyDescent="0.3">
      <c r="A14" t="s">
        <v>47</v>
      </c>
      <c r="B14" t="s">
        <v>43</v>
      </c>
      <c r="D14" t="s">
        <v>23</v>
      </c>
      <c r="J14">
        <v>41.901375999999999</v>
      </c>
      <c r="K14">
        <v>-70.561053000000001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ED43-EF40-4810-A6F3-D41CE7AD09BC}">
  <dimension ref="A1:T23"/>
  <sheetViews>
    <sheetView tabSelected="1" workbookViewId="0">
      <selection activeCell="A4" sqref="A4:XFD4"/>
    </sheetView>
  </sheetViews>
  <sheetFormatPr defaultRowHeight="15.6" x14ac:dyDescent="0.3"/>
  <cols>
    <col min="4" max="4" width="24.796875" customWidth="1"/>
  </cols>
  <sheetData>
    <row r="1" spans="1:20" x14ac:dyDescent="0.3">
      <c r="A1" t="str">
        <f>IF(Sheet1!A1&lt;&gt;"",Sheet1!A1,"")</f>
        <v>Site</v>
      </c>
      <c r="B1" t="str">
        <f>IF(Sheet1!B1&lt;&gt;"",Sheet1!B1,"")</f>
        <v>Alias</v>
      </c>
      <c r="C1" t="str">
        <f>IF(Sheet1!C1&lt;&gt;"",Sheet1!C1,"")</f>
        <v>Scale</v>
      </c>
      <c r="D1" t="str">
        <f>IF(Sheet1!D1&lt;&gt;"",Sheet1!D1,"")</f>
        <v>Reference</v>
      </c>
      <c r="E1" t="str">
        <f>IF(Sheet1!E1&lt;&gt;"",Sheet1!E1,"")</f>
        <v>Year</v>
      </c>
      <c r="F1" t="str">
        <f>IF(Sheet1!F1&lt;&gt;"",Sheet1!F1,"")</f>
        <v>Study_ha</v>
      </c>
      <c r="G1" t="str">
        <f>IF(Sheet1!G1&lt;&gt;"",Sheet1!G1,"")</f>
        <v>total_ha</v>
      </c>
      <c r="H1" t="str">
        <f>IF(Sheet1!H1&lt;&gt;"",Sheet1!H1,"")</f>
        <v>scaling factor</v>
      </c>
      <c r="I1" t="str">
        <f>IF(Sheet1!I1&lt;&gt;"",Sheet1!I1,"")</f>
        <v>bog_tot_area_m2</v>
      </c>
      <c r="J1" t="str">
        <f>IF(Sheet1!J1&lt;&gt;"",Sheet1!J1,"")</f>
        <v>Lat</v>
      </c>
      <c r="K1" t="str">
        <f>IF(Sheet1!K1&lt;&gt;"",Sheet1!K1,"")</f>
        <v>Lon</v>
      </c>
      <c r="L1" t="str">
        <f>IF(Sheet1!L1&lt;&gt;"",Sheet1!L1,"")</f>
        <v>Qsw-out (mm/yr)</v>
      </c>
      <c r="M1" t="str">
        <f>IF(Sheet1!M1&lt;&gt;"",Sheet1!M1,"")</f>
        <v>Qet (mm/yr)</v>
      </c>
      <c r="N1" t="str">
        <f>IF(Sheet1!N1&lt;&gt;"",Sheet1!N1,"")</f>
        <v>Qgw-net (mm/yr)</v>
      </c>
      <c r="O1" t="str">
        <f>IF(Sheet1!O1&lt;&gt;"",Sheet1!O1,"")</f>
        <v>Qp (mm/yr)</v>
      </c>
      <c r="P1" t="str">
        <f>IF(Sheet1!P1&lt;&gt;"",Sheet1!P1,"")</f>
        <v>Qfw+iw (mm/yr)</v>
      </c>
      <c r="Q1" t="str">
        <f>IF(Sheet1!Q1&lt;&gt;"",Sheet1!Q1,"")</f>
        <v>Qsw+gw-in (mm/yr)</v>
      </c>
      <c r="R1" t="str">
        <f>IF(Sheet1!R1&lt;&gt;"",Sheet1!R1,"")</f>
        <v>Qsw+gw-in (m3/yr)</v>
      </c>
      <c r="S1" t="str">
        <f>IF(Sheet1!S1&lt;&gt;"",Sheet1!S1,"")</f>
        <v>Q_m3d</v>
      </c>
      <c r="T1" t="str">
        <f>IF(Sheet1!T1&lt;&gt;"",Sheet1!T1,"")</f>
        <v>Notes</v>
      </c>
    </row>
    <row r="2" spans="1:20" x14ac:dyDescent="0.3">
      <c r="A2" t="str">
        <f>IF(Sheet1!A2&lt;&gt;"",Sheet1!A2,"")</f>
        <v>Rocky Bog North Section</v>
      </c>
      <c r="B2" t="str">
        <f>IF(Sheet1!B2&lt;&gt;"",Sheet1!B2,"")</f>
        <v>RBN</v>
      </c>
      <c r="C2" t="str">
        <f>IF(Sheet1!C2&lt;&gt;"",Sheet1!C2,"")</f>
        <v>Bed</v>
      </c>
      <c r="D2" t="str">
        <f>IF(Sheet1!D2&lt;&gt;"",Sheet1!D2,"")</f>
        <v>Neill et al. 2017</v>
      </c>
      <c r="E2" t="str">
        <f>IF(Sheet1!E2&lt;&gt;"",Sheet1!E2,"")</f>
        <v>2015-2016</v>
      </c>
      <c r="F2">
        <f>IF(Sheet1!F2&lt;&gt;"",Sheet1!F2,"")</f>
        <v>1.7</v>
      </c>
      <c r="G2">
        <f>IF(Sheet1!G2&lt;&gt;"",Sheet1!G2,"")</f>
        <v>2.8422735998999999</v>
      </c>
      <c r="H2">
        <f>IF(Sheet1!H2&lt;&gt;"",Sheet1!H2,"")</f>
        <v>1.6719256469999999</v>
      </c>
      <c r="I2">
        <f>IF(Sheet1!I2&lt;&gt;"",Sheet1!I2,"")</f>
        <v>28422.735999</v>
      </c>
      <c r="J2">
        <f>IF(Sheet1!J2&lt;&gt;"",Sheet1!J2,"")</f>
        <v>41.885337999999997</v>
      </c>
      <c r="K2">
        <f>IF(Sheet1!K2&lt;&gt;"",Sheet1!K2,"")</f>
        <v>-70.697839999999999</v>
      </c>
      <c r="L2">
        <f>IF(Sheet1!L2&lt;&gt;"",Sheet1!L2/10/2.54,"")</f>
        <v>340.11811023622045</v>
      </c>
      <c r="M2">
        <f>IF(Sheet1!M2&lt;&gt;"",Sheet1!M2/10/2.54,"")</f>
        <v>27.401574803149604</v>
      </c>
      <c r="N2">
        <f>IF(Sheet1!N2&lt;&gt;"",Sheet1!N2/10/2.54,"")</f>
        <v>235.03937007874015</v>
      </c>
      <c r="O2">
        <f>IF(Sheet1!O2&lt;&gt;"",Sheet1!O2/10/2.54,"")</f>
        <v>45.826771653543311</v>
      </c>
      <c r="P2">
        <f>IF(Sheet1!P2&lt;&gt;"",Sheet1!P2/10/2.54,"")</f>
        <v>86.653543307086608</v>
      </c>
      <c r="Q2">
        <f>IF(Sheet1!Q2&lt;&gt;"",Sheet1!Q2/10/2.54,"")</f>
        <v>253.46456692913384</v>
      </c>
      <c r="R2">
        <f>IF(Sheet1!R2&lt;&gt;"",Sheet1!R2/10/2.54,"")</f>
        <v>4308.8976377952758</v>
      </c>
      <c r="S2">
        <f>IF(Sheet1!S2&lt;&gt;"",Sheet1!S2/10/2.54,"")</f>
        <v>19.723905464552054</v>
      </c>
      <c r="T2" t="str">
        <f>IF(Sheet1!T2&lt;&gt;"",Sheet1!T2,"")</f>
        <v/>
      </c>
    </row>
    <row r="3" spans="1:20" x14ac:dyDescent="0.3">
      <c r="A3" t="str">
        <f>IF(Sheet1!A3&lt;&gt;"",Sheet1!A3,"")</f>
        <v xml:space="preserve">White Springs </v>
      </c>
      <c r="B3" t="str">
        <f>IF(Sheet1!B3&lt;&gt;"",Sheet1!B3,"")</f>
        <v>WS</v>
      </c>
      <c r="C3" t="str">
        <f>IF(Sheet1!C3&lt;&gt;"",Sheet1!C3,"")</f>
        <v>Bed</v>
      </c>
      <c r="D3" t="str">
        <f>IF(Sheet1!D3&lt;&gt;"",Sheet1!D3,"")</f>
        <v>Neill et al. 2017</v>
      </c>
      <c r="E3" t="str">
        <f>IF(Sheet1!E3&lt;&gt;"",Sheet1!E3,"")</f>
        <v>2015-2016</v>
      </c>
      <c r="F3">
        <f>IF(Sheet1!F3&lt;&gt;"",Sheet1!F3,"")</f>
        <v>2.91</v>
      </c>
      <c r="G3">
        <f>IF(Sheet1!G3&lt;&gt;"",Sheet1!G3,"")</f>
        <v>3.0008394848000002</v>
      </c>
      <c r="H3">
        <f>IF(Sheet1!H3&lt;&gt;"",Sheet1!H3,"")</f>
        <v>1.0312163178006872</v>
      </c>
      <c r="I3">
        <f>IF(Sheet1!I3&lt;&gt;"",Sheet1!I3,"")</f>
        <v>30008.394848</v>
      </c>
      <c r="J3">
        <f>IF(Sheet1!J3&lt;&gt;"",Sheet1!J3,"")</f>
        <v>41.838679999999997</v>
      </c>
      <c r="K3">
        <f>IF(Sheet1!K3&lt;&gt;"",Sheet1!K3,"")</f>
        <v>-70.695725999999993</v>
      </c>
      <c r="L3">
        <f>IF(Sheet1!L3&lt;&gt;"",Sheet1!L3/10/2.54,"")</f>
        <v>117.16535433070867</v>
      </c>
      <c r="M3">
        <f>IF(Sheet1!M3&lt;&gt;"",Sheet1!M3/10/2.54,"")</f>
        <v>27.401574803149604</v>
      </c>
      <c r="N3">
        <f>IF(Sheet1!N3&lt;&gt;"",Sheet1!N3/10/2.54,"")</f>
        <v>46.062992125984252</v>
      </c>
      <c r="O3">
        <f>IF(Sheet1!O3&lt;&gt;"",Sheet1!O3/10/2.54,"")</f>
        <v>45.826771653543311</v>
      </c>
      <c r="P3">
        <f>IF(Sheet1!P3&lt;&gt;"",Sheet1!P3/10/2.54,"")</f>
        <v>52.677165354330711</v>
      </c>
      <c r="Q3">
        <f>IF(Sheet1!Q3&lt;&gt;"",Sheet1!Q3/10/2.54,"")</f>
        <v>64.488188976377955</v>
      </c>
      <c r="R3">
        <f>IF(Sheet1!R3&lt;&gt;"",Sheet1!R3/10/2.54,"")</f>
        <v>1876.6062992125983</v>
      </c>
      <c r="S3">
        <f>IF(Sheet1!S3&lt;&gt;"",Sheet1!S3/10/2.54,"")</f>
        <v>5.2982533547860111</v>
      </c>
      <c r="T3" t="str">
        <f>IF(Sheet1!T3&lt;&gt;"",Sheet1!T3,"")</f>
        <v/>
      </c>
    </row>
    <row r="4" spans="1:20" x14ac:dyDescent="0.3">
      <c r="A4" t="str">
        <f>IF(Sheet1!A4&lt;&gt;"",Sheet1!A4,"")</f>
        <v>State Bog Section 3</v>
      </c>
      <c r="B4" t="str">
        <f>IF(Sheet1!B4&lt;&gt;"",Sheet1!B4,"")</f>
        <v>SB3</v>
      </c>
      <c r="C4" t="str">
        <f>IF(Sheet1!C4&lt;&gt;"",Sheet1!C4,"")</f>
        <v>Bed</v>
      </c>
      <c r="D4" t="str">
        <f>IF(Sheet1!D4&lt;&gt;"",Sheet1!D4,"")</f>
        <v>Neill et al. 2017</v>
      </c>
      <c r="E4" t="str">
        <f>IF(Sheet1!E4&lt;&gt;"",Sheet1!E4,"")</f>
        <v>2015-2016</v>
      </c>
      <c r="F4">
        <f>IF(Sheet1!F4&lt;&gt;"",Sheet1!F4,"")</f>
        <v>1.17</v>
      </c>
      <c r="G4">
        <f>IF(Sheet1!G4&lt;&gt;"",Sheet1!G4,"")</f>
        <v>4.4486941718000006</v>
      </c>
      <c r="H4">
        <f>IF(Sheet1!H4&lt;&gt;"",Sheet1!H4,"")</f>
        <v>3.8023027109401717</v>
      </c>
      <c r="I4">
        <f>IF(Sheet1!I4&lt;&gt;"",Sheet1!I4,"")</f>
        <v>44486.941718000002</v>
      </c>
      <c r="J4">
        <f>IF(Sheet1!J4&lt;&gt;"",Sheet1!J4,"")</f>
        <v>41.766503999999998</v>
      </c>
      <c r="K4">
        <f>IF(Sheet1!K4&lt;&gt;"",Sheet1!K4,"")</f>
        <v>-70.667465000000007</v>
      </c>
      <c r="L4">
        <f>IF(Sheet1!L4&lt;&gt;"",Sheet1!L4/10/2.54,"")</f>
        <v>89.488188976377955</v>
      </c>
      <c r="M4">
        <f>IF(Sheet1!M4&lt;&gt;"",Sheet1!M4/10/2.54,"")</f>
        <v>27.362204724409448</v>
      </c>
      <c r="N4">
        <f>IF(Sheet1!N4&lt;&gt;"",Sheet1!N4/10/2.54,"")</f>
        <v>-5.984251968503937</v>
      </c>
      <c r="O4">
        <f>IF(Sheet1!O4&lt;&gt;"",Sheet1!O4/10/2.54,"")</f>
        <v>46.614173228346459</v>
      </c>
      <c r="P4">
        <f>IF(Sheet1!P4&lt;&gt;"",Sheet1!P4/10/2.54,"")</f>
        <v>76.220472440944874</v>
      </c>
      <c r="Q4">
        <f>IF(Sheet1!Q4&lt;&gt;"",Sheet1!Q4/10/2.54,"")</f>
        <v>13.267716535433072</v>
      </c>
      <c r="R4">
        <f>IF(Sheet1!R4&lt;&gt;"",Sheet1!R4/10/2.54,"")</f>
        <v>155.2322834645669</v>
      </c>
      <c r="S4">
        <f>IF(Sheet1!S4&lt;&gt;"",Sheet1!S4/10/2.54,"")</f>
        <v>1.615989410657785</v>
      </c>
      <c r="T4" t="str">
        <f>IF(Sheet1!T4&lt;&gt;"",Sheet1!T4,"")</f>
        <v/>
      </c>
    </row>
    <row r="5" spans="1:20" x14ac:dyDescent="0.3">
      <c r="A5" t="str">
        <f>IF(Sheet1!A5&lt;&gt;"",Sheet1!A5,"")</f>
        <v>Atwood Bog</v>
      </c>
      <c r="B5" t="str">
        <f>IF(Sheet1!B5&lt;&gt;"",Sheet1!B5,"")</f>
        <v>AtB</v>
      </c>
      <c r="C5" t="str">
        <f>IF(Sheet1!C5&lt;&gt;"",Sheet1!C5,"")</f>
        <v>Bed</v>
      </c>
      <c r="D5" t="str">
        <f>IF(Sheet1!D5&lt;&gt;"",Sheet1!D5,"")</f>
        <v>Kennedy et al. 2018</v>
      </c>
      <c r="E5" t="str">
        <f>IF(Sheet1!E5&lt;&gt;"",Sheet1!E5,"")</f>
        <v>2014-2015</v>
      </c>
      <c r="F5">
        <f>IF(Sheet1!F5&lt;&gt;"",Sheet1!F5,"")</f>
        <v>2.12</v>
      </c>
      <c r="G5">
        <f>IF(Sheet1!G5&lt;&gt;"",Sheet1!G5,"")</f>
        <v>33.393741675299999</v>
      </c>
      <c r="H5">
        <f>IF(Sheet1!H5&lt;&gt;"",Sheet1!H5,"")</f>
        <v>15.751764941179244</v>
      </c>
      <c r="I5">
        <f>IF(Sheet1!I5&lt;&gt;"",Sheet1!I5,"")</f>
        <v>333937.416753</v>
      </c>
      <c r="J5">
        <f>IF(Sheet1!J5&lt;&gt;"",Sheet1!J5,"")</f>
        <v>41.876323999999997</v>
      </c>
      <c r="K5">
        <f>IF(Sheet1!K5&lt;&gt;"",Sheet1!K5,"")</f>
        <v>-70.730203000000003</v>
      </c>
      <c r="L5">
        <f>IF(Sheet1!L5&lt;&gt;"",Sheet1!L5/10/2.54,"")</f>
        <v>108.85826771653544</v>
      </c>
      <c r="M5">
        <f>IF(Sheet1!M5&lt;&gt;"",Sheet1!M5/10/2.54,"")</f>
        <v>26.062992125984252</v>
      </c>
      <c r="N5">
        <f>IF(Sheet1!N5&lt;&gt;"",Sheet1!N5/10/2.54,"")</f>
        <v>5.590551181102362</v>
      </c>
      <c r="O5">
        <f>IF(Sheet1!O5&lt;&gt;"",Sheet1!O5/10/2.54,"")</f>
        <v>53.464566929133859</v>
      </c>
      <c r="P5">
        <f>IF(Sheet1!P5&lt;&gt;"",Sheet1!P5/10/2.54,"")</f>
        <v>75.905511811023629</v>
      </c>
      <c r="Q5">
        <f>IF(Sheet1!Q5&lt;&gt;"",Sheet1!Q5/10/2.54,"")</f>
        <v>32.952755905511815</v>
      </c>
      <c r="R5">
        <f>IF(Sheet1!R5&lt;&gt;"",Sheet1!R5/10/2.54,"")</f>
        <v>698.59842519685037</v>
      </c>
      <c r="S5">
        <f>IF(Sheet1!S5&lt;&gt;"",Sheet1!S5/10/2.54,"")</f>
        <v>30.127743140256751</v>
      </c>
      <c r="T5" t="str">
        <f>IF(Sheet1!T5&lt;&gt;"",Sheet1!T5,"")</f>
        <v/>
      </c>
    </row>
    <row r="6" spans="1:20" x14ac:dyDescent="0.3">
      <c r="A6" t="str">
        <f>IF(Sheet1!A6&lt;&gt;"",Sheet1!A6,"")</f>
        <v>White Island Pond Federal Furnace</v>
      </c>
      <c r="B6" t="str">
        <f>IF(Sheet1!B6&lt;&gt;"",Sheet1!B6,"")</f>
        <v>WIP-FF</v>
      </c>
      <c r="C6" t="str">
        <f>IF(Sheet1!C6&lt;&gt;"",Sheet1!C6,"")</f>
        <v>Farm</v>
      </c>
      <c r="D6" t="str">
        <f>IF(Sheet1!D6&lt;&gt;"",Sheet1!D6,"")</f>
        <v>Kennedy et al. 2020</v>
      </c>
      <c r="E6" t="str">
        <f>IF(Sheet1!E6&lt;&gt;"",Sheet1!E6,"")</f>
        <v>2017-2018</v>
      </c>
      <c r="F6">
        <f>IF(Sheet1!F6&lt;&gt;"",Sheet1!F6,"")</f>
        <v>19.2</v>
      </c>
      <c r="G6">
        <f>IF(Sheet1!G6&lt;&gt;"",Sheet1!G6,"")</f>
        <v>20.2087436634</v>
      </c>
      <c r="H6">
        <f>IF(Sheet1!H6&lt;&gt;"",Sheet1!H6,"")</f>
        <v>1.0525387324687501</v>
      </c>
      <c r="I6">
        <f>IF(Sheet1!I6&lt;&gt;"",Sheet1!I6,"")</f>
        <v>202087.43663400001</v>
      </c>
      <c r="J6">
        <f>IF(Sheet1!J6&lt;&gt;"",Sheet1!J6,"")</f>
        <v>41.818758000000003</v>
      </c>
      <c r="K6">
        <f>IF(Sheet1!K6&lt;&gt;"",Sheet1!K6,"")</f>
        <v>-70.614092999999997</v>
      </c>
      <c r="L6">
        <f>IF(Sheet1!L6&lt;&gt;"",Sheet1!L6/10/2.54,"")</f>
        <v>84.251968503937007</v>
      </c>
      <c r="M6">
        <f>IF(Sheet1!M6&lt;&gt;"",Sheet1!M6/10/2.54,"")</f>
        <v>24.527559055118108</v>
      </c>
      <c r="N6">
        <f>IF(Sheet1!N6&lt;&gt;"",Sheet1!N6/10/2.54,"")</f>
        <v>-3.5826771653543306</v>
      </c>
      <c r="O6">
        <f>IF(Sheet1!O6&lt;&gt;"",Sheet1!O6/10/2.54,"")</f>
        <v>60.196850393700785</v>
      </c>
      <c r="P6">
        <f>IF(Sheet1!P6&lt;&gt;"",Sheet1!P6/10/2.54,"")</f>
        <v>52.204724409448815</v>
      </c>
      <c r="Q6">
        <f>IF(Sheet1!Q6&lt;&gt;"",Sheet1!Q6/10/2.54,"")</f>
        <v>32.047244094488192</v>
      </c>
      <c r="R6">
        <f>IF(Sheet1!R6&lt;&gt;"",Sheet1!R6/10/2.54,"")</f>
        <v>6153.0708661417311</v>
      </c>
      <c r="S6">
        <f>IF(Sheet1!S6&lt;&gt;"",Sheet1!S6/10/2.54,"")</f>
        <v>17.731267379162798</v>
      </c>
      <c r="T6" t="str">
        <f>IF(Sheet1!T6&lt;&gt;"",Sheet1!T6,"")</f>
        <v/>
      </c>
    </row>
    <row r="7" spans="1:20" x14ac:dyDescent="0.3">
      <c r="A7" t="str">
        <f>IF(Sheet1!A7&lt;&gt;"",Sheet1!A7,"")</f>
        <v>Frogfoot</v>
      </c>
      <c r="B7" t="str">
        <f>IF(Sheet1!B7&lt;&gt;"",Sheet1!B7,"")</f>
        <v>FrF</v>
      </c>
      <c r="C7" t="str">
        <f>IF(Sheet1!C7&lt;&gt;"",Sheet1!C7,"")</f>
        <v>Farm</v>
      </c>
      <c r="D7" t="str">
        <f>IF(Sheet1!D7&lt;&gt;"",Sheet1!D7,"")</f>
        <v>unpublished</v>
      </c>
      <c r="E7" t="str">
        <f>IF(Sheet1!E7&lt;&gt;"",Sheet1!E7,"")</f>
        <v>2012-2015</v>
      </c>
      <c r="F7">
        <f>IF(Sheet1!F7&lt;&gt;"",Sheet1!F7,"")</f>
        <v>26.5</v>
      </c>
      <c r="G7">
        <f>IF(Sheet1!G7&lt;&gt;"",Sheet1!G7,"")</f>
        <v>28.195669399699998</v>
      </c>
      <c r="H7">
        <f>IF(Sheet1!H7&lt;&gt;"",Sheet1!H7,"")</f>
        <v>1.063987524516981</v>
      </c>
      <c r="I7">
        <f>IF(Sheet1!I7&lt;&gt;"",Sheet1!I7,"")</f>
        <v>281956.69399699999</v>
      </c>
      <c r="J7">
        <f>IF(Sheet1!J7&lt;&gt;"",Sheet1!J7,"")</f>
        <v>41.799670999999996</v>
      </c>
      <c r="K7">
        <f>IF(Sheet1!K7&lt;&gt;"",Sheet1!K7,"")</f>
        <v>-70.713346000000001</v>
      </c>
      <c r="L7">
        <f>IF(Sheet1!L7&lt;&gt;"",Sheet1!L7/10/2.54,"")</f>
        <v>727.08661417322833</v>
      </c>
      <c r="M7">
        <f>IF(Sheet1!M7&lt;&gt;"",Sheet1!M7/10/2.54,"")</f>
        <v>27.165354330708659</v>
      </c>
      <c r="N7" t="str">
        <f>IF(Sheet1!N7&lt;&gt;"",Sheet1!N7/10/2.54,"")</f>
        <v/>
      </c>
      <c r="O7">
        <f>IF(Sheet1!O7&lt;&gt;"",Sheet1!O7/10/2.54,"")</f>
        <v>46.535433070866141</v>
      </c>
      <c r="P7">
        <f>IF(Sheet1!P7&lt;&gt;"",Sheet1!P7/10/2.54,"")</f>
        <v>347.71653543307087</v>
      </c>
      <c r="Q7">
        <f>IF(Sheet1!Q7&lt;&gt;"",Sheet1!Q7/10/2.54,"")</f>
        <v>379.37007874015751</v>
      </c>
      <c r="R7">
        <f>IF(Sheet1!R7&lt;&gt;"",Sheet1!R7/10/2.54,"")</f>
        <v>100533.07086614173</v>
      </c>
      <c r="S7">
        <f>IF(Sheet1!S7&lt;&gt;"",Sheet1!S7/10/2.54,"")</f>
        <v>292.85676441603385</v>
      </c>
      <c r="T7" t="str">
        <f>IF(Sheet1!T7&lt;&gt;"",Sheet1!T7,"")</f>
        <v>et is estimated; Qfw+iw is SW-in, so higher than the acutual amount used for fw and iw</v>
      </c>
    </row>
    <row r="8" spans="1:20" x14ac:dyDescent="0.3">
      <c r="A8" t="str">
        <f>IF(Sheet1!A8&lt;&gt;"",Sheet1!A8,"")</f>
        <v>White Island Pond AD Makepeace</v>
      </c>
      <c r="B8" t="str">
        <f>IF(Sheet1!B8&lt;&gt;"",Sheet1!B8,"")</f>
        <v>WIP-ADM</v>
      </c>
      <c r="C8" t="str">
        <f>IF(Sheet1!C8&lt;&gt;"",Sheet1!C8,"")</f>
        <v>Farm</v>
      </c>
      <c r="D8" t="str">
        <f>IF(Sheet1!D8&lt;&gt;"",Sheet1!D8,"")</f>
        <v>unpublished</v>
      </c>
      <c r="E8" t="str">
        <f>IF(Sheet1!E8&lt;&gt;"",Sheet1!E8,"")</f>
        <v>2012-2015</v>
      </c>
      <c r="F8">
        <f>IF(Sheet1!F8&lt;&gt;"",Sheet1!F8,"")</f>
        <v>10.3</v>
      </c>
      <c r="G8">
        <f>IF(Sheet1!G8&lt;&gt;"",Sheet1!G8,"")</f>
        <v>15.282471282099999</v>
      </c>
      <c r="H8">
        <f>IF(Sheet1!H8&lt;&gt;"",Sheet1!H8,"")</f>
        <v>1.4837350759320387</v>
      </c>
      <c r="I8">
        <f>IF(Sheet1!I8&lt;&gt;"",Sheet1!I8,"")</f>
        <v>152824.71282099999</v>
      </c>
      <c r="J8">
        <f>IF(Sheet1!J8&lt;&gt;"",Sheet1!J8,"")</f>
        <v>41.820860000000003</v>
      </c>
      <c r="K8">
        <f>IF(Sheet1!K8&lt;&gt;"",Sheet1!K8,"")</f>
        <v>-70.617583999999994</v>
      </c>
      <c r="L8">
        <f>IF(Sheet1!L8&lt;&gt;"",Sheet1!L8/10/2.54,"")</f>
        <v>424.44881889763775</v>
      </c>
      <c r="M8">
        <f>IF(Sheet1!M8&lt;&gt;"",Sheet1!M8/10/2.54,"")</f>
        <v>27.165354330708659</v>
      </c>
      <c r="N8" t="str">
        <f>IF(Sheet1!N8&lt;&gt;"",Sheet1!N8/10/2.54,"")</f>
        <v/>
      </c>
      <c r="O8">
        <f>IF(Sheet1!O8&lt;&gt;"",Sheet1!O8/10/2.54,"")</f>
        <v>46.574803149606296</v>
      </c>
      <c r="P8">
        <f>IF(Sheet1!P8&lt;&gt;"",Sheet1!P8/10/2.54,"")</f>
        <v>88.228346456692904</v>
      </c>
      <c r="Q8">
        <f>IF(Sheet1!Q8&lt;&gt;"",Sheet1!Q8/10/2.54,"")</f>
        <v>336.22047244094489</v>
      </c>
      <c r="R8">
        <f>IF(Sheet1!R8&lt;&gt;"",Sheet1!R8/10/2.54,"")</f>
        <v>34630.708661417324</v>
      </c>
      <c r="S8">
        <f>IF(Sheet1!S8&lt;&gt;"",Sheet1!S8/10/2.54,"")</f>
        <v>140.67843160938631</v>
      </c>
      <c r="T8" t="str">
        <f>IF(Sheet1!T8&lt;&gt;"",Sheet1!T8,"")</f>
        <v>et is estimated; qgw could be high due to leaching from tail water recovery pond</v>
      </c>
    </row>
    <row r="9" spans="1:20" x14ac:dyDescent="0.3">
      <c r="A9" t="str">
        <f>IF(Sheet1!A9&lt;&gt;"",Sheet1!A9,"")</f>
        <v>Nye &amp; Garland Bog</v>
      </c>
      <c r="B9" t="str">
        <f>IF(Sheet1!B9&lt;&gt;"",Sheet1!B9,"")</f>
        <v>NGB</v>
      </c>
      <c r="C9" t="str">
        <f>IF(Sheet1!C9&lt;&gt;"",Sheet1!C9,"")</f>
        <v>Farm</v>
      </c>
      <c r="D9" t="str">
        <f>IF(Sheet1!D9&lt;&gt;"",Sheet1!D9,"")</f>
        <v>Howes and Teal 1995</v>
      </c>
      <c r="E9" t="str">
        <f>IF(Sheet1!E9&lt;&gt;"",Sheet1!E9,"")</f>
        <v>1993-1994</v>
      </c>
      <c r="F9" t="str">
        <f>IF(Sheet1!F9&lt;&gt;"",Sheet1!F9,"")</f>
        <v/>
      </c>
      <c r="G9" t="str">
        <f>IF(Sheet1!G9&lt;&gt;"",Sheet1!G9,"")</f>
        <v/>
      </c>
      <c r="H9" t="str">
        <f>IF(Sheet1!H9&lt;&gt;"",Sheet1!H9,"")</f>
        <v/>
      </c>
      <c r="I9" t="str">
        <f>IF(Sheet1!I9&lt;&gt;"",Sheet1!I9,"")</f>
        <v/>
      </c>
      <c r="J9">
        <f>IF(Sheet1!J9&lt;&gt;"",Sheet1!J9,"")</f>
        <v>41.765700000000002</v>
      </c>
      <c r="K9">
        <f>IF(Sheet1!K9&lt;&gt;"",Sheet1!K9,"")</f>
        <v>-70.619600000000005</v>
      </c>
      <c r="L9" t="str">
        <f>IF(Sheet1!L9&lt;&gt;"",Sheet1!L9/10/2.54,"")</f>
        <v/>
      </c>
      <c r="M9" t="str">
        <f>IF(Sheet1!M9&lt;&gt;"",Sheet1!M9/10/2.54,"")</f>
        <v/>
      </c>
      <c r="N9" t="str">
        <f>IF(Sheet1!N9&lt;&gt;"",Sheet1!N9/10/2.54,"")</f>
        <v/>
      </c>
      <c r="O9" t="str">
        <f>IF(Sheet1!O9&lt;&gt;"",Sheet1!O9/10/2.54,"")</f>
        <v/>
      </c>
      <c r="P9" t="str">
        <f>IF(Sheet1!P9&lt;&gt;"",Sheet1!P9/10/2.54,"")</f>
        <v/>
      </c>
      <c r="Q9" t="str">
        <f>IF(Sheet1!Q9&lt;&gt;"",Sheet1!Q9/10/2.54,"")</f>
        <v/>
      </c>
      <c r="R9">
        <f>IF(Sheet1!R9&lt;&gt;"",Sheet1!R9/10/2.54,"")</f>
        <v>74775.5905511811</v>
      </c>
      <c r="S9">
        <f>IF(Sheet1!S9&lt;&gt;"",Sheet1!S9/10/2.54,"")</f>
        <v>204.7244094488189</v>
      </c>
      <c r="T9" t="str">
        <f>IF(Sheet1!T9&lt;&gt;"",Sheet1!T9,"")</f>
        <v>After correcting for evaporation, if all of the “missing” water was due to
groundwater recharge over the flooded surface of the bog, the volume (ca. 700 m3 d-1) is less than 15% of average
daily exit flows through the year. However, even this level of water loss is a maximum, since much of the water enters the dikes surrounding to the bog and returns when the bog drains (bank storage).</v>
      </c>
    </row>
    <row r="10" spans="1:20" x14ac:dyDescent="0.3">
      <c r="A10" t="str">
        <f>IF(Sheet1!A10&lt;&gt;"",Sheet1!A10,"")</f>
        <v>Tidmarsh Outlet</v>
      </c>
      <c r="B10" t="str">
        <f>IF(Sheet1!B10&lt;&gt;"",Sheet1!B10,"")</f>
        <v>TID3</v>
      </c>
      <c r="C10" t="str">
        <f>IF(Sheet1!C10&lt;&gt;"",Sheet1!C10,"")</f>
        <v>Farm</v>
      </c>
      <c r="D10" t="str">
        <f>IF(Sheet1!D10&lt;&gt;"",Sheet1!D10,"")</f>
        <v>unpublished</v>
      </c>
      <c r="E10" t="str">
        <f>IF(Sheet1!E10&lt;&gt;"",Sheet1!E10,"")</f>
        <v>2016-2017</v>
      </c>
      <c r="F10" t="str">
        <f>IF(Sheet1!F10&lt;&gt;"",Sheet1!F10,"")</f>
        <v/>
      </c>
      <c r="G10" t="str">
        <f>IF(Sheet1!G10&lt;&gt;"",Sheet1!G10,"")</f>
        <v/>
      </c>
      <c r="H10" t="str">
        <f>IF(Sheet1!H10&lt;&gt;"",Sheet1!H10,"")</f>
        <v/>
      </c>
      <c r="I10" t="str">
        <f>IF(Sheet1!I10&lt;&gt;"",Sheet1!I10,"")</f>
        <v/>
      </c>
      <c r="J10">
        <f>IF(Sheet1!J10&lt;&gt;"",Sheet1!J10,"")</f>
        <v>41.912649000000002</v>
      </c>
      <c r="K10">
        <f>IF(Sheet1!K10&lt;&gt;"",Sheet1!K10,"")</f>
        <v>-70.566849000000005</v>
      </c>
      <c r="L10" t="str">
        <f>IF(Sheet1!L10&lt;&gt;"",Sheet1!L10/10/2.54,"")</f>
        <v/>
      </c>
      <c r="M10" t="str">
        <f>IF(Sheet1!M10&lt;&gt;"",Sheet1!M10/10/2.54,"")</f>
        <v/>
      </c>
      <c r="N10" t="str">
        <f>IF(Sheet1!N10&lt;&gt;"",Sheet1!N10/10/2.54,"")</f>
        <v/>
      </c>
      <c r="O10" t="str">
        <f>IF(Sheet1!O10&lt;&gt;"",Sheet1!O10/10/2.54,"")</f>
        <v/>
      </c>
      <c r="P10" t="str">
        <f>IF(Sheet1!P10&lt;&gt;"",Sheet1!P10/10/2.54,"")</f>
        <v/>
      </c>
      <c r="Q10" t="str">
        <f>IF(Sheet1!Q10&lt;&gt;"",Sheet1!Q10/10/2.54,"")</f>
        <v/>
      </c>
      <c r="R10">
        <f>IF(Sheet1!R10&lt;&gt;"",Sheet1!R10/10/2.54,"")</f>
        <v>408757.88976377953</v>
      </c>
      <c r="S10">
        <f>IF(Sheet1!S10&lt;&gt;"",Sheet1!S10/10/2.54,"")</f>
        <v>1119.1181102362204</v>
      </c>
      <c r="T10" t="str">
        <f>IF(Sheet1!T10&lt;&gt;"",Sheet1!T10,"")</f>
        <v>329 L s-1 +- 95 from Oct 1, 2016 to Sep 30, 2017</v>
      </c>
    </row>
    <row r="11" spans="1:20" x14ac:dyDescent="0.3">
      <c r="A11" t="str">
        <f>IF(Sheet1!A11&lt;&gt;"",Sheet1!A11,"")</f>
        <v>Tidmarsh Head Water (Above Beaver Dam Wetland)</v>
      </c>
      <c r="B11" t="str">
        <f>IF(Sheet1!B11&lt;&gt;"",Sheet1!B11,"")</f>
        <v>HW</v>
      </c>
      <c r="C11" t="str">
        <f>IF(Sheet1!C11&lt;&gt;"",Sheet1!C11,"")</f>
        <v/>
      </c>
      <c r="D11" t="str">
        <f>IF(Sheet1!D11&lt;&gt;"",Sheet1!D11,"")</f>
        <v>unpublished</v>
      </c>
      <c r="E11" t="str">
        <f>IF(Sheet1!E11&lt;&gt;"",Sheet1!E11,"")</f>
        <v/>
      </c>
      <c r="F11" t="str">
        <f>IF(Sheet1!F11&lt;&gt;"",Sheet1!F11,"")</f>
        <v/>
      </c>
      <c r="G11" t="str">
        <f>IF(Sheet1!G11&lt;&gt;"",Sheet1!G11,"")</f>
        <v/>
      </c>
      <c r="H11" t="str">
        <f>IF(Sheet1!H11&lt;&gt;"",Sheet1!H11,"")</f>
        <v/>
      </c>
      <c r="I11" t="str">
        <f>IF(Sheet1!I11&lt;&gt;"",Sheet1!I11,"")</f>
        <v/>
      </c>
      <c r="J11">
        <f>IF(Sheet1!J11&lt;&gt;"",Sheet1!J11,"")</f>
        <v>41.896301000000001</v>
      </c>
      <c r="K11">
        <f>IF(Sheet1!K11&lt;&gt;"",Sheet1!K11,"")</f>
        <v>-70.568839999999994</v>
      </c>
      <c r="L11" t="str">
        <f>IF(Sheet1!L11&lt;&gt;"",Sheet1!L11/10/2.54,"")</f>
        <v/>
      </c>
      <c r="M11" t="str">
        <f>IF(Sheet1!M11&lt;&gt;"",Sheet1!M11/10/2.54,"")</f>
        <v/>
      </c>
      <c r="N11" t="str">
        <f>IF(Sheet1!N11&lt;&gt;"",Sheet1!N11/10/2.54,"")</f>
        <v/>
      </c>
      <c r="O11" t="str">
        <f>IF(Sheet1!O11&lt;&gt;"",Sheet1!O11/10/2.54,"")</f>
        <v/>
      </c>
      <c r="P11" t="str">
        <f>IF(Sheet1!P11&lt;&gt;"",Sheet1!P11/10/2.54,"")</f>
        <v/>
      </c>
      <c r="Q11" t="str">
        <f>IF(Sheet1!Q11&lt;&gt;"",Sheet1!Q11/10/2.54,"")</f>
        <v/>
      </c>
      <c r="R11" t="str">
        <f>IF(Sheet1!R11&lt;&gt;"",Sheet1!R11/10/2.54,"")</f>
        <v/>
      </c>
      <c r="S11" t="str">
        <f>IF(Sheet1!S11&lt;&gt;"",Sheet1!S11/10/2.54,"")</f>
        <v/>
      </c>
      <c r="T11" t="str">
        <f>IF(Sheet1!T11&lt;&gt;"",Sheet1!T11,"")</f>
        <v/>
      </c>
    </row>
    <row r="12" spans="1:20" x14ac:dyDescent="0.3">
      <c r="A12" t="str">
        <f>IF(Sheet1!A12&lt;&gt;"",Sheet1!A12,"")</f>
        <v xml:space="preserve">Tidmarsh Arm Wetland </v>
      </c>
      <c r="B12" t="str">
        <f>IF(Sheet1!B12&lt;&gt;"",Sheet1!B12,"")</f>
        <v>AW</v>
      </c>
      <c r="C12" t="str">
        <f>IF(Sheet1!C12&lt;&gt;"",Sheet1!C12,"")</f>
        <v/>
      </c>
      <c r="D12" t="str">
        <f>IF(Sheet1!D12&lt;&gt;"",Sheet1!D12,"")</f>
        <v>unpublished</v>
      </c>
      <c r="E12" t="str">
        <f>IF(Sheet1!E12&lt;&gt;"",Sheet1!E12,"")</f>
        <v/>
      </c>
      <c r="F12" t="str">
        <f>IF(Sheet1!F12&lt;&gt;"",Sheet1!F12,"")</f>
        <v/>
      </c>
      <c r="G12" t="str">
        <f>IF(Sheet1!G12&lt;&gt;"",Sheet1!G12,"")</f>
        <v/>
      </c>
      <c r="H12" t="str">
        <f>IF(Sheet1!H12&lt;&gt;"",Sheet1!H12,"")</f>
        <v/>
      </c>
      <c r="I12" t="str">
        <f>IF(Sheet1!I12&lt;&gt;"",Sheet1!I12,"")</f>
        <v/>
      </c>
      <c r="J12">
        <f>IF(Sheet1!J12&lt;&gt;"",Sheet1!J12,"")</f>
        <v>41.902141999999998</v>
      </c>
      <c r="K12">
        <f>IF(Sheet1!K12&lt;&gt;"",Sheet1!K12,"")</f>
        <v>-70.565149000000005</v>
      </c>
      <c r="L12" t="str">
        <f>IF(Sheet1!L12&lt;&gt;"",Sheet1!L12/10/2.54,"")</f>
        <v/>
      </c>
      <c r="M12" t="str">
        <f>IF(Sheet1!M12&lt;&gt;"",Sheet1!M12/10/2.54,"")</f>
        <v/>
      </c>
      <c r="N12" t="str">
        <f>IF(Sheet1!N12&lt;&gt;"",Sheet1!N12/10/2.54,"")</f>
        <v/>
      </c>
      <c r="O12" t="str">
        <f>IF(Sheet1!O12&lt;&gt;"",Sheet1!O12/10/2.54,"")</f>
        <v/>
      </c>
      <c r="P12" t="str">
        <f>IF(Sheet1!P12&lt;&gt;"",Sheet1!P12/10/2.54,"")</f>
        <v/>
      </c>
      <c r="Q12" t="str">
        <f>IF(Sheet1!Q12&lt;&gt;"",Sheet1!Q12/10/2.54,"")</f>
        <v/>
      </c>
      <c r="R12" t="str">
        <f>IF(Sheet1!R12&lt;&gt;"",Sheet1!R12/10/2.54,"")</f>
        <v/>
      </c>
      <c r="S12" t="str">
        <f>IF(Sheet1!S12&lt;&gt;"",Sheet1!S12/10/2.54,"")</f>
        <v/>
      </c>
      <c r="T12" t="str">
        <f>IF(Sheet1!T12&lt;&gt;"",Sheet1!T12,"")</f>
        <v/>
      </c>
    </row>
    <row r="13" spans="1:20" x14ac:dyDescent="0.3">
      <c r="A13" t="str">
        <f>IF(Sheet1!A13&lt;&gt;"",Sheet1!A13,"")</f>
        <v>Tidmarsh Freshpond Outlet</v>
      </c>
      <c r="B13" t="str">
        <f>IF(Sheet1!B13&lt;&gt;"",Sheet1!B13,"")</f>
        <v>FP</v>
      </c>
      <c r="C13" t="str">
        <f>IF(Sheet1!C13&lt;&gt;"",Sheet1!C13,"")</f>
        <v/>
      </c>
      <c r="D13" t="str">
        <f>IF(Sheet1!D13&lt;&gt;"",Sheet1!D13,"")</f>
        <v>unpublished</v>
      </c>
      <c r="E13" t="str">
        <f>IF(Sheet1!E13&lt;&gt;"",Sheet1!E13,"")</f>
        <v/>
      </c>
      <c r="F13" t="str">
        <f>IF(Sheet1!F13&lt;&gt;"",Sheet1!F13,"")</f>
        <v/>
      </c>
      <c r="G13" t="str">
        <f>IF(Sheet1!G13&lt;&gt;"",Sheet1!G13,"")</f>
        <v/>
      </c>
      <c r="H13" t="str">
        <f>IF(Sheet1!H13&lt;&gt;"",Sheet1!H13,"")</f>
        <v/>
      </c>
      <c r="I13" t="str">
        <f>IF(Sheet1!I13&lt;&gt;"",Sheet1!I13,"")</f>
        <v/>
      </c>
      <c r="J13">
        <f>IF(Sheet1!J13&lt;&gt;"",Sheet1!J13,"")</f>
        <v>41.905377000000001</v>
      </c>
      <c r="K13">
        <f>IF(Sheet1!K13&lt;&gt;"",Sheet1!K13,"")</f>
        <v>-70.561053000000001</v>
      </c>
      <c r="L13" t="str">
        <f>IF(Sheet1!L13&lt;&gt;"",Sheet1!L13/10/2.54,"")</f>
        <v/>
      </c>
      <c r="M13" t="str">
        <f>IF(Sheet1!M13&lt;&gt;"",Sheet1!M13/10/2.54,"")</f>
        <v/>
      </c>
      <c r="N13" t="str">
        <f>IF(Sheet1!N13&lt;&gt;"",Sheet1!N13/10/2.54,"")</f>
        <v/>
      </c>
      <c r="O13" t="str">
        <f>IF(Sheet1!O13&lt;&gt;"",Sheet1!O13/10/2.54,"")</f>
        <v/>
      </c>
      <c r="P13" t="str">
        <f>IF(Sheet1!P13&lt;&gt;"",Sheet1!P13/10/2.54,"")</f>
        <v/>
      </c>
      <c r="Q13" t="str">
        <f>IF(Sheet1!Q13&lt;&gt;"",Sheet1!Q13/10/2.54,"")</f>
        <v/>
      </c>
      <c r="R13" t="str">
        <f>IF(Sheet1!R13&lt;&gt;"",Sheet1!R13/10/2.54,"")</f>
        <v/>
      </c>
      <c r="S13" t="str">
        <f>IF(Sheet1!S13&lt;&gt;"",Sheet1!S13/10/2.54,"")</f>
        <v/>
      </c>
      <c r="T13" t="str">
        <f>IF(Sheet1!T13&lt;&gt;"",Sheet1!T13,"")</f>
        <v/>
      </c>
    </row>
    <row r="14" spans="1:20" x14ac:dyDescent="0.3">
      <c r="A14" t="str">
        <f>IF(Sheet1!A14&lt;&gt;"",Sheet1!A14,"")</f>
        <v>Tidmarsh Beaver Dam Wetland</v>
      </c>
      <c r="B14" t="str">
        <f>IF(Sheet1!B14&lt;&gt;"",Sheet1!B14,"")</f>
        <v>BDW</v>
      </c>
      <c r="C14" t="str">
        <f>IF(Sheet1!C14&lt;&gt;"",Sheet1!C14,"")</f>
        <v/>
      </c>
      <c r="D14" t="str">
        <f>IF(Sheet1!D14&lt;&gt;"",Sheet1!D14,"")</f>
        <v>unpublished</v>
      </c>
      <c r="E14" t="str">
        <f>IF(Sheet1!E14&lt;&gt;"",Sheet1!E14,"")</f>
        <v/>
      </c>
      <c r="F14" t="str">
        <f>IF(Sheet1!F14&lt;&gt;"",Sheet1!F14,"")</f>
        <v/>
      </c>
      <c r="G14" t="str">
        <f>IF(Sheet1!G14&lt;&gt;"",Sheet1!G14,"")</f>
        <v/>
      </c>
      <c r="H14" t="str">
        <f>IF(Sheet1!H14&lt;&gt;"",Sheet1!H14,"")</f>
        <v/>
      </c>
      <c r="I14" t="str">
        <f>IF(Sheet1!I14&lt;&gt;"",Sheet1!I14,"")</f>
        <v/>
      </c>
      <c r="J14">
        <f>IF(Sheet1!J14&lt;&gt;"",Sheet1!J14,"")</f>
        <v>41.901375999999999</v>
      </c>
      <c r="K14">
        <f>IF(Sheet1!K14&lt;&gt;"",Sheet1!K14,"")</f>
        <v>-70.561053000000001</v>
      </c>
      <c r="L14" t="str">
        <f>IF(Sheet1!L14&lt;&gt;"",Sheet1!L14/10/2.54,"")</f>
        <v/>
      </c>
      <c r="M14" t="str">
        <f>IF(Sheet1!M14&lt;&gt;"",Sheet1!M14/10/2.54,"")</f>
        <v/>
      </c>
      <c r="N14" t="str">
        <f>IF(Sheet1!N14&lt;&gt;"",Sheet1!N14/10/2.54,"")</f>
        <v/>
      </c>
      <c r="O14" t="str">
        <f>IF(Sheet1!O14&lt;&gt;"",Sheet1!O14/10/2.54,"")</f>
        <v/>
      </c>
      <c r="P14" t="str">
        <f>IF(Sheet1!P14&lt;&gt;"",Sheet1!P14/10/2.54,"")</f>
        <v/>
      </c>
      <c r="Q14" t="str">
        <f>IF(Sheet1!Q14&lt;&gt;"",Sheet1!Q14/10/2.54,"")</f>
        <v/>
      </c>
      <c r="R14" t="str">
        <f>IF(Sheet1!R14&lt;&gt;"",Sheet1!R14/10/2.54,"")</f>
        <v/>
      </c>
      <c r="S14" t="str">
        <f>IF(Sheet1!S14&lt;&gt;"",Sheet1!S14/10/2.54,"")</f>
        <v/>
      </c>
      <c r="T14" t="str">
        <f>IF(Sheet1!T14&lt;&gt;"",Sheet1!T14,"")</f>
        <v/>
      </c>
    </row>
    <row r="15" spans="1:20" x14ac:dyDescent="0.3">
      <c r="A15">
        <f>Sheet1!A15</f>
        <v>0</v>
      </c>
      <c r="B15">
        <f>Sheet1!B15</f>
        <v>0</v>
      </c>
      <c r="C15">
        <f>Sheet1!C15</f>
        <v>0</v>
      </c>
      <c r="D15">
        <f>Sheet1!D15</f>
        <v>0</v>
      </c>
      <c r="E15">
        <f>Sheet1!E15</f>
        <v>0</v>
      </c>
      <c r="F15">
        <f>Sheet1!F15</f>
        <v>0</v>
      </c>
      <c r="G15">
        <f>Sheet1!G15</f>
        <v>0</v>
      </c>
      <c r="H15">
        <f>Sheet1!H15</f>
        <v>0</v>
      </c>
      <c r="I15">
        <f>Sheet1!I15</f>
        <v>0</v>
      </c>
      <c r="J15">
        <f>Sheet1!J15</f>
        <v>0</v>
      </c>
      <c r="K15">
        <f>Sheet1!K15</f>
        <v>0</v>
      </c>
      <c r="L15">
        <f>Sheet1!L15</f>
        <v>0</v>
      </c>
      <c r="M15">
        <f>Sheet1!M15</f>
        <v>0</v>
      </c>
      <c r="N15">
        <f>Sheet1!N15</f>
        <v>0</v>
      </c>
      <c r="O15">
        <f>Sheet1!O15</f>
        <v>0</v>
      </c>
      <c r="P15">
        <f>Sheet1!P15</f>
        <v>0</v>
      </c>
      <c r="Q15">
        <f>Sheet1!Q15</f>
        <v>0</v>
      </c>
      <c r="R15">
        <f>Sheet1!R15</f>
        <v>0</v>
      </c>
      <c r="S15">
        <f>Sheet1!S15</f>
        <v>0</v>
      </c>
      <c r="T15">
        <f>Sheet1!T15</f>
        <v>0</v>
      </c>
    </row>
    <row r="16" spans="1:20" x14ac:dyDescent="0.3">
      <c r="A16">
        <f>Sheet1!A16</f>
        <v>0</v>
      </c>
      <c r="B16">
        <f>Sheet1!B16</f>
        <v>0</v>
      </c>
      <c r="C16">
        <f>Sheet1!C16</f>
        <v>0</v>
      </c>
      <c r="D16">
        <f>Sheet1!D16</f>
        <v>0</v>
      </c>
      <c r="E16">
        <f>Sheet1!E16</f>
        <v>0</v>
      </c>
      <c r="F16">
        <f>Sheet1!F16</f>
        <v>0</v>
      </c>
      <c r="G16">
        <f>Sheet1!G16</f>
        <v>0</v>
      </c>
      <c r="H16">
        <f>Sheet1!H16</f>
        <v>0</v>
      </c>
      <c r="I16">
        <f>Sheet1!I16</f>
        <v>0</v>
      </c>
      <c r="J16">
        <f>Sheet1!J16</f>
        <v>0</v>
      </c>
      <c r="K16">
        <f>Sheet1!K16</f>
        <v>0</v>
      </c>
      <c r="L16">
        <f>Sheet1!L16</f>
        <v>0</v>
      </c>
      <c r="M16">
        <f>Sheet1!M16</f>
        <v>0</v>
      </c>
      <c r="N16">
        <f>Sheet1!N16</f>
        <v>0</v>
      </c>
      <c r="O16">
        <f>Sheet1!O16</f>
        <v>0</v>
      </c>
      <c r="P16">
        <f>Sheet1!P16</f>
        <v>0</v>
      </c>
      <c r="Q16">
        <f>Sheet1!Q16</f>
        <v>0</v>
      </c>
      <c r="R16">
        <f>Sheet1!R16</f>
        <v>0</v>
      </c>
      <c r="S16">
        <f>Sheet1!S16</f>
        <v>0</v>
      </c>
      <c r="T16">
        <f>Sheet1!T16</f>
        <v>0</v>
      </c>
    </row>
    <row r="17" spans="1:20" x14ac:dyDescent="0.3">
      <c r="A17">
        <f>Sheet1!A17</f>
        <v>0</v>
      </c>
      <c r="B17">
        <f>Sheet1!B17</f>
        <v>0</v>
      </c>
      <c r="C17">
        <f>Sheet1!C17</f>
        <v>0</v>
      </c>
      <c r="D17">
        <f>Sheet1!D17</f>
        <v>0</v>
      </c>
      <c r="E17">
        <f>Sheet1!E17</f>
        <v>0</v>
      </c>
      <c r="F17">
        <f>Sheet1!F17</f>
        <v>0</v>
      </c>
      <c r="G17">
        <f>Sheet1!G17</f>
        <v>0</v>
      </c>
      <c r="H17">
        <f>Sheet1!H17</f>
        <v>0</v>
      </c>
      <c r="I17">
        <f>Sheet1!I17</f>
        <v>0</v>
      </c>
      <c r="J17">
        <f>Sheet1!J17</f>
        <v>0</v>
      </c>
      <c r="K17">
        <f>Sheet1!K17</f>
        <v>0</v>
      </c>
      <c r="L17">
        <f>Sheet1!L17</f>
        <v>0</v>
      </c>
      <c r="M17">
        <f>Sheet1!M17</f>
        <v>0</v>
      </c>
      <c r="N17">
        <f>Sheet1!N17</f>
        <v>0</v>
      </c>
      <c r="O17">
        <f>Sheet1!O17</f>
        <v>0</v>
      </c>
      <c r="P17">
        <f>Sheet1!P17</f>
        <v>0</v>
      </c>
      <c r="Q17">
        <f>Sheet1!Q17</f>
        <v>0</v>
      </c>
      <c r="R17">
        <f>Sheet1!R17</f>
        <v>0</v>
      </c>
      <c r="S17">
        <f>Sheet1!S17</f>
        <v>0</v>
      </c>
      <c r="T17">
        <f>Sheet1!T17</f>
        <v>0</v>
      </c>
    </row>
    <row r="18" spans="1:20" x14ac:dyDescent="0.3">
      <c r="A18">
        <f>Sheet1!A18</f>
        <v>0</v>
      </c>
      <c r="B18">
        <f>Sheet1!B18</f>
        <v>0</v>
      </c>
      <c r="C18">
        <f>Sheet1!C18</f>
        <v>0</v>
      </c>
      <c r="D18">
        <f>Sheet1!D18</f>
        <v>0</v>
      </c>
      <c r="E18">
        <f>Sheet1!E18</f>
        <v>0</v>
      </c>
      <c r="F18">
        <f>Sheet1!F18</f>
        <v>0</v>
      </c>
      <c r="G18">
        <f>Sheet1!G18</f>
        <v>0</v>
      </c>
      <c r="H18">
        <f>Sheet1!H18</f>
        <v>0</v>
      </c>
      <c r="I18">
        <f>Sheet1!I18</f>
        <v>0</v>
      </c>
      <c r="J18">
        <f>Sheet1!J18</f>
        <v>0</v>
      </c>
      <c r="K18">
        <f>Sheet1!K18</f>
        <v>0</v>
      </c>
      <c r="L18">
        <f>Sheet1!L18</f>
        <v>0</v>
      </c>
      <c r="M18">
        <f>Sheet1!M18</f>
        <v>0</v>
      </c>
      <c r="N18">
        <f>Sheet1!N18</f>
        <v>0</v>
      </c>
      <c r="O18">
        <f>Sheet1!O18</f>
        <v>0</v>
      </c>
      <c r="P18">
        <f>Sheet1!P18</f>
        <v>0</v>
      </c>
      <c r="Q18">
        <f>Sheet1!Q18</f>
        <v>0</v>
      </c>
      <c r="R18">
        <f>Sheet1!R18</f>
        <v>0</v>
      </c>
      <c r="S18">
        <f>Sheet1!S18</f>
        <v>0</v>
      </c>
      <c r="T18">
        <f>Sheet1!T18</f>
        <v>0</v>
      </c>
    </row>
    <row r="22" spans="1:20" x14ac:dyDescent="0.3">
      <c r="F22">
        <f>43560*13*27.5/12/(4.2*43560)</f>
        <v>7.0932539682539684</v>
      </c>
      <c r="H22">
        <f>13/27.5</f>
        <v>0.47272727272727272</v>
      </c>
      <c r="I22">
        <f>H22*2.9</f>
        <v>1.3709090909090909</v>
      </c>
    </row>
    <row r="23" spans="1:20" x14ac:dyDescent="0.3">
      <c r="F23">
        <f>F4*2.47</f>
        <v>2.8898999999999999</v>
      </c>
      <c r="H23">
        <f>243/27.5</f>
        <v>8.836363636363636</v>
      </c>
      <c r="I23">
        <f>H23*4.2</f>
        <v>37.11272727272727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Casey</dc:creator>
  <cp:lastModifiedBy>Wiegman, Adrian - REE-ARS</cp:lastModifiedBy>
  <dcterms:created xsi:type="dcterms:W3CDTF">2023-08-07T15:56:35Z</dcterms:created>
  <dcterms:modified xsi:type="dcterms:W3CDTF">2024-01-27T11:04:34Z</dcterms:modified>
</cp:coreProperties>
</file>