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3_post\"/>
    </mc:Choice>
  </mc:AlternateContent>
  <xr:revisionPtr revIDLastSave="0" documentId="13_ncr:1_{BC3C7359-7BF4-4E6E-9B77-0EBA5408FE05}" xr6:coauthVersionLast="47" xr6:coauthVersionMax="47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MEP_with_Bogs" sheetId="10" r:id="rId1"/>
    <sheet name="master" sheetId="2" r:id="rId2"/>
    <sheet name="L1_vs_L2" sheetId="8" r:id="rId3"/>
    <sheet name="sums" sheetId="7" r:id="rId4"/>
    <sheet name="plots" sheetId="3" r:id="rId5"/>
    <sheet name="df_EMBAY_merged_summary" sheetId="1" r:id="rId6"/>
    <sheet name="df_EMBAY_bog_summary_highest" sheetId="6" r:id="rId7"/>
    <sheet name="embay" sheetId="5" r:id="rId8"/>
  </sheets>
  <externalReferences>
    <externalReference r:id="rId9"/>
    <externalReference r:id="rId10"/>
  </externalReferences>
  <definedNames>
    <definedName name="_xlnm._FilterDatabase" localSheetId="7" hidden="1">embay!$A$1:$Q$54</definedName>
    <definedName name="_xlnm._FilterDatabase" localSheetId="1" hidden="1">master!$A$1:$AT$55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R2" i="5"/>
  <c r="C19" i="7"/>
  <c r="C18" i="7"/>
  <c r="C15" i="7"/>
  <c r="C14" i="7"/>
  <c r="C21" i="7"/>
  <c r="C17" i="7"/>
  <c r="C23" i="7"/>
  <c r="C25" i="7" s="1"/>
  <c r="D2" i="7"/>
  <c r="J2" i="7" s="1"/>
  <c r="F2" i="7"/>
  <c r="E2" i="7"/>
  <c r="C2" i="7"/>
  <c r="I28" i="8"/>
  <c r="H28" i="8"/>
  <c r="A28" i="8"/>
  <c r="F28" i="8"/>
  <c r="U55" i="5"/>
  <c r="T55" i="5"/>
  <c r="R55" i="5"/>
  <c r="K55" i="5"/>
  <c r="H55" i="5"/>
  <c r="U54" i="5"/>
  <c r="T54" i="5"/>
  <c r="R54" i="5"/>
  <c r="S54" i="5" s="1"/>
  <c r="K54" i="5"/>
  <c r="H54" i="5"/>
  <c r="R53" i="5"/>
  <c r="S53" i="5" s="1"/>
  <c r="H53" i="5"/>
  <c r="R52" i="5"/>
  <c r="H52" i="5"/>
  <c r="U51" i="5"/>
  <c r="T51" i="5"/>
  <c r="R51" i="5"/>
  <c r="S51" i="5" s="1"/>
  <c r="K51" i="5"/>
  <c r="J51" i="5"/>
  <c r="H51" i="5"/>
  <c r="E51" i="5"/>
  <c r="U50" i="5"/>
  <c r="T50" i="5"/>
  <c r="R50" i="5"/>
  <c r="S50" i="5" s="1"/>
  <c r="H50" i="5"/>
  <c r="U49" i="5"/>
  <c r="T49" i="5"/>
  <c r="R49" i="5"/>
  <c r="S49" i="5" s="1"/>
  <c r="H49" i="5"/>
  <c r="G48" i="5"/>
  <c r="F48" i="5"/>
  <c r="H48" i="5" s="1"/>
  <c r="R47" i="5"/>
  <c r="S47" i="5" s="1"/>
  <c r="H47" i="5"/>
  <c r="U46" i="5"/>
  <c r="T46" i="5"/>
  <c r="G46" i="5"/>
  <c r="H46" i="5" s="1"/>
  <c r="F46" i="5"/>
  <c r="R46" i="5" s="1"/>
  <c r="U45" i="5"/>
  <c r="T45" i="5"/>
  <c r="G45" i="5"/>
  <c r="F45" i="5"/>
  <c r="R45" i="5" s="1"/>
  <c r="R44" i="5"/>
  <c r="S44" i="5" s="1"/>
  <c r="H44" i="5"/>
  <c r="U43" i="5"/>
  <c r="T43" i="5"/>
  <c r="R43" i="5"/>
  <c r="K43" i="5"/>
  <c r="H43" i="5"/>
  <c r="U42" i="5"/>
  <c r="T42" i="5"/>
  <c r="K42" i="5"/>
  <c r="G42" i="5"/>
  <c r="F42" i="5"/>
  <c r="R42" i="5" s="1"/>
  <c r="U41" i="5"/>
  <c r="T41" i="5"/>
  <c r="R41" i="5"/>
  <c r="S41" i="5" s="1"/>
  <c r="K41" i="5"/>
  <c r="H41" i="5"/>
  <c r="R40" i="5"/>
  <c r="S40" i="5" s="1"/>
  <c r="H40" i="5"/>
  <c r="R39" i="5"/>
  <c r="S39" i="5" s="1"/>
  <c r="H39" i="5"/>
  <c r="R38" i="5"/>
  <c r="S38" i="5" s="1"/>
  <c r="H38" i="5"/>
  <c r="R37" i="5"/>
  <c r="S37" i="5" s="1"/>
  <c r="H37" i="5"/>
  <c r="S36" i="5"/>
  <c r="R36" i="5"/>
  <c r="H36" i="5"/>
  <c r="R35" i="5"/>
  <c r="S35" i="5" s="1"/>
  <c r="H35" i="5"/>
  <c r="R34" i="5"/>
  <c r="S34" i="5" s="1"/>
  <c r="H34" i="5"/>
  <c r="R33" i="5"/>
  <c r="S33" i="5" s="1"/>
  <c r="H33" i="5"/>
  <c r="U32" i="5"/>
  <c r="T32" i="5"/>
  <c r="I32" i="5"/>
  <c r="G32" i="5"/>
  <c r="H32" i="5" s="1"/>
  <c r="F32" i="5"/>
  <c r="R32" i="5" s="1"/>
  <c r="R31" i="5"/>
  <c r="S31" i="5" s="1"/>
  <c r="H31" i="5"/>
  <c r="Q30" i="5"/>
  <c r="P30" i="5"/>
  <c r="O30" i="5"/>
  <c r="N30" i="5"/>
  <c r="M30" i="5"/>
  <c r="L30" i="5"/>
  <c r="K30" i="5"/>
  <c r="J30" i="5"/>
  <c r="I30" i="5"/>
  <c r="H30" i="5"/>
  <c r="G30" i="5"/>
  <c r="F30" i="5"/>
  <c r="R30" i="5" s="1"/>
  <c r="U29" i="5"/>
  <c r="T29" i="5"/>
  <c r="R29" i="5"/>
  <c r="S29" i="5" s="1"/>
  <c r="N29" i="5"/>
  <c r="K29" i="5"/>
  <c r="H29" i="5"/>
  <c r="E29" i="5"/>
  <c r="U28" i="5"/>
  <c r="T28" i="5"/>
  <c r="R28" i="5"/>
  <c r="S28" i="5" s="1"/>
  <c r="H28" i="5"/>
  <c r="U27" i="5"/>
  <c r="T27" i="5"/>
  <c r="R27" i="5"/>
  <c r="S27" i="5" s="1"/>
  <c r="H27" i="5"/>
  <c r="U26" i="5"/>
  <c r="T26" i="5"/>
  <c r="R26" i="5"/>
  <c r="H26" i="5"/>
  <c r="R25" i="5"/>
  <c r="H25" i="5"/>
  <c r="R24" i="5"/>
  <c r="H24" i="5"/>
  <c r="R23" i="5"/>
  <c r="S23" i="5" s="1"/>
  <c r="H23" i="5"/>
  <c r="U22" i="5"/>
  <c r="T22" i="5"/>
  <c r="S22" i="5"/>
  <c r="R22" i="5"/>
  <c r="H22" i="5"/>
  <c r="R21" i="5"/>
  <c r="S21" i="5" s="1"/>
  <c r="H21" i="5"/>
  <c r="R20" i="5"/>
  <c r="S20" i="5" s="1"/>
  <c r="H20" i="5"/>
  <c r="R19" i="5"/>
  <c r="H19" i="5"/>
  <c r="S18" i="5"/>
  <c r="R18" i="5"/>
  <c r="H18" i="5"/>
  <c r="U17" i="5"/>
  <c r="T17" i="5"/>
  <c r="R17" i="5"/>
  <c r="S17" i="5" s="1"/>
  <c r="H17" i="5"/>
  <c r="U16" i="5"/>
  <c r="T16" i="5"/>
  <c r="R16" i="5"/>
  <c r="S16" i="5" s="1"/>
  <c r="K16" i="5"/>
  <c r="H16" i="5"/>
  <c r="S15" i="5"/>
  <c r="R15" i="5"/>
  <c r="H15" i="5"/>
  <c r="R14" i="5"/>
  <c r="S14" i="5" s="1"/>
  <c r="H14" i="5"/>
  <c r="U13" i="5"/>
  <c r="T13" i="5"/>
  <c r="G13" i="5"/>
  <c r="F13" i="5"/>
  <c r="R13" i="5" s="1"/>
  <c r="R12" i="5"/>
  <c r="S12" i="5" s="1"/>
  <c r="H12" i="5"/>
  <c r="U11" i="5"/>
  <c r="T11" i="5"/>
  <c r="G11" i="5"/>
  <c r="F11" i="5"/>
  <c r="R11" i="5" s="1"/>
  <c r="R10" i="5"/>
  <c r="S10" i="5" s="1"/>
  <c r="H10" i="5"/>
  <c r="R9" i="5"/>
  <c r="S9" i="5" s="1"/>
  <c r="H9" i="5"/>
  <c r="U8" i="5"/>
  <c r="T8" i="5"/>
  <c r="G8" i="5"/>
  <c r="F8" i="5"/>
  <c r="R8" i="5" s="1"/>
  <c r="R7" i="5"/>
  <c r="S7" i="5" s="1"/>
  <c r="Q7" i="5"/>
  <c r="P7" i="5"/>
  <c r="O7" i="5"/>
  <c r="N7" i="5"/>
  <c r="M7" i="5"/>
  <c r="L7" i="5"/>
  <c r="K7" i="5"/>
  <c r="J7" i="5"/>
  <c r="I7" i="5"/>
  <c r="H7" i="5"/>
  <c r="G7" i="5"/>
  <c r="F7" i="5"/>
  <c r="U6" i="5"/>
  <c r="T6" i="5"/>
  <c r="G6" i="5"/>
  <c r="F6" i="5"/>
  <c r="R5" i="5"/>
  <c r="S5" i="5" s="1"/>
  <c r="H5" i="5"/>
  <c r="U4" i="5"/>
  <c r="T4" i="5"/>
  <c r="G4" i="5"/>
  <c r="F4" i="5"/>
  <c r="R4" i="5" s="1"/>
  <c r="U3" i="5"/>
  <c r="T3" i="5"/>
  <c r="R3" i="5"/>
  <c r="S3" i="5" s="1"/>
  <c r="K3" i="5"/>
  <c r="H3" i="5"/>
  <c r="G2" i="5"/>
  <c r="F2" i="5"/>
  <c r="R48" i="5" l="1"/>
  <c r="S48" i="5" s="1"/>
  <c r="T7" i="5"/>
  <c r="H6" i="5"/>
  <c r="U30" i="5"/>
  <c r="H45" i="5"/>
  <c r="H4" i="5"/>
  <c r="H11" i="5"/>
  <c r="U7" i="5"/>
  <c r="C16" i="7"/>
  <c r="C24" i="7"/>
  <c r="C26" i="7"/>
  <c r="C20" i="7"/>
  <c r="C22" i="7"/>
  <c r="G2" i="7"/>
  <c r="K2" i="7"/>
  <c r="S11" i="5"/>
  <c r="S4" i="5"/>
  <c r="S25" i="5"/>
  <c r="S52" i="5"/>
  <c r="H2" i="5"/>
  <c r="T30" i="5"/>
  <c r="S26" i="5"/>
  <c r="H8" i="5"/>
  <c r="H13" i="5"/>
  <c r="S55" i="5"/>
  <c r="S13" i="5"/>
  <c r="S45" i="5"/>
  <c r="S42" i="5"/>
  <c r="S32" i="5"/>
  <c r="S46" i="5"/>
  <c r="S30" i="5"/>
  <c r="S8" i="5"/>
  <c r="S19" i="5"/>
  <c r="S43" i="5"/>
  <c r="S24" i="5"/>
  <c r="H42" i="5"/>
  <c r="R6" i="5"/>
  <c r="S6" i="5" l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B1" i="2"/>
  <c r="A1" i="2"/>
  <c r="K17" i="2" l="1"/>
  <c r="M17" i="2"/>
  <c r="P17" i="2"/>
  <c r="L24" i="2"/>
  <c r="M24" i="2"/>
  <c r="K24" i="2"/>
  <c r="P24" i="2"/>
  <c r="L31" i="2"/>
  <c r="K31" i="2"/>
  <c r="M31" i="2"/>
  <c r="P31" i="2"/>
  <c r="L15" i="2"/>
  <c r="K15" i="2"/>
  <c r="J15" i="2" s="1"/>
  <c r="M15" i="2"/>
  <c r="AJ15" i="2" s="1"/>
  <c r="P15" i="2"/>
  <c r="L7" i="2"/>
  <c r="P7" i="2"/>
  <c r="M7" i="2"/>
  <c r="K7" i="2"/>
  <c r="L48" i="2"/>
  <c r="K48" i="2"/>
  <c r="P48" i="2"/>
  <c r="M48" i="2"/>
  <c r="K16" i="2"/>
  <c r="M16" i="2"/>
  <c r="P16" i="2"/>
  <c r="P55" i="2"/>
  <c r="M55" i="2"/>
  <c r="K55" i="2"/>
  <c r="J55" i="2" s="1"/>
  <c r="M54" i="2"/>
  <c r="P54" i="2"/>
  <c r="K54" i="2"/>
  <c r="J54" i="2" s="1"/>
  <c r="M46" i="2"/>
  <c r="P46" i="2"/>
  <c r="K46" i="2"/>
  <c r="L38" i="2"/>
  <c r="M38" i="2"/>
  <c r="P38" i="2"/>
  <c r="K38" i="2"/>
  <c r="L30" i="2"/>
  <c r="M30" i="2"/>
  <c r="P30" i="2"/>
  <c r="K30" i="2"/>
  <c r="M22" i="2"/>
  <c r="P22" i="2"/>
  <c r="K22" i="2"/>
  <c r="J22" i="2" s="1"/>
  <c r="L14" i="2"/>
  <c r="M14" i="2"/>
  <c r="P14" i="2"/>
  <c r="K14" i="2"/>
  <c r="M6" i="2"/>
  <c r="P6" i="2"/>
  <c r="K6" i="2"/>
  <c r="L25" i="2"/>
  <c r="P25" i="2"/>
  <c r="K25" i="2"/>
  <c r="M25" i="2"/>
  <c r="L40" i="2"/>
  <c r="M40" i="2"/>
  <c r="K40" i="2"/>
  <c r="P40" i="2"/>
  <c r="L53" i="2"/>
  <c r="P53" i="2"/>
  <c r="K53" i="2"/>
  <c r="J53" i="2" s="1"/>
  <c r="M53" i="2"/>
  <c r="M45" i="2"/>
  <c r="P45" i="2"/>
  <c r="K45" i="2"/>
  <c r="L37" i="2"/>
  <c r="M37" i="2"/>
  <c r="P37" i="2"/>
  <c r="K37" i="2"/>
  <c r="M29" i="2"/>
  <c r="P29" i="2"/>
  <c r="K29" i="2"/>
  <c r="L21" i="2"/>
  <c r="M21" i="2"/>
  <c r="P21" i="2"/>
  <c r="K21" i="2"/>
  <c r="J21" i="2" s="1"/>
  <c r="M13" i="2"/>
  <c r="P13" i="2"/>
  <c r="K13" i="2"/>
  <c r="L5" i="2"/>
  <c r="M5" i="2"/>
  <c r="P5" i="2"/>
  <c r="K5" i="2"/>
  <c r="J5" i="2" s="1"/>
  <c r="L52" i="2"/>
  <c r="P52" i="2"/>
  <c r="M52" i="2"/>
  <c r="K52" i="2"/>
  <c r="L44" i="2"/>
  <c r="M44" i="2"/>
  <c r="P44" i="2"/>
  <c r="K44" i="2"/>
  <c r="J44" i="2" s="1"/>
  <c r="L36" i="2"/>
  <c r="P36" i="2"/>
  <c r="K36" i="2"/>
  <c r="M36" i="2"/>
  <c r="M28" i="2"/>
  <c r="P28" i="2"/>
  <c r="K28" i="2"/>
  <c r="L20" i="2"/>
  <c r="P20" i="2"/>
  <c r="K20" i="2"/>
  <c r="M20" i="2"/>
  <c r="L12" i="2"/>
  <c r="M12" i="2"/>
  <c r="P12" i="2"/>
  <c r="K12" i="2"/>
  <c r="J12" i="2" s="1"/>
  <c r="M4" i="2"/>
  <c r="P4" i="2"/>
  <c r="K4" i="2"/>
  <c r="J4" i="2" s="1"/>
  <c r="L39" i="2"/>
  <c r="M39" i="2"/>
  <c r="P39" i="2"/>
  <c r="K39" i="2"/>
  <c r="K49" i="2"/>
  <c r="M49" i="2"/>
  <c r="AJ49" i="2" s="1"/>
  <c r="P49" i="2"/>
  <c r="K51" i="2"/>
  <c r="M51" i="2"/>
  <c r="P51" i="2"/>
  <c r="P43" i="2"/>
  <c r="M43" i="2"/>
  <c r="AJ43" i="2" s="1"/>
  <c r="K43" i="2"/>
  <c r="J43" i="2" s="1"/>
  <c r="L35" i="2"/>
  <c r="K35" i="2"/>
  <c r="J35" i="2" s="1"/>
  <c r="M35" i="2"/>
  <c r="P35" i="2"/>
  <c r="M27" i="2"/>
  <c r="AJ27" i="2" s="1"/>
  <c r="P27" i="2"/>
  <c r="K27" i="2"/>
  <c r="L19" i="2"/>
  <c r="K19" i="2"/>
  <c r="M19" i="2"/>
  <c r="P19" i="2"/>
  <c r="P11" i="2"/>
  <c r="M11" i="2"/>
  <c r="K11" i="2"/>
  <c r="P3" i="2"/>
  <c r="L3" i="2"/>
  <c r="K3" i="2"/>
  <c r="J3" i="2" s="1"/>
  <c r="M3" i="2"/>
  <c r="M8" i="2"/>
  <c r="P8" i="2"/>
  <c r="K8" i="2"/>
  <c r="J8" i="2" s="1"/>
  <c r="L23" i="2"/>
  <c r="M23" i="2"/>
  <c r="P23" i="2"/>
  <c r="K23" i="2"/>
  <c r="P41" i="2"/>
  <c r="M41" i="2"/>
  <c r="K41" i="2"/>
  <c r="J41" i="2" s="1"/>
  <c r="L33" i="2"/>
  <c r="K33" i="2"/>
  <c r="M33" i="2"/>
  <c r="P33" i="2"/>
  <c r="K32" i="2"/>
  <c r="J32" i="2" s="1"/>
  <c r="P32" i="2"/>
  <c r="M32" i="2"/>
  <c r="L47" i="2"/>
  <c r="M47" i="2"/>
  <c r="P47" i="2"/>
  <c r="K47" i="2"/>
  <c r="K50" i="2"/>
  <c r="M50" i="2"/>
  <c r="AJ50" i="2" s="1"/>
  <c r="P50" i="2"/>
  <c r="M42" i="2"/>
  <c r="P42" i="2"/>
  <c r="K42" i="2"/>
  <c r="L34" i="2"/>
  <c r="K34" i="2"/>
  <c r="M34" i="2"/>
  <c r="P34" i="2"/>
  <c r="M26" i="2"/>
  <c r="AJ26" i="2" s="1"/>
  <c r="K26" i="2"/>
  <c r="J26" i="2" s="1"/>
  <c r="P26" i="2"/>
  <c r="L18" i="2"/>
  <c r="K18" i="2"/>
  <c r="M18" i="2"/>
  <c r="P18" i="2"/>
  <c r="L10" i="2"/>
  <c r="P10" i="2"/>
  <c r="K10" i="2"/>
  <c r="M10" i="2"/>
  <c r="M2" i="2"/>
  <c r="P2" i="2"/>
  <c r="K2" i="2"/>
  <c r="L2" i="2"/>
  <c r="L9" i="2"/>
  <c r="P9" i="2"/>
  <c r="K9" i="2"/>
  <c r="J9" i="2" s="1"/>
  <c r="M9" i="2"/>
  <c r="AJ9" i="2" s="1"/>
  <c r="F2" i="2"/>
  <c r="F45" i="2"/>
  <c r="H45" i="2"/>
  <c r="L32" i="2"/>
  <c r="L54" i="2"/>
  <c r="AJ46" i="2"/>
  <c r="L46" i="2"/>
  <c r="AJ22" i="2"/>
  <c r="L22" i="2"/>
  <c r="AJ6" i="2"/>
  <c r="L6" i="2"/>
  <c r="L49" i="2"/>
  <c r="AJ17" i="2"/>
  <c r="L17" i="2"/>
  <c r="AJ16" i="2"/>
  <c r="L16" i="2"/>
  <c r="L13" i="2"/>
  <c r="L28" i="2"/>
  <c r="L4" i="2"/>
  <c r="L55" i="2"/>
  <c r="AJ45" i="2"/>
  <c r="L45" i="2"/>
  <c r="L51" i="2"/>
  <c r="J51" i="2"/>
  <c r="L43" i="2"/>
  <c r="L27" i="2"/>
  <c r="AJ11" i="2"/>
  <c r="L11" i="2"/>
  <c r="AJ41" i="2"/>
  <c r="L41" i="2"/>
  <c r="L8" i="2"/>
  <c r="AJ29" i="2"/>
  <c r="L29" i="2"/>
  <c r="L50" i="2"/>
  <c r="AJ42" i="2"/>
  <c r="L42" i="2"/>
  <c r="L26" i="2"/>
  <c r="F41" i="2"/>
  <c r="F49" i="2"/>
  <c r="F16" i="2"/>
  <c r="J16" i="2"/>
  <c r="F8" i="2"/>
  <c r="J17" i="2"/>
  <c r="F17" i="2"/>
  <c r="F32" i="2"/>
  <c r="J6" i="2"/>
  <c r="F6" i="2"/>
  <c r="F22" i="2"/>
  <c r="F28" i="2"/>
  <c r="H51" i="2"/>
  <c r="F51" i="2"/>
  <c r="F43" i="2"/>
  <c r="J27" i="2"/>
  <c r="F27" i="2"/>
  <c r="F11" i="2"/>
  <c r="J11" i="2"/>
  <c r="AA3" i="2"/>
  <c r="F3" i="2"/>
  <c r="F55" i="2"/>
  <c r="F54" i="2"/>
  <c r="J29" i="2"/>
  <c r="F29" i="2"/>
  <c r="F4" i="2"/>
  <c r="F46" i="2"/>
  <c r="J46" i="2"/>
  <c r="J45" i="2"/>
  <c r="J13" i="2"/>
  <c r="F13" i="2"/>
  <c r="F50" i="2"/>
  <c r="J50" i="2"/>
  <c r="J42" i="2"/>
  <c r="F42" i="2"/>
  <c r="F26" i="2"/>
  <c r="AB51" i="2"/>
  <c r="W51" i="2" s="1"/>
  <c r="D51" i="2"/>
  <c r="E51" i="2"/>
  <c r="C2" i="2"/>
  <c r="AB3" i="2"/>
  <c r="AH3" i="2"/>
  <c r="Y3" i="2" s="1"/>
  <c r="H8" i="2"/>
  <c r="F7" i="2"/>
  <c r="H7" i="2"/>
  <c r="H23" i="2"/>
  <c r="F23" i="2"/>
  <c r="H46" i="2"/>
  <c r="H38" i="2"/>
  <c r="F38" i="2"/>
  <c r="H30" i="2"/>
  <c r="F30" i="2"/>
  <c r="H22" i="2"/>
  <c r="F14" i="2"/>
  <c r="H14" i="2"/>
  <c r="H6" i="2"/>
  <c r="F15" i="2"/>
  <c r="H15" i="2"/>
  <c r="H53" i="2"/>
  <c r="F53" i="2"/>
  <c r="H37" i="2"/>
  <c r="F37" i="2"/>
  <c r="H29" i="2"/>
  <c r="H21" i="2"/>
  <c r="F21" i="2"/>
  <c r="H13" i="2"/>
  <c r="H5" i="2"/>
  <c r="F5" i="2"/>
  <c r="H16" i="2"/>
  <c r="F48" i="2"/>
  <c r="H48" i="2"/>
  <c r="H52" i="2"/>
  <c r="F52" i="2"/>
  <c r="F44" i="2"/>
  <c r="H44" i="2"/>
  <c r="H36" i="2"/>
  <c r="F36" i="2"/>
  <c r="H28" i="2"/>
  <c r="H20" i="2"/>
  <c r="F20" i="2"/>
  <c r="F12" i="2"/>
  <c r="H12" i="2"/>
  <c r="H4" i="2"/>
  <c r="H40" i="2"/>
  <c r="F40" i="2"/>
  <c r="F31" i="2"/>
  <c r="H31" i="2"/>
  <c r="H54" i="2"/>
  <c r="H43" i="2"/>
  <c r="H27" i="2"/>
  <c r="H19" i="2"/>
  <c r="F19" i="2"/>
  <c r="H11" i="2"/>
  <c r="H3" i="2"/>
  <c r="H32" i="2"/>
  <c r="H47" i="2"/>
  <c r="F47" i="2"/>
  <c r="H39" i="2"/>
  <c r="F39" i="2"/>
  <c r="H50" i="2"/>
  <c r="H42" i="2"/>
  <c r="H34" i="2"/>
  <c r="F34" i="2"/>
  <c r="H26" i="2"/>
  <c r="H18" i="2"/>
  <c r="F18" i="2"/>
  <c r="H10" i="2"/>
  <c r="F10" i="2"/>
  <c r="H2" i="2"/>
  <c r="H55" i="2"/>
  <c r="H35" i="2"/>
  <c r="F35" i="2"/>
  <c r="H24" i="2"/>
  <c r="F24" i="2"/>
  <c r="H49" i="2"/>
  <c r="H41" i="2"/>
  <c r="F33" i="2"/>
  <c r="H33" i="2"/>
  <c r="H25" i="2"/>
  <c r="F25" i="2"/>
  <c r="H17" i="2"/>
  <c r="F9" i="2"/>
  <c r="H9" i="2"/>
  <c r="AA2" i="2"/>
  <c r="E54" i="2"/>
  <c r="AA54" i="2"/>
  <c r="E46" i="2"/>
  <c r="AA46" i="2"/>
  <c r="E38" i="2"/>
  <c r="AA38" i="2"/>
  <c r="E30" i="2"/>
  <c r="AA30" i="2"/>
  <c r="E22" i="2"/>
  <c r="AA22" i="2"/>
  <c r="E14" i="2"/>
  <c r="AA14" i="2"/>
  <c r="E6" i="2"/>
  <c r="AA6" i="2"/>
  <c r="E53" i="2"/>
  <c r="AA53" i="2"/>
  <c r="E45" i="2"/>
  <c r="AA45" i="2"/>
  <c r="E37" i="2"/>
  <c r="AA37" i="2"/>
  <c r="E29" i="2"/>
  <c r="AA29" i="2"/>
  <c r="E21" i="2"/>
  <c r="AA21" i="2"/>
  <c r="E13" i="2"/>
  <c r="AA13" i="2"/>
  <c r="E5" i="2"/>
  <c r="AA5" i="2"/>
  <c r="E52" i="2"/>
  <c r="AA52" i="2"/>
  <c r="E44" i="2"/>
  <c r="AA44" i="2"/>
  <c r="E36" i="2"/>
  <c r="AA36" i="2"/>
  <c r="E28" i="2"/>
  <c r="AA28" i="2"/>
  <c r="E20" i="2"/>
  <c r="AA20" i="2"/>
  <c r="E12" i="2"/>
  <c r="AA12" i="2"/>
  <c r="E4" i="2"/>
  <c r="AA4" i="2"/>
  <c r="AA51" i="2"/>
  <c r="E43" i="2"/>
  <c r="AA43" i="2"/>
  <c r="E35" i="2"/>
  <c r="AA35" i="2"/>
  <c r="E27" i="2"/>
  <c r="AA27" i="2"/>
  <c r="E19" i="2"/>
  <c r="AA19" i="2"/>
  <c r="E11" i="2"/>
  <c r="AA11" i="2"/>
  <c r="E3" i="2"/>
  <c r="E42" i="2"/>
  <c r="AA42" i="2"/>
  <c r="E10" i="2"/>
  <c r="AA10" i="2"/>
  <c r="E34" i="2"/>
  <c r="AA34" i="2"/>
  <c r="E18" i="2"/>
  <c r="AA18" i="2"/>
  <c r="E49" i="2"/>
  <c r="AA49" i="2"/>
  <c r="E41" i="2"/>
  <c r="AA41" i="2"/>
  <c r="E33" i="2"/>
  <c r="AA33" i="2"/>
  <c r="E25" i="2"/>
  <c r="AA25" i="2"/>
  <c r="E17" i="2"/>
  <c r="AA17" i="2"/>
  <c r="E9" i="2"/>
  <c r="AA9" i="2"/>
  <c r="E50" i="2"/>
  <c r="AA50" i="2"/>
  <c r="E48" i="2"/>
  <c r="AA48" i="2"/>
  <c r="E40" i="2"/>
  <c r="AA40" i="2"/>
  <c r="E32" i="2"/>
  <c r="AA32" i="2"/>
  <c r="E24" i="2"/>
  <c r="AA24" i="2"/>
  <c r="E16" i="2"/>
  <c r="AA16" i="2"/>
  <c r="E8" i="2"/>
  <c r="AA8" i="2"/>
  <c r="E26" i="2"/>
  <c r="AA26" i="2"/>
  <c r="E55" i="2"/>
  <c r="AA55" i="2"/>
  <c r="E47" i="2"/>
  <c r="AA47" i="2"/>
  <c r="E39" i="2"/>
  <c r="AA39" i="2"/>
  <c r="E31" i="2"/>
  <c r="AA31" i="2"/>
  <c r="E23" i="2"/>
  <c r="AA23" i="2"/>
  <c r="E15" i="2"/>
  <c r="AA15" i="2"/>
  <c r="E7" i="2"/>
  <c r="AA7" i="2"/>
  <c r="E2" i="2"/>
  <c r="AB45" i="2"/>
  <c r="D37" i="2"/>
  <c r="D29" i="2"/>
  <c r="D13" i="2"/>
  <c r="D43" i="2"/>
  <c r="D27" i="2"/>
  <c r="D19" i="2"/>
  <c r="D11" i="2"/>
  <c r="D44" i="2"/>
  <c r="D42" i="2"/>
  <c r="D34" i="2"/>
  <c r="J18" i="2"/>
  <c r="D10" i="2"/>
  <c r="AE22" i="2"/>
  <c r="D28" i="2"/>
  <c r="D41" i="2"/>
  <c r="AD33" i="2"/>
  <c r="AD25" i="2"/>
  <c r="AD17" i="2"/>
  <c r="D46" i="2"/>
  <c r="D12" i="2"/>
  <c r="D54" i="2"/>
  <c r="D48" i="2"/>
  <c r="D32" i="2"/>
  <c r="D16" i="2"/>
  <c r="D8" i="2"/>
  <c r="D30" i="2"/>
  <c r="D52" i="2"/>
  <c r="D14" i="2"/>
  <c r="AH55" i="2"/>
  <c r="Y55" i="2" s="1"/>
  <c r="D47" i="2"/>
  <c r="D31" i="2"/>
  <c r="AD23" i="2"/>
  <c r="D15" i="2"/>
  <c r="D7" i="2"/>
  <c r="D2" i="2"/>
  <c r="AH30" i="2"/>
  <c r="Y30" i="2" s="1"/>
  <c r="AH26" i="2"/>
  <c r="Y26" i="2" s="1"/>
  <c r="AH22" i="2"/>
  <c r="Y22" i="2" s="1"/>
  <c r="AH10" i="2"/>
  <c r="Y10" i="2" s="1"/>
  <c r="AB42" i="2"/>
  <c r="AB26" i="2"/>
  <c r="AB2" i="2"/>
  <c r="AH2" i="2"/>
  <c r="Y2" i="2" s="1"/>
  <c r="AH32" i="2"/>
  <c r="Y32" i="2" s="1"/>
  <c r="AH31" i="2"/>
  <c r="Y31" i="2" s="1"/>
  <c r="AH27" i="2"/>
  <c r="Y27" i="2" s="1"/>
  <c r="AH9" i="2"/>
  <c r="Y9" i="2" s="1"/>
  <c r="AB13" i="2"/>
  <c r="AB12" i="2"/>
  <c r="AH25" i="2"/>
  <c r="Y25" i="2" s="1"/>
  <c r="AH8" i="2"/>
  <c r="Y8" i="2" s="1"/>
  <c r="AB31" i="2"/>
  <c r="AB7" i="2"/>
  <c r="AH16" i="2"/>
  <c r="Y16" i="2" s="1"/>
  <c r="AH15" i="2"/>
  <c r="Y15" i="2" s="1"/>
  <c r="AH14" i="2"/>
  <c r="Y14" i="2" s="1"/>
  <c r="AH54" i="2"/>
  <c r="Y54" i="2" s="1"/>
  <c r="AH47" i="2"/>
  <c r="Y47" i="2" s="1"/>
  <c r="AE34" i="2"/>
  <c r="AH46" i="2"/>
  <c r="Y46" i="2" s="1"/>
  <c r="AH7" i="2"/>
  <c r="Y7" i="2" s="1"/>
  <c r="AB32" i="2"/>
  <c r="AH6" i="2"/>
  <c r="Y6" i="2" s="1"/>
  <c r="AB8" i="2"/>
  <c r="AH48" i="2"/>
  <c r="Y48" i="2" s="1"/>
  <c r="AE25" i="2"/>
  <c r="AH42" i="2"/>
  <c r="Y42" i="2" s="1"/>
  <c r="AE18" i="2"/>
  <c r="AH38" i="2"/>
  <c r="Y38" i="2" s="1"/>
  <c r="AH5" i="2"/>
  <c r="Y5" i="2" s="1"/>
  <c r="AB41" i="2"/>
  <c r="AB40" i="2"/>
  <c r="AB11" i="2"/>
  <c r="AB39" i="2"/>
  <c r="AB10" i="2"/>
  <c r="AH45" i="2"/>
  <c r="Y45" i="2" s="1"/>
  <c r="AH29" i="2"/>
  <c r="Y29" i="2" s="1"/>
  <c r="AH13" i="2"/>
  <c r="Y13" i="2" s="1"/>
  <c r="AB33" i="2"/>
  <c r="AB9" i="2"/>
  <c r="AH44" i="2"/>
  <c r="Y44" i="2" s="1"/>
  <c r="AH28" i="2"/>
  <c r="Y28" i="2" s="1"/>
  <c r="AH12" i="2"/>
  <c r="Y12" i="2" s="1"/>
  <c r="AH11" i="2"/>
  <c r="Y11" i="2" s="1"/>
  <c r="AE33" i="2"/>
  <c r="AE17" i="2"/>
  <c r="AB55" i="2"/>
  <c r="AB23" i="2"/>
  <c r="AH53" i="2"/>
  <c r="Y53" i="2" s="1"/>
  <c r="AH37" i="2"/>
  <c r="Y37" i="2" s="1"/>
  <c r="AH21" i="2"/>
  <c r="Y21" i="2" s="1"/>
  <c r="AB49" i="2"/>
  <c r="AB17" i="2"/>
  <c r="AH52" i="2"/>
  <c r="Y52" i="2" s="1"/>
  <c r="AH36" i="2"/>
  <c r="Y36" i="2" s="1"/>
  <c r="AH20" i="2"/>
  <c r="Y20" i="2" s="1"/>
  <c r="AH4" i="2"/>
  <c r="Y4" i="2" s="1"/>
  <c r="AB27" i="2"/>
  <c r="AH40" i="2"/>
  <c r="Y40" i="2" s="1"/>
  <c r="AB25" i="2"/>
  <c r="AH23" i="2"/>
  <c r="Y23" i="2" s="1"/>
  <c r="AB24" i="2"/>
  <c r="AB48" i="2"/>
  <c r="AB16" i="2"/>
  <c r="AH51" i="2"/>
  <c r="Y51" i="2" s="1"/>
  <c r="AH35" i="2"/>
  <c r="Y35" i="2" s="1"/>
  <c r="AH19" i="2"/>
  <c r="Y19" i="2" s="1"/>
  <c r="AH43" i="2"/>
  <c r="Y43" i="2" s="1"/>
  <c r="AH41" i="2"/>
  <c r="Y41" i="2" s="1"/>
  <c r="AB47" i="2"/>
  <c r="AB15" i="2"/>
  <c r="AH50" i="2"/>
  <c r="Y50" i="2" s="1"/>
  <c r="AH34" i="2"/>
  <c r="Y34" i="2" s="1"/>
  <c r="AH18" i="2"/>
  <c r="Y18" i="2" s="1"/>
  <c r="AE3" i="2"/>
  <c r="AH24" i="2"/>
  <c r="Y24" i="2" s="1"/>
  <c r="AH39" i="2"/>
  <c r="Y39" i="2" s="1"/>
  <c r="AE9" i="2"/>
  <c r="AB43" i="2"/>
  <c r="AB14" i="2"/>
  <c r="AH49" i="2"/>
  <c r="Y49" i="2" s="1"/>
  <c r="AH33" i="2"/>
  <c r="Y33" i="2" s="1"/>
  <c r="AH17" i="2"/>
  <c r="Y17" i="2" s="1"/>
  <c r="AB46" i="2"/>
  <c r="AB29" i="2"/>
  <c r="AB44" i="2"/>
  <c r="AB38" i="2"/>
  <c r="AB53" i="2"/>
  <c r="AB37" i="2"/>
  <c r="AB21" i="2"/>
  <c r="AB5" i="2"/>
  <c r="AB52" i="2"/>
  <c r="AB36" i="2"/>
  <c r="AB20" i="2"/>
  <c r="AB4" i="2"/>
  <c r="AB28" i="2"/>
  <c r="AB6" i="2"/>
  <c r="AB35" i="2"/>
  <c r="AB19" i="2"/>
  <c r="AB30" i="2"/>
  <c r="AE13" i="2"/>
  <c r="AB54" i="2"/>
  <c r="AB22" i="2"/>
  <c r="AB50" i="2"/>
  <c r="AB34" i="2"/>
  <c r="AB18" i="2"/>
  <c r="AE29" i="2"/>
  <c r="AE28" i="2"/>
  <c r="AE49" i="2"/>
  <c r="AE12" i="2"/>
  <c r="AE50" i="2"/>
  <c r="AE45" i="2"/>
  <c r="AE44" i="2"/>
  <c r="AE41" i="2"/>
  <c r="AE48" i="2"/>
  <c r="AE32" i="2"/>
  <c r="AE16" i="2"/>
  <c r="J10" i="2"/>
  <c r="AD2" i="2"/>
  <c r="AE47" i="2"/>
  <c r="AE31" i="2"/>
  <c r="AE15" i="2"/>
  <c r="AE46" i="2"/>
  <c r="AE30" i="2"/>
  <c r="AE14" i="2"/>
  <c r="AE11" i="2"/>
  <c r="AE2" i="2"/>
  <c r="AE54" i="2"/>
  <c r="AE38" i="2"/>
  <c r="AE6" i="2"/>
  <c r="AE27" i="2"/>
  <c r="AE26" i="2"/>
  <c r="AE24" i="2"/>
  <c r="AE23" i="2"/>
  <c r="AE53" i="2"/>
  <c r="AE37" i="2"/>
  <c r="AE21" i="2"/>
  <c r="AE5" i="2"/>
  <c r="AE10" i="2"/>
  <c r="AE8" i="2"/>
  <c r="AE7" i="2"/>
  <c r="AE52" i="2"/>
  <c r="AE36" i="2"/>
  <c r="AE20" i="2"/>
  <c r="AE4" i="2"/>
  <c r="AE43" i="2"/>
  <c r="AE42" i="2"/>
  <c r="AE40" i="2"/>
  <c r="AE55" i="2"/>
  <c r="AE39" i="2"/>
  <c r="AE51" i="2"/>
  <c r="AE35" i="2"/>
  <c r="AE19" i="2"/>
  <c r="J2" i="2"/>
  <c r="AJ30" i="2"/>
  <c r="AJ18" i="2"/>
  <c r="AD18" i="2"/>
  <c r="AD6" i="2"/>
  <c r="AJ23" i="2"/>
  <c r="AD50" i="2"/>
  <c r="AJ10" i="2"/>
  <c r="AD39" i="2"/>
  <c r="AJ7" i="2"/>
  <c r="AD38" i="2"/>
  <c r="AJ52" i="2"/>
  <c r="AD36" i="2"/>
  <c r="AJ51" i="2"/>
  <c r="AD35" i="2"/>
  <c r="AD34" i="2"/>
  <c r="AJ31" i="2"/>
  <c r="AJ47" i="2"/>
  <c r="AD28" i="2"/>
  <c r="AJ44" i="2"/>
  <c r="AD22" i="2"/>
  <c r="AJ28" i="2"/>
  <c r="AJ36" i="2"/>
  <c r="AD20" i="2"/>
  <c r="AD19" i="2"/>
  <c r="AD13" i="2"/>
  <c r="AD52" i="2"/>
  <c r="AD12" i="2"/>
  <c r="AD51" i="2"/>
  <c r="AD7" i="2"/>
  <c r="AD55" i="2"/>
  <c r="AJ12" i="2"/>
  <c r="AD44" i="2"/>
  <c r="AD4" i="2"/>
  <c r="AD54" i="2"/>
  <c r="AD3" i="2"/>
  <c r="AJ25" i="2"/>
  <c r="AJ24" i="2"/>
  <c r="AJ40" i="2"/>
  <c r="AD45" i="2"/>
  <c r="AD29" i="2"/>
  <c r="AJ55" i="2"/>
  <c r="AJ33" i="2"/>
  <c r="AJ38" i="2"/>
  <c r="AD43" i="2"/>
  <c r="AD27" i="2"/>
  <c r="AD11" i="2"/>
  <c r="AJ19" i="2"/>
  <c r="AJ39" i="2"/>
  <c r="AJ53" i="2"/>
  <c r="AJ37" i="2"/>
  <c r="AD42" i="2"/>
  <c r="AD26" i="2"/>
  <c r="AD10" i="2"/>
  <c r="AD40" i="2"/>
  <c r="AD24" i="2"/>
  <c r="AD8" i="2"/>
  <c r="AJ48" i="2"/>
  <c r="AD53" i="2"/>
  <c r="AD37" i="2"/>
  <c r="AD21" i="2"/>
  <c r="AD5" i="2"/>
  <c r="AD9" i="2"/>
  <c r="AD41" i="2"/>
  <c r="AD48" i="2"/>
  <c r="AD32" i="2"/>
  <c r="AJ5" i="2"/>
  <c r="AD47" i="2"/>
  <c r="AD31" i="2"/>
  <c r="AD15" i="2"/>
  <c r="AD49" i="2"/>
  <c r="AD16" i="2"/>
  <c r="AJ20" i="2"/>
  <c r="AD46" i="2"/>
  <c r="AD30" i="2"/>
  <c r="AD14" i="2"/>
  <c r="J25" i="2"/>
  <c r="J14" i="2"/>
  <c r="J49" i="2"/>
  <c r="J33" i="2"/>
  <c r="D6" i="2"/>
  <c r="J30" i="2"/>
  <c r="C50" i="2"/>
  <c r="C42" i="2"/>
  <c r="C34" i="2"/>
  <c r="C26" i="2"/>
  <c r="C18" i="2"/>
  <c r="C10" i="2"/>
  <c r="D5" i="2"/>
  <c r="D21" i="2"/>
  <c r="D4" i="2"/>
  <c r="J28" i="2"/>
  <c r="J47" i="2"/>
  <c r="J31" i="2"/>
  <c r="J48" i="2"/>
  <c r="J40" i="2"/>
  <c r="J24" i="2"/>
  <c r="J39" i="2"/>
  <c r="J23" i="2"/>
  <c r="J7" i="2"/>
  <c r="D40" i="2"/>
  <c r="D38" i="2"/>
  <c r="J52" i="2"/>
  <c r="J36" i="2"/>
  <c r="J20" i="2"/>
  <c r="J38" i="2"/>
  <c r="D39" i="2"/>
  <c r="J37" i="2"/>
  <c r="D36" i="2"/>
  <c r="J19" i="2"/>
  <c r="D22" i="2"/>
  <c r="J34" i="2"/>
  <c r="C49" i="2"/>
  <c r="C41" i="2"/>
  <c r="C33" i="2"/>
  <c r="C17" i="2"/>
  <c r="D20" i="2"/>
  <c r="D23" i="2"/>
  <c r="D55" i="2"/>
  <c r="D53" i="2"/>
  <c r="D9" i="2"/>
  <c r="D25" i="2"/>
  <c r="D24" i="2"/>
  <c r="D26" i="2"/>
  <c r="D35" i="2"/>
  <c r="D3" i="2"/>
  <c r="D50" i="2"/>
  <c r="D18" i="2"/>
  <c r="D49" i="2"/>
  <c r="D17" i="2"/>
  <c r="D45" i="2"/>
  <c r="D33" i="2"/>
  <c r="C25" i="2"/>
  <c r="C52" i="2"/>
  <c r="C44" i="2"/>
  <c r="C36" i="2"/>
  <c r="C28" i="2"/>
  <c r="C20" i="2"/>
  <c r="C12" i="2"/>
  <c r="C4" i="2"/>
  <c r="C51" i="2"/>
  <c r="C43" i="2"/>
  <c r="C35" i="2"/>
  <c r="C27" i="2"/>
  <c r="C19" i="2"/>
  <c r="C11" i="2"/>
  <c r="C3" i="2"/>
  <c r="C48" i="2"/>
  <c r="C40" i="2"/>
  <c r="C32" i="2"/>
  <c r="C24" i="2"/>
  <c r="C16" i="2"/>
  <c r="C55" i="2"/>
  <c r="C47" i="2"/>
  <c r="C39" i="2"/>
  <c r="C31" i="2"/>
  <c r="C23" i="2"/>
  <c r="C15" i="2"/>
  <c r="C53" i="2"/>
  <c r="C45" i="2"/>
  <c r="C37" i="2"/>
  <c r="C29" i="2"/>
  <c r="C21" i="2"/>
  <c r="C13" i="2"/>
  <c r="C5" i="2"/>
  <c r="C9" i="2"/>
  <c r="C8" i="2"/>
  <c r="C7" i="2"/>
  <c r="C54" i="2"/>
  <c r="C46" i="2"/>
  <c r="C38" i="2"/>
  <c r="C30" i="2"/>
  <c r="C22" i="2"/>
  <c r="C14" i="2"/>
  <c r="C6" i="2"/>
  <c r="N32" i="2" l="1"/>
  <c r="N8" i="2"/>
  <c r="N35" i="2"/>
  <c r="N14" i="2"/>
  <c r="N54" i="2"/>
  <c r="I2" i="2"/>
  <c r="N34" i="2"/>
  <c r="O34" i="2" s="1"/>
  <c r="N21" i="2"/>
  <c r="N4" i="2"/>
  <c r="N10" i="2"/>
  <c r="N51" i="2"/>
  <c r="N13" i="2"/>
  <c r="AJ34" i="2"/>
  <c r="N26" i="2"/>
  <c r="O26" i="2" s="1"/>
  <c r="Q26" i="2" s="1"/>
  <c r="R26" i="2" s="1"/>
  <c r="N3" i="2"/>
  <c r="N33" i="2"/>
  <c r="O33" i="2" s="1"/>
  <c r="N43" i="2"/>
  <c r="N44" i="2"/>
  <c r="N22" i="2"/>
  <c r="N55" i="2"/>
  <c r="O55" i="2" s="1"/>
  <c r="Q55" i="2" s="1"/>
  <c r="R55" i="2" s="1"/>
  <c r="AJ21" i="2"/>
  <c r="AJ35" i="2"/>
  <c r="N12" i="2"/>
  <c r="O12" i="2" s="1"/>
  <c r="N40" i="2"/>
  <c r="O40" i="2" s="1"/>
  <c r="N2" i="2"/>
  <c r="O2" i="2" s="1"/>
  <c r="N11" i="2"/>
  <c r="N31" i="2"/>
  <c r="O31" i="2" s="1"/>
  <c r="N20" i="2"/>
  <c r="N52" i="2"/>
  <c r="N29" i="2"/>
  <c r="O29" i="2" s="1"/>
  <c r="Q29" i="2" s="1"/>
  <c r="R29" i="2" s="1"/>
  <c r="N25" i="2"/>
  <c r="O25" i="2" s="1"/>
  <c r="N30" i="2"/>
  <c r="O30" i="2" s="1"/>
  <c r="Q30" i="2" s="1"/>
  <c r="R30" i="2" s="1"/>
  <c r="N16" i="2"/>
  <c r="N15" i="2"/>
  <c r="AJ32" i="2"/>
  <c r="Z2" i="2"/>
  <c r="N42" i="2"/>
  <c r="O42" i="2" s="1"/>
  <c r="Q42" i="2" s="1"/>
  <c r="R42" i="2" s="1"/>
  <c r="N41" i="2"/>
  <c r="O41" i="2" s="1"/>
  <c r="Q41" i="2" s="1"/>
  <c r="R41" i="2" s="1"/>
  <c r="N19" i="2"/>
  <c r="O19" i="2" s="1"/>
  <c r="N48" i="2"/>
  <c r="O48" i="2" s="1"/>
  <c r="AJ4" i="2"/>
  <c r="N50" i="2"/>
  <c r="N49" i="2"/>
  <c r="O49" i="2" s="1"/>
  <c r="Q49" i="2" s="1"/>
  <c r="R49" i="2" s="1"/>
  <c r="N37" i="2"/>
  <c r="AJ8" i="2"/>
  <c r="N38" i="2"/>
  <c r="N24" i="2"/>
  <c r="O24" i="2" s="1"/>
  <c r="N18" i="2"/>
  <c r="O18" i="2" s="1"/>
  <c r="N23" i="2"/>
  <c r="N5" i="2"/>
  <c r="AJ14" i="2"/>
  <c r="AJ13" i="2"/>
  <c r="N28" i="2"/>
  <c r="O28" i="2" s="1"/>
  <c r="Q28" i="2" s="1"/>
  <c r="R28" i="2" s="1"/>
  <c r="N6" i="2"/>
  <c r="O6" i="2" s="1"/>
  <c r="Q6" i="2" s="1"/>
  <c r="R6" i="2" s="1"/>
  <c r="N47" i="2"/>
  <c r="O47" i="2" s="1"/>
  <c r="N27" i="2"/>
  <c r="O27" i="2" s="1"/>
  <c r="Q27" i="2" s="1"/>
  <c r="R27" i="2" s="1"/>
  <c r="N39" i="2"/>
  <c r="O39" i="2" s="1"/>
  <c r="N36" i="2"/>
  <c r="O36" i="2" s="1"/>
  <c r="N45" i="2"/>
  <c r="O45" i="2" s="1"/>
  <c r="Q45" i="2" s="1"/>
  <c r="R45" i="2" s="1"/>
  <c r="N7" i="2"/>
  <c r="N17" i="2"/>
  <c r="AJ54" i="2"/>
  <c r="N9" i="2"/>
  <c r="O9" i="2" s="1"/>
  <c r="N53" i="2"/>
  <c r="O53" i="2" s="1"/>
  <c r="N46" i="2"/>
  <c r="G45" i="2"/>
  <c r="Z36" i="2"/>
  <c r="G16" i="2"/>
  <c r="Z30" i="2"/>
  <c r="G8" i="2"/>
  <c r="Z50" i="2"/>
  <c r="O51" i="2"/>
  <c r="Q51" i="2" s="1"/>
  <c r="R51" i="2" s="1"/>
  <c r="Z34" i="2"/>
  <c r="Z20" i="2"/>
  <c r="G51" i="2"/>
  <c r="Z33" i="2"/>
  <c r="X51" i="2"/>
  <c r="Z31" i="2"/>
  <c r="Z47" i="2"/>
  <c r="Z53" i="2"/>
  <c r="Z10" i="2"/>
  <c r="Z24" i="2"/>
  <c r="Z52" i="2"/>
  <c r="Z4" i="2"/>
  <c r="Z44" i="2"/>
  <c r="Z48" i="2"/>
  <c r="Z6" i="2"/>
  <c r="Z41" i="2"/>
  <c r="Z7" i="2"/>
  <c r="Z15" i="2"/>
  <c r="Z26" i="2"/>
  <c r="Z23" i="2"/>
  <c r="Z11" i="2"/>
  <c r="Z5" i="2"/>
  <c r="Z40" i="2"/>
  <c r="Z12" i="2"/>
  <c r="Z8" i="2"/>
  <c r="Z25" i="2"/>
  <c r="Z45" i="2"/>
  <c r="Z46" i="2"/>
  <c r="Z19" i="2"/>
  <c r="Z42" i="2"/>
  <c r="Z13" i="2"/>
  <c r="Z9" i="2"/>
  <c r="Z32" i="2"/>
  <c r="Z37" i="2"/>
  <c r="Z49" i="2"/>
  <c r="Z51" i="2"/>
  <c r="Z14" i="2"/>
  <c r="Z18" i="2"/>
  <c r="Z28" i="2"/>
  <c r="Z27" i="2"/>
  <c r="Z29" i="2"/>
  <c r="Z55" i="2"/>
  <c r="Z43" i="2"/>
  <c r="Z17" i="2"/>
  <c r="Z21" i="2"/>
  <c r="Z54" i="2"/>
  <c r="Z35" i="2"/>
  <c r="Z16" i="2"/>
  <c r="Z22" i="2"/>
  <c r="Z3" i="2"/>
  <c r="Z39" i="2"/>
  <c r="Z38" i="2"/>
  <c r="I51" i="2"/>
  <c r="AL18" i="2"/>
  <c r="W12" i="2"/>
  <c r="X12" i="2"/>
  <c r="W22" i="2"/>
  <c r="X22" i="2"/>
  <c r="W38" i="2"/>
  <c r="X38" i="2"/>
  <c r="X15" i="2"/>
  <c r="W15" i="2"/>
  <c r="W33" i="2"/>
  <c r="X33" i="2"/>
  <c r="W54" i="2"/>
  <c r="X54" i="2"/>
  <c r="W44" i="2"/>
  <c r="X44" i="2"/>
  <c r="W47" i="2"/>
  <c r="X47" i="2"/>
  <c r="X32" i="2"/>
  <c r="W32" i="2"/>
  <c r="W29" i="2"/>
  <c r="X29" i="2"/>
  <c r="W17" i="2"/>
  <c r="X17" i="2"/>
  <c r="W45" i="2"/>
  <c r="X45" i="2"/>
  <c r="W30" i="2"/>
  <c r="X30" i="2"/>
  <c r="W46" i="2"/>
  <c r="X46" i="2"/>
  <c r="W49" i="2"/>
  <c r="X49" i="2"/>
  <c r="W19" i="2"/>
  <c r="X19" i="2"/>
  <c r="W10" i="2"/>
  <c r="X10" i="2"/>
  <c r="W35" i="2"/>
  <c r="X35" i="2"/>
  <c r="W39" i="2"/>
  <c r="X39" i="2"/>
  <c r="X2" i="2"/>
  <c r="W2" i="2"/>
  <c r="W50" i="2"/>
  <c r="X50" i="2"/>
  <c r="W6" i="2"/>
  <c r="X6" i="2"/>
  <c r="W11" i="2"/>
  <c r="X11" i="2"/>
  <c r="W26" i="2"/>
  <c r="X26" i="2"/>
  <c r="W13" i="2"/>
  <c r="X13" i="2"/>
  <c r="W28" i="2"/>
  <c r="X28" i="2"/>
  <c r="W14" i="2"/>
  <c r="X14" i="2"/>
  <c r="X16" i="2"/>
  <c r="W16" i="2"/>
  <c r="W23" i="2"/>
  <c r="X23" i="2"/>
  <c r="W40" i="2"/>
  <c r="X40" i="2"/>
  <c r="W42" i="2"/>
  <c r="X42" i="2"/>
  <c r="W53" i="2"/>
  <c r="X53" i="2"/>
  <c r="W4" i="2"/>
  <c r="X4" i="2"/>
  <c r="W43" i="2"/>
  <c r="X43" i="2"/>
  <c r="X48" i="2"/>
  <c r="W48" i="2"/>
  <c r="W55" i="2"/>
  <c r="X55" i="2"/>
  <c r="W41" i="2"/>
  <c r="X41" i="2"/>
  <c r="W20" i="2"/>
  <c r="X20" i="2"/>
  <c r="X24" i="2"/>
  <c r="W24" i="2"/>
  <c r="W34" i="2"/>
  <c r="X34" i="2"/>
  <c r="W36" i="2"/>
  <c r="X36" i="2"/>
  <c r="W7" i="2"/>
  <c r="X7" i="2"/>
  <c r="W52" i="2"/>
  <c r="X52" i="2"/>
  <c r="W25" i="2"/>
  <c r="X25" i="2"/>
  <c r="W31" i="2"/>
  <c r="X31" i="2"/>
  <c r="W8" i="2"/>
  <c r="X8" i="2"/>
  <c r="W5" i="2"/>
  <c r="X5" i="2"/>
  <c r="W3" i="2"/>
  <c r="X3" i="2"/>
  <c r="W37" i="2"/>
  <c r="X37" i="2"/>
  <c r="W9" i="2"/>
  <c r="X9" i="2"/>
  <c r="W18" i="2"/>
  <c r="X18" i="2"/>
  <c r="W21" i="2"/>
  <c r="X21" i="2"/>
  <c r="W27" i="2"/>
  <c r="X27" i="2"/>
  <c r="AI3" i="2"/>
  <c r="I37" i="2"/>
  <c r="I38" i="2"/>
  <c r="I9" i="2"/>
  <c r="I27" i="2"/>
  <c r="I28" i="2"/>
  <c r="I25" i="2"/>
  <c r="I34" i="2"/>
  <c r="AL46" i="2"/>
  <c r="I36" i="2"/>
  <c r="I32" i="2"/>
  <c r="I40" i="2"/>
  <c r="I53" i="2"/>
  <c r="I23" i="2"/>
  <c r="I5" i="2"/>
  <c r="I6" i="2"/>
  <c r="I8" i="2"/>
  <c r="I35" i="2"/>
  <c r="I50" i="2"/>
  <c r="I30" i="2"/>
  <c r="I19" i="2"/>
  <c r="I20" i="2"/>
  <c r="I52" i="2"/>
  <c r="AC41" i="2"/>
  <c r="I15" i="2"/>
  <c r="I7" i="2"/>
  <c r="I13" i="2"/>
  <c r="I14" i="2"/>
  <c r="I21" i="2"/>
  <c r="I22" i="2"/>
  <c r="AK9" i="2"/>
  <c r="I17" i="2"/>
  <c r="I43" i="2"/>
  <c r="I29" i="2"/>
  <c r="AC51" i="2"/>
  <c r="I55" i="2"/>
  <c r="I39" i="2"/>
  <c r="I54" i="2"/>
  <c r="I44" i="2"/>
  <c r="G2" i="2"/>
  <c r="I33" i="2"/>
  <c r="I47" i="2"/>
  <c r="I31" i="2"/>
  <c r="I45" i="2"/>
  <c r="I46" i="2"/>
  <c r="I41" i="2"/>
  <c r="I10" i="2"/>
  <c r="I48" i="2"/>
  <c r="I42" i="2"/>
  <c r="I24" i="2"/>
  <c r="I49" i="2"/>
  <c r="I18" i="2"/>
  <c r="I3" i="2"/>
  <c r="I4" i="2"/>
  <c r="I16" i="2"/>
  <c r="I26" i="2"/>
  <c r="I11" i="2"/>
  <c r="I12" i="2"/>
  <c r="G32" i="2"/>
  <c r="G48" i="2"/>
  <c r="G41" i="2"/>
  <c r="AL51" i="2"/>
  <c r="AI51" i="2"/>
  <c r="AG22" i="2"/>
  <c r="AL10" i="2"/>
  <c r="AL26" i="2"/>
  <c r="AL2" i="2"/>
  <c r="AI28" i="2"/>
  <c r="AL5" i="2"/>
  <c r="AG42" i="2"/>
  <c r="G15" i="2"/>
  <c r="AI17" i="2"/>
  <c r="AL14" i="2"/>
  <c r="AI22" i="2"/>
  <c r="AL40" i="2"/>
  <c r="AI24" i="2"/>
  <c r="AI11" i="2"/>
  <c r="AI30" i="2"/>
  <c r="AI6" i="2"/>
  <c r="AL49" i="2"/>
  <c r="AI52" i="2"/>
  <c r="AI13" i="2"/>
  <c r="AL47" i="2"/>
  <c r="AL53" i="2"/>
  <c r="AI2" i="2"/>
  <c r="AI33" i="2"/>
  <c r="AL27" i="2"/>
  <c r="AL54" i="2"/>
  <c r="AL33" i="2"/>
  <c r="AI15" i="2"/>
  <c r="AI10" i="2"/>
  <c r="AL44" i="2"/>
  <c r="AL22" i="2"/>
  <c r="AL39" i="2"/>
  <c r="AI40" i="2"/>
  <c r="AI12" i="2"/>
  <c r="AI42" i="2"/>
  <c r="AI8" i="2"/>
  <c r="AL16" i="2"/>
  <c r="AL41" i="2"/>
  <c r="AL42" i="2"/>
  <c r="AL55" i="2"/>
  <c r="AI34" i="2"/>
  <c r="AI4" i="2"/>
  <c r="AI44" i="2"/>
  <c r="AI48" i="2"/>
  <c r="AI25" i="2"/>
  <c r="G37" i="2"/>
  <c r="AL29" i="2"/>
  <c r="AL28" i="2"/>
  <c r="AL50" i="2"/>
  <c r="AI50" i="2"/>
  <c r="AI20" i="2"/>
  <c r="AI14" i="2"/>
  <c r="AF9" i="2"/>
  <c r="AL9" i="2"/>
  <c r="AL45" i="2"/>
  <c r="AL7" i="2"/>
  <c r="AI36" i="2"/>
  <c r="AI9" i="2"/>
  <c r="AI27" i="2"/>
  <c r="AL19" i="2"/>
  <c r="AL15" i="2"/>
  <c r="AL21" i="2"/>
  <c r="AJ3" i="2"/>
  <c r="AK3" i="2"/>
  <c r="AL12" i="2"/>
  <c r="AL34" i="2"/>
  <c r="AL6" i="2"/>
  <c r="AI41" i="2"/>
  <c r="AI29" i="2"/>
  <c r="AI7" i="2"/>
  <c r="AI31" i="2"/>
  <c r="AL23" i="2"/>
  <c r="AI18" i="2"/>
  <c r="AL31" i="2"/>
  <c r="AL37" i="2"/>
  <c r="AL52" i="2"/>
  <c r="AI43" i="2"/>
  <c r="AI45" i="2"/>
  <c r="AI46" i="2"/>
  <c r="AI32" i="2"/>
  <c r="AL17" i="2"/>
  <c r="AL35" i="2"/>
  <c r="AI21" i="2"/>
  <c r="G31" i="2"/>
  <c r="AI35" i="2"/>
  <c r="AI37" i="2"/>
  <c r="AI47" i="2"/>
  <c r="AL25" i="2"/>
  <c r="AI19" i="2"/>
  <c r="G47" i="2"/>
  <c r="AL11" i="2"/>
  <c r="AL3" i="2"/>
  <c r="AL13" i="2"/>
  <c r="AL36" i="2"/>
  <c r="AI49" i="2"/>
  <c r="AI53" i="2"/>
  <c r="AI54" i="2"/>
  <c r="AJ2" i="2"/>
  <c r="AK2" i="2"/>
  <c r="AL43" i="2"/>
  <c r="AL4" i="2"/>
  <c r="AL32" i="2"/>
  <c r="AL8" i="2"/>
  <c r="AL20" i="2"/>
  <c r="AL38" i="2"/>
  <c r="AI5" i="2"/>
  <c r="AI16" i="2"/>
  <c r="AI55" i="2"/>
  <c r="AF30" i="2"/>
  <c r="AL30" i="2"/>
  <c r="AL48" i="2"/>
  <c r="AL24" i="2"/>
  <c r="AI39" i="2"/>
  <c r="AI23" i="2"/>
  <c r="AI38" i="2"/>
  <c r="AI26" i="2"/>
  <c r="G12" i="2"/>
  <c r="G52" i="2"/>
  <c r="G46" i="2"/>
  <c r="G28" i="2"/>
  <c r="G7" i="2"/>
  <c r="G30" i="2"/>
  <c r="G43" i="2"/>
  <c r="G54" i="2"/>
  <c r="G14" i="2"/>
  <c r="AG5" i="2"/>
  <c r="G29" i="2"/>
  <c r="AC34" i="2"/>
  <c r="G10" i="2"/>
  <c r="AC53" i="2"/>
  <c r="G42" i="2"/>
  <c r="G44" i="2"/>
  <c r="G24" i="2"/>
  <c r="G40" i="2"/>
  <c r="G5" i="2"/>
  <c r="G4" i="2"/>
  <c r="G11" i="2"/>
  <c r="AG7" i="2"/>
  <c r="G18" i="2"/>
  <c r="G34" i="2"/>
  <c r="G38" i="2"/>
  <c r="AG53" i="2"/>
  <c r="AC14" i="2"/>
  <c r="G27" i="2"/>
  <c r="G25" i="2"/>
  <c r="G21" i="2"/>
  <c r="G49" i="2"/>
  <c r="G17" i="2"/>
  <c r="G53" i="2"/>
  <c r="G35" i="2"/>
  <c r="G33" i="2"/>
  <c r="G50" i="2"/>
  <c r="G23" i="2"/>
  <c r="G39" i="2"/>
  <c r="G9" i="2"/>
  <c r="G13" i="2"/>
  <c r="G19" i="2"/>
  <c r="G55" i="2"/>
  <c r="G22" i="2"/>
  <c r="G36" i="2"/>
  <c r="AG17" i="2"/>
  <c r="G26" i="2"/>
  <c r="G3" i="2"/>
  <c r="G6" i="2"/>
  <c r="G20" i="2"/>
  <c r="AC27" i="2"/>
  <c r="AC7" i="2"/>
  <c r="AC31" i="2"/>
  <c r="AC35" i="2"/>
  <c r="AC17" i="2"/>
  <c r="AK26" i="2"/>
  <c r="AF38" i="2"/>
  <c r="AK38" i="2"/>
  <c r="O38" i="2"/>
  <c r="AC24" i="2"/>
  <c r="AK41" i="2"/>
  <c r="AK12" i="2"/>
  <c r="AK18" i="2"/>
  <c r="AK54" i="2"/>
  <c r="O54" i="2"/>
  <c r="Q54" i="2" s="1"/>
  <c r="R54" i="2" s="1"/>
  <c r="AK36" i="2"/>
  <c r="AK7" i="2"/>
  <c r="O7" i="2"/>
  <c r="Q7" i="2" s="1"/>
  <c r="R7" i="2" s="1"/>
  <c r="AK34" i="2"/>
  <c r="O4" i="2"/>
  <c r="Q4" i="2" s="1"/>
  <c r="R4" i="2" s="1"/>
  <c r="AK4" i="2"/>
  <c r="AK6" i="2"/>
  <c r="AF17" i="2"/>
  <c r="O17" i="2"/>
  <c r="Q17" i="2" s="1"/>
  <c r="R17" i="2" s="1"/>
  <c r="AK17" i="2"/>
  <c r="AK28" i="2"/>
  <c r="O52" i="2"/>
  <c r="AK52" i="2"/>
  <c r="AK49" i="2"/>
  <c r="O44" i="2"/>
  <c r="AK44" i="2"/>
  <c r="O10" i="2"/>
  <c r="AK10" i="2"/>
  <c r="O43" i="2"/>
  <c r="Q43" i="2" s="1"/>
  <c r="R43" i="2" s="1"/>
  <c r="AK43" i="2"/>
  <c r="O46" i="2"/>
  <c r="Q46" i="2" s="1"/>
  <c r="R46" i="2" s="1"/>
  <c r="AK46" i="2"/>
  <c r="AK37" i="2"/>
  <c r="O37" i="2"/>
  <c r="O20" i="2"/>
  <c r="AK20" i="2"/>
  <c r="AK22" i="2"/>
  <c r="O22" i="2"/>
  <c r="Q22" i="2" s="1"/>
  <c r="R22" i="2" s="1"/>
  <c r="AK53" i="2"/>
  <c r="AK47" i="2"/>
  <c r="O13" i="2"/>
  <c r="Q13" i="2" s="1"/>
  <c r="R13" i="2" s="1"/>
  <c r="AK13" i="2"/>
  <c r="AK29" i="2"/>
  <c r="O16" i="2"/>
  <c r="Q16" i="2" s="1"/>
  <c r="R16" i="2" s="1"/>
  <c r="AK16" i="2"/>
  <c r="AK40" i="2"/>
  <c r="AK31" i="2"/>
  <c r="AF23" i="2"/>
  <c r="AK23" i="2"/>
  <c r="O23" i="2"/>
  <c r="AC11" i="2"/>
  <c r="AK30" i="2"/>
  <c r="AK55" i="2"/>
  <c r="AK32" i="2"/>
  <c r="O32" i="2"/>
  <c r="Q32" i="2" s="1"/>
  <c r="R32" i="2" s="1"/>
  <c r="O5" i="2"/>
  <c r="AK5" i="2"/>
  <c r="O21" i="2"/>
  <c r="AK21" i="2"/>
  <c r="O35" i="2"/>
  <c r="AK35" i="2"/>
  <c r="AF33" i="2"/>
  <c r="AK33" i="2"/>
  <c r="O50" i="2"/>
  <c r="Q50" i="2" s="1"/>
  <c r="R50" i="2" s="1"/>
  <c r="AK50" i="2"/>
  <c r="O11" i="2"/>
  <c r="Q11" i="2" s="1"/>
  <c r="R11" i="2" s="1"/>
  <c r="AK11" i="2"/>
  <c r="AK19" i="2"/>
  <c r="AK24" i="2"/>
  <c r="O15" i="2"/>
  <c r="AK15" i="2"/>
  <c r="AK45" i="2"/>
  <c r="AC12" i="2"/>
  <c r="AK27" i="2"/>
  <c r="AK39" i="2"/>
  <c r="AK42" i="2"/>
  <c r="AK48" i="2"/>
  <c r="AK8" i="2"/>
  <c r="O8" i="2"/>
  <c r="Q8" i="2" s="1"/>
  <c r="R8" i="2" s="1"/>
  <c r="AF25" i="2"/>
  <c r="AK25" i="2"/>
  <c r="AK51" i="2"/>
  <c r="O14" i="2"/>
  <c r="AK14" i="2"/>
  <c r="AC33" i="2"/>
  <c r="AC13" i="2"/>
  <c r="AG25" i="2"/>
  <c r="AG10" i="2"/>
  <c r="AC8" i="2"/>
  <c r="AC10" i="2"/>
  <c r="AC28" i="2"/>
  <c r="AC29" i="2"/>
  <c r="AG46" i="2"/>
  <c r="AC26" i="2"/>
  <c r="AG31" i="2"/>
  <c r="AG47" i="2"/>
  <c r="AG30" i="2"/>
  <c r="AG48" i="2"/>
  <c r="AC6" i="2"/>
  <c r="AC16" i="2"/>
  <c r="AC23" i="2"/>
  <c r="AC32" i="2"/>
  <c r="AG8" i="2"/>
  <c r="AG41" i="2"/>
  <c r="AC20" i="2"/>
  <c r="AG2" i="2"/>
  <c r="AC9" i="2"/>
  <c r="AG40" i="2"/>
  <c r="AC55" i="2"/>
  <c r="AC15" i="2"/>
  <c r="AC21" i="2"/>
  <c r="AG27" i="2"/>
  <c r="AG28" i="2"/>
  <c r="AC18" i="2"/>
  <c r="AG6" i="2"/>
  <c r="AG15" i="2"/>
  <c r="AG38" i="2"/>
  <c r="AG54" i="2"/>
  <c r="AG9" i="2"/>
  <c r="AG36" i="2"/>
  <c r="AG49" i="2"/>
  <c r="AC22" i="2"/>
  <c r="AG51" i="2"/>
  <c r="AC5" i="2"/>
  <c r="AG33" i="2"/>
  <c r="AG13" i="2"/>
  <c r="AG39" i="2"/>
  <c r="AG26" i="2"/>
  <c r="AG55" i="2"/>
  <c r="AG29" i="2"/>
  <c r="AC19" i="2"/>
  <c r="AC25" i="2"/>
  <c r="AG44" i="2"/>
  <c r="AG21" i="2"/>
  <c r="AC30" i="2"/>
  <c r="AG12" i="2"/>
  <c r="AG52" i="2"/>
  <c r="AG23" i="2"/>
  <c r="AG11" i="2"/>
  <c r="AG14" i="2"/>
  <c r="AG16" i="2"/>
  <c r="AF36" i="2"/>
  <c r="AG24" i="2"/>
  <c r="AG32" i="2"/>
  <c r="AG37" i="2"/>
  <c r="AG45" i="2"/>
  <c r="AG3" i="2"/>
  <c r="AG43" i="2"/>
  <c r="AG18" i="2"/>
  <c r="AG19" i="2"/>
  <c r="AG50" i="2"/>
  <c r="AG4" i="2"/>
  <c r="AC52" i="2"/>
  <c r="AG35" i="2"/>
  <c r="AG20" i="2"/>
  <c r="AG34" i="2"/>
  <c r="AF22" i="2"/>
  <c r="AF15" i="2"/>
  <c r="AF34" i="2"/>
  <c r="AF39" i="2"/>
  <c r="AF14" i="2"/>
  <c r="AF26" i="2"/>
  <c r="AF50" i="2"/>
  <c r="AF35" i="2"/>
  <c r="AF45" i="2"/>
  <c r="AF29" i="2"/>
  <c r="AF52" i="2"/>
  <c r="AF18" i="2"/>
  <c r="AF44" i="2"/>
  <c r="AF47" i="2"/>
  <c r="AC36" i="2"/>
  <c r="AF32" i="2"/>
  <c r="AF20" i="2"/>
  <c r="AF53" i="2"/>
  <c r="AF12" i="2"/>
  <c r="AF31" i="2"/>
  <c r="AF40" i="2"/>
  <c r="AC4" i="2"/>
  <c r="AF10" i="2"/>
  <c r="AF3" i="2"/>
  <c r="AF6" i="2"/>
  <c r="AF16" i="2"/>
  <c r="AF42" i="2"/>
  <c r="AF55" i="2"/>
  <c r="AF28" i="2"/>
  <c r="AF19" i="2"/>
  <c r="AF7" i="2"/>
  <c r="AF51" i="2"/>
  <c r="AC44" i="2"/>
  <c r="AF46" i="2"/>
  <c r="AF43" i="2"/>
  <c r="AF13" i="2"/>
  <c r="AF37" i="2"/>
  <c r="AF8" i="2"/>
  <c r="AC48" i="2"/>
  <c r="AF4" i="2"/>
  <c r="AF48" i="2"/>
  <c r="AF24" i="2"/>
  <c r="AF54" i="2"/>
  <c r="AC39" i="2"/>
  <c r="AF11" i="2"/>
  <c r="AC45" i="2"/>
  <c r="AF41" i="2"/>
  <c r="AF49" i="2"/>
  <c r="AF5" i="2"/>
  <c r="AF27" i="2"/>
  <c r="AF2" i="2"/>
  <c r="AF21" i="2"/>
  <c r="AC37" i="2"/>
  <c r="AC54" i="2"/>
  <c r="AC40" i="2"/>
  <c r="AC47" i="2"/>
  <c r="AC2" i="2"/>
  <c r="AC46" i="2"/>
  <c r="AC38" i="2"/>
  <c r="AC42" i="2"/>
  <c r="AC49" i="2"/>
  <c r="AC43" i="2"/>
  <c r="AC50" i="2"/>
  <c r="AC3" i="2"/>
  <c r="S23" i="2" l="1"/>
  <c r="T23" i="2" s="1"/>
  <c r="S42" i="2"/>
  <c r="T42" i="2" s="1"/>
  <c r="S39" i="2"/>
  <c r="T39" i="2" s="1"/>
  <c r="S29" i="2"/>
  <c r="T29" i="2" s="1"/>
  <c r="S51" i="2"/>
  <c r="T51" i="2" s="1"/>
  <c r="U51" i="2"/>
  <c r="V51" i="2" s="1"/>
  <c r="U20" i="2"/>
  <c r="V20" i="2" s="1"/>
  <c r="S52" i="2"/>
  <c r="T52" i="2" s="1"/>
  <c r="U47" i="2"/>
  <c r="V47" i="2" s="1"/>
  <c r="U38" i="2"/>
  <c r="V38" i="2" s="1"/>
  <c r="U52" i="2"/>
  <c r="V52" i="2" s="1"/>
  <c r="S50" i="2"/>
  <c r="T50" i="2" s="1"/>
  <c r="U50" i="2"/>
  <c r="V50" i="2" s="1"/>
  <c r="S2" i="2"/>
  <c r="T2" i="2" s="1"/>
  <c r="S47" i="2"/>
  <c r="T47" i="2" s="1"/>
  <c r="S25" i="2"/>
  <c r="T25" i="2" s="1"/>
  <c r="U44" i="2"/>
  <c r="V44" i="2" s="1"/>
  <c r="S26" i="2"/>
  <c r="T26" i="2" s="1"/>
  <c r="S44" i="2"/>
  <c r="T44" i="2" s="1"/>
  <c r="S55" i="2"/>
  <c r="T55" i="2" s="1"/>
  <c r="U26" i="2"/>
  <c r="V26" i="2" s="1"/>
  <c r="U14" i="2"/>
  <c r="V14" i="2" s="1"/>
  <c r="U13" i="2"/>
  <c r="V13" i="2" s="1"/>
  <c r="U42" i="2"/>
  <c r="V42" i="2" s="1"/>
  <c r="S28" i="2"/>
  <c r="T28" i="2" s="1"/>
  <c r="S45" i="2"/>
  <c r="T45" i="2" s="1"/>
  <c r="U21" i="2"/>
  <c r="V21" i="2" s="1"/>
  <c r="S9" i="2"/>
  <c r="T9" i="2" s="1"/>
  <c r="S17" i="2"/>
  <c r="T17" i="2" s="1"/>
  <c r="U48" i="2"/>
  <c r="V48" i="2" s="1"/>
  <c r="U15" i="2"/>
  <c r="V15" i="2" s="1"/>
  <c r="S35" i="2"/>
  <c r="T35" i="2" s="1"/>
  <c r="S15" i="2"/>
  <c r="T15" i="2" s="1"/>
  <c r="U35" i="2"/>
  <c r="V35" i="2" s="1"/>
  <c r="S22" i="2"/>
  <c r="T22" i="2" s="1"/>
  <c r="S10" i="2"/>
  <c r="T10" i="2" s="1"/>
  <c r="U39" i="2"/>
  <c r="V39" i="2" s="1"/>
  <c r="U54" i="2"/>
  <c r="V54" i="2" s="1"/>
  <c r="U40" i="2"/>
  <c r="V40" i="2" s="1"/>
  <c r="S36" i="2"/>
  <c r="T36" i="2" s="1"/>
  <c r="S5" i="2"/>
  <c r="T5" i="2" s="1"/>
  <c r="S53" i="2"/>
  <c r="T53" i="2" s="1"/>
  <c r="U53" i="2"/>
  <c r="V53" i="2" s="1"/>
  <c r="U11" i="2"/>
  <c r="V11" i="2" s="1"/>
  <c r="U23" i="2"/>
  <c r="V23" i="2" s="1"/>
  <c r="S14" i="2"/>
  <c r="T14" i="2" s="1"/>
  <c r="U22" i="2"/>
  <c r="V22" i="2" s="1"/>
  <c r="S54" i="2"/>
  <c r="T54" i="2" s="1"/>
  <c r="S37" i="2"/>
  <c r="T37" i="2" s="1"/>
  <c r="S43" i="2"/>
  <c r="T43" i="2" s="1"/>
  <c r="U6" i="2"/>
  <c r="V6" i="2" s="1"/>
  <c r="U12" i="2"/>
  <c r="V12" i="2" s="1"/>
  <c r="S49" i="2"/>
  <c r="T49" i="2" s="1"/>
  <c r="S20" i="2"/>
  <c r="T20" i="2" s="1"/>
  <c r="S8" i="2"/>
  <c r="T8" i="2" s="1"/>
  <c r="S34" i="2"/>
  <c r="T34" i="2" s="1"/>
  <c r="U32" i="2"/>
  <c r="V32" i="2" s="1"/>
  <c r="U30" i="2"/>
  <c r="V30" i="2" s="1"/>
  <c r="U45" i="2"/>
  <c r="V45" i="2" s="1"/>
  <c r="U24" i="2"/>
  <c r="V24" i="2" s="1"/>
  <c r="U49" i="2"/>
  <c r="V49" i="2" s="1"/>
  <c r="U46" i="2"/>
  <c r="V46" i="2" s="1"/>
  <c r="S38" i="2"/>
  <c r="T38" i="2" s="1"/>
  <c r="S30" i="2"/>
  <c r="T30" i="2" s="1"/>
  <c r="S46" i="2"/>
  <c r="T46" i="2" s="1"/>
  <c r="S32" i="2"/>
  <c r="T32" i="2" s="1"/>
  <c r="S13" i="2"/>
  <c r="T13" i="2" s="1"/>
  <c r="S11" i="2"/>
  <c r="T11" i="2" s="1"/>
  <c r="U43" i="2"/>
  <c r="V43" i="2" s="1"/>
  <c r="U25" i="2"/>
  <c r="V25" i="2" s="1"/>
  <c r="U10" i="2"/>
  <c r="V10" i="2" s="1"/>
  <c r="U55" i="2"/>
  <c r="V55" i="2" s="1"/>
  <c r="U16" i="2"/>
  <c r="V16" i="2" s="1"/>
  <c r="S40" i="2"/>
  <c r="T40" i="2" s="1"/>
  <c r="S6" i="2"/>
  <c r="T6" i="2" s="1"/>
  <c r="S12" i="2"/>
  <c r="T12" i="2" s="1"/>
  <c r="S31" i="2"/>
  <c r="T31" i="2" s="1"/>
  <c r="U5" i="2"/>
  <c r="V5" i="2" s="1"/>
  <c r="U9" i="2"/>
  <c r="V9" i="2" s="1"/>
  <c r="U4" i="2"/>
  <c r="V4" i="2" s="1"/>
  <c r="U17" i="2"/>
  <c r="V17" i="2" s="1"/>
  <c r="S24" i="2"/>
  <c r="T24" i="2" s="1"/>
  <c r="S33" i="2"/>
  <c r="T33" i="2" s="1"/>
  <c r="S16" i="2"/>
  <c r="T16" i="2" s="1"/>
  <c r="U27" i="2"/>
  <c r="V27" i="2" s="1"/>
  <c r="S48" i="2"/>
  <c r="T48" i="2" s="1"/>
  <c r="S19" i="2"/>
  <c r="T19" i="2" s="1"/>
  <c r="S4" i="2"/>
  <c r="T4" i="2" s="1"/>
  <c r="S18" i="2"/>
  <c r="T18" i="2" s="1"/>
  <c r="S7" i="2"/>
  <c r="T7" i="2" s="1"/>
  <c r="U19" i="2"/>
  <c r="V19" i="2" s="1"/>
  <c r="U18" i="2"/>
  <c r="V18" i="2" s="1"/>
  <c r="U36" i="2"/>
  <c r="V36" i="2" s="1"/>
  <c r="U34" i="2"/>
  <c r="V34" i="2" s="1"/>
  <c r="S27" i="2"/>
  <c r="T27" i="2" s="1"/>
  <c r="U33" i="2"/>
  <c r="V33" i="2" s="1"/>
  <c r="S41" i="2"/>
  <c r="T41" i="2" s="1"/>
  <c r="U31" i="2"/>
  <c r="V31" i="2" s="1"/>
  <c r="U2" i="2"/>
  <c r="V2" i="2" s="1"/>
  <c r="S21" i="2"/>
  <c r="T21" i="2" s="1"/>
  <c r="U37" i="2"/>
  <c r="V37" i="2" s="1"/>
  <c r="U7" i="2"/>
  <c r="V7" i="2" s="1"/>
  <c r="U28" i="2"/>
  <c r="V28" i="2" s="1"/>
  <c r="U29" i="2"/>
  <c r="V29" i="2" s="1"/>
  <c r="U41" i="2"/>
  <c r="V41" i="2" s="1"/>
  <c r="U8" i="2"/>
  <c r="V8" i="2" s="1"/>
  <c r="O3" i="2"/>
  <c r="Q3" i="2" s="1"/>
  <c r="R3" i="2" s="1"/>
  <c r="Q12" i="2"/>
  <c r="R12" i="2" s="1"/>
  <c r="Q39" i="2"/>
  <c r="R39" i="2" s="1"/>
  <c r="Q21" i="2"/>
  <c r="R21" i="2" s="1"/>
  <c r="Q20" i="2"/>
  <c r="R20" i="2" s="1"/>
  <c r="Q40" i="2"/>
  <c r="R40" i="2" s="1"/>
  <c r="Q31" i="2"/>
  <c r="R31" i="2" s="1"/>
  <c r="Q15" i="2"/>
  <c r="R15" i="2" s="1"/>
  <c r="Q38" i="2"/>
  <c r="R38" i="2" s="1"/>
  <c r="Q2" i="2"/>
  <c r="R2" i="2" s="1"/>
  <c r="Q18" i="2"/>
  <c r="R18" i="2" s="1"/>
  <c r="Q37" i="2"/>
  <c r="R37" i="2" s="1"/>
  <c r="Q5" i="2"/>
  <c r="R5" i="2" s="1"/>
  <c r="Q33" i="2"/>
  <c r="R33" i="2" s="1"/>
  <c r="Q53" i="2"/>
  <c r="R53" i="2" s="1"/>
  <c r="Q23" i="2"/>
  <c r="R23" i="2" s="1"/>
  <c r="Q14" i="2"/>
  <c r="R14" i="2" s="1"/>
  <c r="Q36" i="2"/>
  <c r="R36" i="2" s="1"/>
  <c r="Q35" i="2"/>
  <c r="R35" i="2" s="1"/>
  <c r="Q52" i="2"/>
  <c r="R52" i="2" s="1"/>
  <c r="Q9" i="2"/>
  <c r="R9" i="2" s="1"/>
  <c r="Q24" i="2"/>
  <c r="R24" i="2" s="1"/>
  <c r="Q19" i="2"/>
  <c r="R19" i="2" s="1"/>
  <c r="Q48" i="2"/>
  <c r="R48" i="2" s="1"/>
  <c r="Q25" i="2"/>
  <c r="R25" i="2" s="1"/>
  <c r="Q10" i="2"/>
  <c r="R10" i="2" s="1"/>
  <c r="Q34" i="2"/>
  <c r="R34" i="2" s="1"/>
  <c r="Q47" i="2"/>
  <c r="R47" i="2" s="1"/>
  <c r="Q44" i="2"/>
  <c r="R44" i="2" s="1"/>
  <c r="S3" i="2" l="1"/>
  <c r="T3" i="2"/>
  <c r="U3" i="2"/>
  <c r="V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tc={E4126A16-711E-4671-8E52-F94E68859D58}</author>
    <author>tc={A6D1A594-C938-4D66-9116-2E5102546B52}</author>
    <author>tc={B93A0ADE-145F-435C-A103-D175C628F2E8}</author>
    <author>tc={17653EE5-A1BB-4FB8-8A39-D221FF732564}</author>
    <author>tc={A6682985-8080-4C1F-B988-8A3B5CADB598}</author>
    <author>tc={250B85F1-EEF3-4AE0-8749-1F6EFE614B45}</author>
    <author>tc={75EF7597-34F8-48A6-9C32-A9962E582766}</author>
    <author>tc={0D4DD4AD-3093-44CB-A16B-3AD8179A4FFA}</author>
  </authors>
  <commentList>
    <comment ref="D1" authorId="0" shapeId="0" xr:uid="{E4126A16-711E-4671-8E52-F94E68859D58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that estuary surface is not in contributing area</t>
      </text>
    </comment>
    <comment ref="F1" authorId="1" shapeId="0" xr:uid="{A6D1A594-C938-4D66-9116-2E5102546B5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of these include the estuary surface</t>
      </text>
    </comment>
    <comment ref="Q1" authorId="2" shapeId="0" xr:uid="{B93A0ADE-145F-435C-A103-D175C628F2E8}">
      <text>
        <t>[Threaded comment]
Your version of Excel allows you to read this threaded comment; however, any edits to it will get removed if the file is opened in a newer version of Excel. Learn more: https://go.microsoft.com/fwlink/?linkid=870924
Comment:
    (100% Restoration with 50% Reduction Efficiency)</t>
      </text>
    </comment>
    <comment ref="S1" authorId="3" shapeId="0" xr:uid="{17653EE5-A1BB-4FB8-8A39-D221FF732564}">
      <text>
        <t>[Threaded comment]
Your version of Excel allows you to read this threaded comment; however, any edits to it will get removed if the file is opened in a newer version of Excel. Learn more: https://go.microsoft.com/fwlink/?linkid=870924
Comment:
    Marginal HLR Method Load Reduction on Embayment Load TMDL</t>
      </text>
    </comment>
    <comment ref="AB1" authorId="4" shapeId="0" xr:uid="{A6682985-8080-4C1F-B988-8A3B5CADB59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removal efficiency * marginal TN load, where removal efficiency is calculated from a statistical model that takes inputs of marginal HLR, bog surface area, TN concentration
Marginal HLR is lower than absolute HLR, thus higher removal efficiency for marginal TN load estimates</t>
      </text>
    </comment>
    <comment ref="AD1" authorId="5" shapeId="0" xr:uid="{250B85F1-EEF3-4AE0-8749-1F6EFE614B4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includes overlaping contributing areas</t>
      </text>
    </comment>
    <comment ref="F29" authorId="6" shapeId="0" xr:uid="{75EF7597-34F8-48A6-9C32-A9962E582766}">
      <text>
        <t>[Threaded comment]
Your version of Excel allows you to read this threaded comment; however, any edits to it will get removed if the file is opened in a newer version of Excel. Learn more: https://go.microsoft.com/fwlink/?linkid=870924
Comment:
    System total from Table VIII-3 in MEP Report</t>
      </text>
    </comment>
    <comment ref="F51" authorId="7" shapeId="0" xr:uid="{0D4DD4AD-3093-44CB-A16B-3AD8179A4FF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Present total load  from table VIII-3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tc={DD3AF10F-61BA-418F-8464-3F9BEF7DC5C8}</author>
    <author>tc={F9507E54-12B2-41B2-BD2E-F0F018D04D39}</author>
  </authors>
  <commentList>
    <comment ref="E7" authorId="0" shapeId="0" xr:uid="{DD3AF10F-61BA-418F-8464-3F9BEF7DC5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 says 5610 kg yr</t>
      </text>
    </comment>
    <comment ref="E28" authorId="1" shapeId="0" xr:uid="{F9507E54-12B2-41B2-BD2E-F0F018D04D3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chatham</t>
      </text>
    </comment>
  </commentList>
</comments>
</file>

<file path=xl/sharedStrings.xml><?xml version="1.0" encoding="utf-8"?>
<sst xmlns="http://schemas.openxmlformats.org/spreadsheetml/2006/main" count="1952" uniqueCount="216">
  <si>
    <t>EMBAY_NAME</t>
  </si>
  <si>
    <t>bogsurf_area_ha</t>
  </si>
  <si>
    <t>bogshed_area_ha</t>
  </si>
  <si>
    <t>Q_m3d</t>
  </si>
  <si>
    <t>NO3_mgl</t>
  </si>
  <si>
    <t>TN_mgl</t>
  </si>
  <si>
    <t>TN_Load_kgN_y</t>
  </si>
  <si>
    <t>NO3_Load_kgN_y</t>
  </si>
  <si>
    <t>NO3_removal_kgN_y_walton2020_a</t>
  </si>
  <si>
    <t>NO3_removal_kgN_y_walton2020_b</t>
  </si>
  <si>
    <t>NO3_removal_kgN_y_land2016_a</t>
  </si>
  <si>
    <t>Nload_Sept</t>
  </si>
  <si>
    <t>Nload_Fert</t>
  </si>
  <si>
    <t>Nload_Stor</t>
  </si>
  <si>
    <t>Nload_Atmo</t>
  </si>
  <si>
    <t>Nload_Tota</t>
  </si>
  <si>
    <t>Nload_Parc</t>
  </si>
  <si>
    <t>Septic_Tar</t>
  </si>
  <si>
    <t>Total_Targ</t>
  </si>
  <si>
    <t>MEP_Source</t>
  </si>
  <si>
    <t>MEP_Sept_T</t>
  </si>
  <si>
    <t>MEP_Total_</t>
  </si>
  <si>
    <t>MEP_Septic</t>
  </si>
  <si>
    <t>MEP_Tota_1</t>
  </si>
  <si>
    <t>EMBAY_ID</t>
  </si>
  <si>
    <t>Shape_Leng</t>
  </si>
  <si>
    <t>Shape_Area</t>
  </si>
  <si>
    <t>BarnstableHarbor</t>
  </si>
  <si>
    <t>BassRiver</t>
  </si>
  <si>
    <t>BournesPond</t>
  </si>
  <si>
    <t>ButtermilkBay</t>
  </si>
  <si>
    <t>CentervilleRiver</t>
  </si>
  <si>
    <t>GreatPond</t>
  </si>
  <si>
    <t>GreenPond</t>
  </si>
  <si>
    <t>HerringRiverHarwich</t>
  </si>
  <si>
    <t>LewisBay</t>
  </si>
  <si>
    <t>NamskaketCreek</t>
  </si>
  <si>
    <t>ParkersRiver</t>
  </si>
  <si>
    <t>PhinneysHarborEelPondBackRiver</t>
  </si>
  <si>
    <t>PleasantBay</t>
  </si>
  <si>
    <t>PlymouthDuxbury</t>
  </si>
  <si>
    <t>NA</t>
  </si>
  <si>
    <t>PocassetHarbor</t>
  </si>
  <si>
    <t>PopponessetBay</t>
  </si>
  <si>
    <t>SandwichHarbor</t>
  </si>
  <si>
    <t>SaquatucketHarbor</t>
  </si>
  <si>
    <t>ScortonHarbor</t>
  </si>
  <si>
    <t>StageHarbor</t>
  </si>
  <si>
    <t>SulfurSpringsBucksCreek</t>
  </si>
  <si>
    <t>ThreeBays</t>
  </si>
  <si>
    <t>WaquoitBay</t>
  </si>
  <si>
    <t>Wareham</t>
  </si>
  <si>
    <t>WildHarbor</t>
  </si>
  <si>
    <t>WychmereHarbor</t>
  </si>
  <si>
    <t>AllenHarbor</t>
  </si>
  <si>
    <t>BoatMeadowRiver</t>
  </si>
  <si>
    <t>FalmouthInnerHarbor</t>
  </si>
  <si>
    <t>FiddlersCove</t>
  </si>
  <si>
    <t>GreatSippewissettCreek</t>
  </si>
  <si>
    <t>HatchesHarbor</t>
  </si>
  <si>
    <t>HerringRiverEastham</t>
  </si>
  <si>
    <t>LittleNamskaketCreek</t>
  </si>
  <si>
    <t>LittlePond</t>
  </si>
  <si>
    <t>LittleSippewissettMarsh</t>
  </si>
  <si>
    <t>MegansettHarbor</t>
  </si>
  <si>
    <t>NausetMarsh</t>
  </si>
  <si>
    <t>OysterPond</t>
  </si>
  <si>
    <t>PametRiver</t>
  </si>
  <si>
    <t>PocassetRiver</t>
  </si>
  <si>
    <t>ProvincetownHarbor</t>
  </si>
  <si>
    <t>QuissettHarbor</t>
  </si>
  <si>
    <t>QuivettCreek</t>
  </si>
  <si>
    <t>RandHarbor</t>
  </si>
  <si>
    <t>RedRiver</t>
  </si>
  <si>
    <t>RockHarbor</t>
  </si>
  <si>
    <t>RushyMarshPond</t>
  </si>
  <si>
    <t>SaltPond</t>
  </si>
  <si>
    <t>SesuitHarbor</t>
  </si>
  <si>
    <t>SwanPondRiver</t>
  </si>
  <si>
    <t>TaylorsPondMillCreek</t>
  </si>
  <si>
    <t>WellfleetHarbor</t>
  </si>
  <si>
    <t>WestFalmouthHarbor</t>
  </si>
  <si>
    <t>embFID</t>
  </si>
  <si>
    <t>embayshed_area_ha</t>
  </si>
  <si>
    <t>marg_bogshed_area_ha</t>
  </si>
  <si>
    <t>marg_TN_Load_kgN_y</t>
  </si>
  <si>
    <t>marg_NO3_Load_kgN_y</t>
  </si>
  <si>
    <t>marg_NO3_removal_kgN_y_walton2020_a</t>
  </si>
  <si>
    <t>marg_NO3_removal_kgN_y_walton2020_b</t>
  </si>
  <si>
    <t>marg_NO3_removal_kgN_y_land2016_a</t>
  </si>
  <si>
    <t>marg_Q_m3d</t>
  </si>
  <si>
    <t>Bogshed Overlap Factor</t>
  </si>
  <si>
    <t>TN Load Overlap Factor</t>
  </si>
  <si>
    <t>Embayment_NAME_FID</t>
  </si>
  <si>
    <t>Cranberry Bog Surface Area (ha)</t>
  </si>
  <si>
    <t>Embayment Contributing Area (ha)</t>
  </si>
  <si>
    <t>Embayment level hydraulic discharge (m3 d-1) to cranberry bogs</t>
  </si>
  <si>
    <t>Load Reduction Target (kg N y-1)</t>
  </si>
  <si>
    <t>MEP?</t>
  </si>
  <si>
    <t>Embayment Loading Rate (kg N ha-1 y-1)</t>
  </si>
  <si>
    <t>Marginal Load Reduction (kg N y-1)</t>
  </si>
  <si>
    <t xml:space="preserve">Sum of TN Load Reduction for Each bog (kg N y-1) </t>
  </si>
  <si>
    <t>Marginal TN Load (kg N y-1)</t>
  </si>
  <si>
    <t>Total TN Load (kg N y-1)</t>
  </si>
  <si>
    <t>Marginal Reduction Efficiency</t>
  </si>
  <si>
    <t>Total Reduction Efficiency</t>
  </si>
  <si>
    <t>Embayment level marginal hydraulic loading rate to cranberry bogs (m d-1)</t>
  </si>
  <si>
    <t>Embayment level total hydraulic loading to cranberry bogs (m d-1)</t>
  </si>
  <si>
    <t>Load Reduction Target as PCT</t>
  </si>
  <si>
    <t>Nload_Total_CCC</t>
  </si>
  <si>
    <t>watershed attenuated load (kg d)</t>
  </si>
  <si>
    <t>threshold (kg d)</t>
  </si>
  <si>
    <t xml:space="preserve">target percent reduction </t>
  </si>
  <si>
    <t>wastewater (kg y)</t>
  </si>
  <si>
    <t>wwtf</t>
  </si>
  <si>
    <t>total fertilizer</t>
  </si>
  <si>
    <t>impervious</t>
  </si>
  <si>
    <t>waterbodies</t>
  </si>
  <si>
    <t>natural</t>
  </si>
  <si>
    <t>buildout</t>
  </si>
  <si>
    <t>UnAtten N Load (kg y)</t>
  </si>
  <si>
    <t>Atten N Load (kg y)</t>
  </si>
  <si>
    <t>Watershed Controllable Load (kg N y-1)</t>
  </si>
  <si>
    <t>loading rate (kg N ha y-1)</t>
  </si>
  <si>
    <t>Unattenuated + Buildout Load (kg N y)</t>
  </si>
  <si>
    <t>Attenuated + Buildout</t>
  </si>
  <si>
    <t>Embayment Watershed Load (kg N y-1) (Source MEP reports)</t>
  </si>
  <si>
    <t>Cranberry in Embayment</t>
  </si>
  <si>
    <t>Sum of Total Contributing Area Draining to Each Cranberry Bog (ha)</t>
  </si>
  <si>
    <t>S1_M2 (kg N y-1)</t>
  </si>
  <si>
    <t>S1_M2 (%)</t>
  </si>
  <si>
    <t>S1_M1 (%)</t>
  </si>
  <si>
    <t>S1_M1 (kg N y-1)</t>
  </si>
  <si>
    <t>S1_M4 (kg N y-1)</t>
  </si>
  <si>
    <t>S1_M4 (%)</t>
  </si>
  <si>
    <t>S1_M3 (kg N y-1)</t>
  </si>
  <si>
    <t>S1_M3 (%)</t>
  </si>
  <si>
    <t>S1_M5 (kg N y-1)</t>
  </si>
  <si>
    <t>S1_M5 (%)</t>
  </si>
  <si>
    <t>marg_TN_removal_kgN_y_1</t>
  </si>
  <si>
    <t>marg_TN_removal_kgN_y_2</t>
  </si>
  <si>
    <t>marg_TN_removal_kgN_y_3</t>
  </si>
  <si>
    <t>marg_TN_removal_kgN_y_1_MEP</t>
  </si>
  <si>
    <t>marg_TN_removal_kgN_y_2_MEP</t>
  </si>
  <si>
    <t>TN_removal_kgN_y_1</t>
  </si>
  <si>
    <t>TN_removal_kgN_y_2</t>
  </si>
  <si>
    <t>TN_removal_kgN_y_3</t>
  </si>
  <si>
    <t>TN_removal_kgN_y_1_MEP</t>
  </si>
  <si>
    <t>TN_removal_kgN_y_2_MEP</t>
  </si>
  <si>
    <t>marg_TN_Load_kgN_y_MEP</t>
  </si>
  <si>
    <t>TN_Load_kgN_y_MEP</t>
  </si>
  <si>
    <t>bog_count</t>
  </si>
  <si>
    <t>TN_mgl_p25</t>
  </si>
  <si>
    <t>TN_mgl_p50</t>
  </si>
  <si>
    <t>TN_mgl_p75</t>
  </si>
  <si>
    <t>NO3_mgl_p25</t>
  </si>
  <si>
    <t>NO3_mgl_p50</t>
  </si>
  <si>
    <t>NO3_mgl_p75</t>
  </si>
  <si>
    <t>S100</t>
  </si>
  <si>
    <t>CCC_Nload_Total</t>
  </si>
  <si>
    <t>MEP_WAL_kgd</t>
  </si>
  <si>
    <t>MEP_thresh_kgd</t>
  </si>
  <si>
    <t>MEP_reduction_pct</t>
  </si>
  <si>
    <t>septic_kgy</t>
  </si>
  <si>
    <t>wwtf_kgy</t>
  </si>
  <si>
    <t>fertilizer_kgy</t>
  </si>
  <si>
    <t>impervious_kgy</t>
  </si>
  <si>
    <t>water_kgy</t>
  </si>
  <si>
    <t>natural_kgy</t>
  </si>
  <si>
    <t>buildout_kgy</t>
  </si>
  <si>
    <t>unatten_plus_estuary_kgy</t>
  </si>
  <si>
    <t>atten_plus_estuary_kgy</t>
  </si>
  <si>
    <t>atten_kgy</t>
  </si>
  <si>
    <t>loading_rate_kghay</t>
  </si>
  <si>
    <t>unatten_plus_buildout_kgy</t>
  </si>
  <si>
    <t>atten_plus_buildout_kgy</t>
  </si>
  <si>
    <t>LR_kghay_CCC</t>
  </si>
  <si>
    <t>LR_kghay_MEP</t>
  </si>
  <si>
    <t>LR_kghay_MEP_Buildout</t>
  </si>
  <si>
    <t>Bog Count</t>
  </si>
  <si>
    <t>L2: Estimated Load Draining Through Cranberry Bogs (kg N y-1) FROM TMDLs</t>
  </si>
  <si>
    <t xml:space="preserve">L1: Estimated Load Draining Through Cranberry Bogs (kg N y-1) FROM Q * C </t>
  </si>
  <si>
    <t>Less than 10,000</t>
  </si>
  <si>
    <t>All Data</t>
  </si>
  <si>
    <t>Watershed Area Draining to Cranberry Bogs (ha)</t>
  </si>
  <si>
    <t>Embayshed_area_ha</t>
  </si>
  <si>
    <t>marginal_bogshed_area</t>
  </si>
  <si>
    <t>bogshed_as_pct_of_embayshed_area</t>
  </si>
  <si>
    <t>MEP_attenuated_load_kgN_y</t>
  </si>
  <si>
    <t>TN_L2_kgN_y</t>
  </si>
  <si>
    <t>TN_L1_kgN_y</t>
  </si>
  <si>
    <t>Notes</t>
  </si>
  <si>
    <t>Variable</t>
  </si>
  <si>
    <t>bog count</t>
  </si>
  <si>
    <t>"" as percent of embayment watershed area</t>
  </si>
  <si>
    <t>bog surface area (ha)</t>
  </si>
  <si>
    <t>fertilizer load to estuary (kg N y-1)</t>
  </si>
  <si>
    <t>Units</t>
  </si>
  <si>
    <t>ha</t>
  </si>
  <si>
    <t>kg N y-1</t>
  </si>
  <si>
    <t>#</t>
  </si>
  <si>
    <t xml:space="preserve">watershed area draining through bogs </t>
  </si>
  <si>
    <t xml:space="preserve">embayment watershed area </t>
  </si>
  <si>
    <t xml:space="preserve">bog fertilizer application </t>
  </si>
  <si>
    <t xml:space="preserve">TN load (Q x C aka L1) </t>
  </si>
  <si>
    <t xml:space="preserve">TN load (MEP aka L2) </t>
  </si>
  <si>
    <t>embayment watershed nitrogen load</t>
  </si>
  <si>
    <t>from MEP reports</t>
  </si>
  <si>
    <t>Total</t>
  </si>
  <si>
    <t>"" as percent of embayment total</t>
  </si>
  <si>
    <t>"" as % of embayment total</t>
  </si>
  <si>
    <t>not including estuary surface</t>
  </si>
  <si>
    <t xml:space="preserve">area * fertilizer application rate* attenuation in vadose zone * attenuation in aquifer and downstream ecosystems; Assumes 20% of bogs are flow through and application rate of 45.8 kg N ha y-1 </t>
  </si>
  <si>
    <t>marg_TN_removal_kgN_y_3_MEP</t>
  </si>
  <si>
    <t>TN_removal_kgN_y_3_MEP</t>
  </si>
  <si>
    <t>Percent of Watershed Area Draining Through Cranberry Bogs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</si>
</sst>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0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ova"/>
      <family val="2"/>
    </font>
    <font>
      <b/>
      <sz val="13"/>
      <color theme="3"/>
      <name val="Arial Nova"/>
      <family val="2"/>
    </font>
    <font>
      <b/>
      <sz val="11"/>
      <color theme="3"/>
      <name val="Arial Nova"/>
      <family val="2"/>
    </font>
    <font>
      <sz val="10"/>
      <color rgb="FF006100"/>
      <name val="Arial Nova"/>
      <family val="2"/>
    </font>
    <font>
      <sz val="10"/>
      <color rgb="FF9C0006"/>
      <name val="Arial Nova"/>
      <family val="2"/>
    </font>
    <font>
      <sz val="10"/>
      <color rgb="FF9C5700"/>
      <name val="Arial Nova"/>
      <family val="2"/>
    </font>
    <font>
      <sz val="10"/>
      <color rgb="FF3F3F76"/>
      <name val="Arial Nova"/>
      <family val="2"/>
    </font>
    <font>
      <b/>
      <sz val="10"/>
      <color rgb="FF3F3F3F"/>
      <name val="Arial Nova"/>
      <family val="2"/>
    </font>
    <font>
      <b/>
      <sz val="10"/>
      <color rgb="FFFA7D00"/>
      <name val="Arial Nova"/>
      <family val="2"/>
    </font>
    <font>
      <sz val="10"/>
      <color rgb="FFFA7D00"/>
      <name val="Arial Nova"/>
      <family val="2"/>
    </font>
    <font>
      <b/>
      <sz val="10"/>
      <color theme="0"/>
      <name val="Arial Nova"/>
      <family val="2"/>
    </font>
    <font>
      <sz val="10"/>
      <color rgb="FFFF0000"/>
      <name val="Arial Nova"/>
      <family val="2"/>
    </font>
    <font>
      <i/>
      <sz val="10"/>
      <color rgb="FF7F7F7F"/>
      <name val="Arial Nova"/>
      <family val="2"/>
    </font>
    <font>
      <b/>
      <sz val="10"/>
      <color theme="1"/>
      <name val="Arial Nova"/>
      <family val="2"/>
    </font>
    <font>
      <sz val="10"/>
      <color theme="0"/>
      <name val="Arial Nov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wrapText="1"/>
    </xf>
    <xf numFmtId="0" fontId="16" fillId="0" borderId="0" xfId="42" applyNumberFormat="1" applyFont="1" applyFill="1" applyAlignment="1">
      <alignment wrapText="1"/>
    </xf>
    <xf numFmtId="0" fontId="0" fillId="0" borderId="0" xfId="42" applyNumberFormat="1" applyFont="1" applyFill="1"/>
    <xf numFmtId="0" fontId="0" fillId="0" borderId="0" xfId="0" applyAlignment="1">
      <alignment wrapText="1"/>
    </xf>
    <xf numFmtId="0" fontId="0" fillId="0" borderId="0" xfId="42" applyNumberFormat="1" applyFont="1" applyFill="1" applyAlignment="1">
      <alignment wrapText="1"/>
    </xf>
    <xf numFmtId="9" fontId="16" fillId="0" borderId="0" xfId="42" applyFont="1" applyFill="1" applyAlignment="1">
      <alignment wrapText="1"/>
    </xf>
    <xf numFmtId="9" fontId="0" fillId="0" borderId="0" xfId="42" applyFont="1" applyFill="1"/>
    <xf numFmtId="11" fontId="0" fillId="0" borderId="0" xfId="0" applyNumberFormat="1"/>
    <xf numFmtId="2" fontId="0" fillId="0" borderId="0" xfId="0" applyNumberForma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42" applyFont="1" applyAlignment="1">
      <alignment wrapText="1"/>
    </xf>
    <xf numFmtId="9" fontId="0" fillId="0" borderId="0" xfId="42" applyFont="1" applyAlignment="1">
      <alignment wrapText="1"/>
    </xf>
    <xf numFmtId="0" fontId="18" fillId="0" borderId="0" xfId="43"/>
    <xf numFmtId="164" fontId="0" fillId="33" borderId="0" xfId="44" applyNumberFormat="1" applyFont="1" applyFill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19" fillId="0" borderId="0" xfId="0" applyFont="1"/>
    <xf numFmtId="0" fontId="19" fillId="33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11" xfId="0" applyFont="1" applyBorder="1" applyAlignment="1">
      <alignment wrapText="1"/>
    </xf>
    <xf numFmtId="3" fontId="0" fillId="0" borderId="0" xfId="0" applyNumberFormat="1"/>
    <xf numFmtId="0" fontId="16" fillId="0" borderId="0" xfId="0" applyFont="1"/>
    <xf numFmtId="0" fontId="16" fillId="34" borderId="0" xfId="0" applyFont="1" applyFill="1" applyAlignment="1">
      <alignment wrapText="1"/>
    </xf>
    <xf numFmtId="9" fontId="16" fillId="34" borderId="0" xfId="42" applyFont="1" applyFill="1" applyAlignment="1">
      <alignment wrapText="1"/>
    </xf>
    <xf numFmtId="0" fontId="0" fillId="34" borderId="0" xfId="0" applyFill="1" applyAlignment="1">
      <alignment wrapText="1"/>
    </xf>
    <xf numFmtId="9" fontId="0" fillId="34" borderId="0" xfId="42" applyFont="1" applyFill="1" applyAlignment="1">
      <alignment wrapText="1"/>
    </xf>
    <xf numFmtId="2" fontId="16" fillId="0" borderId="0" xfId="42" applyNumberFormat="1" applyFont="1" applyAlignment="1">
      <alignment wrapText="1"/>
    </xf>
    <xf numFmtId="2" fontId="1" fillId="0" borderId="0" xfId="42" applyNumberFormat="1" applyFont="1" applyAlignment="1">
      <alignment wrapText="1"/>
    </xf>
    <xf numFmtId="2" fontId="0" fillId="0" borderId="0" xfId="42" applyNumberFormat="1" applyFont="1" applyAlignment="1">
      <alignment wrapText="1"/>
    </xf>
    <xf numFmtId="10" fontId="0" fillId="0" borderId="0" xfId="0" applyNumberFormat="1"/>
    <xf numFmtId="0" fontId="0" fillId="0" borderId="0" xfId="0" applyAlignment="1">
      <alignment horizontal="center"/>
    </xf>
    <xf numFmtId="0" fontId="16" fillId="35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0" fillId="0" borderId="0" xfId="0" applyAlignment="1">
      <alignment horizontal="center" wrapText="1"/>
    </xf>
    <xf numFmtId="2" fontId="0" fillId="0" borderId="0" xfId="45" applyNumberFormat="1" applyFont="1" applyAlignment="1">
      <alignment horizontal="center"/>
    </xf>
    <xf numFmtId="2" fontId="0" fillId="0" borderId="0" xfId="45" applyNumberFormat="1" applyFont="1" applyAlignment="1">
      <alignment horizontal="center" wrapText="1"/>
    </xf>
    <xf numFmtId="9" fontId="0" fillId="0" borderId="0" xfId="42" applyFont="1" applyAlignment="1">
      <alignment horizontal="center" wrapText="1"/>
    </xf>
    <xf numFmtId="0" fontId="0" fillId="0" borderId="0" xfId="0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F74BDAA-DA5D-4275-9B08-BAACA70E46A0}"/>
    <cellStyle name="Note" xfId="15" builtinId="10" customBuiltin="1"/>
    <cellStyle name="Output" xfId="10" builtinId="21" customBuiltin="1"/>
    <cellStyle name="Percent" xfId="42" builtinId="5"/>
    <cellStyle name="Percent 2" xfId="44" xr:uid="{1436AFF8-44C8-4F7B-BB6C-140A23357F7F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Embaymenbt</a:t>
            </a:r>
            <a:r>
              <a:rPr lang="en-US" baseline="0"/>
              <a:t> </a:t>
            </a:r>
            <a:r>
              <a:rPr lang="en-US"/>
              <a:t>Total Nitrogen Load</a:t>
            </a:r>
          </a:p>
        </c:rich>
      </c:tx>
      <c:layout>
        <c:manualLayout>
          <c:xMode val="edge"/>
          <c:yMode val="edge"/>
          <c:x val="0.41694938529934972"/>
          <c:y val="2.57485477920417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26537967913982"/>
          <c:y val="6.6444228949599143E-2"/>
          <c:w val="0.62058564080057366"/>
          <c:h val="0.851902665623478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master!$C$2:$C$55</c:f>
              <c:strCache>
                <c:ptCount val="54"/>
                <c:pt idx="0">
                  <c:v>AllenHarbor (1)</c:v>
                </c:pt>
                <c:pt idx="1">
                  <c:v>BarnstableHarbor (2)</c:v>
                </c:pt>
                <c:pt idx="2">
                  <c:v>BassRiver (3)</c:v>
                </c:pt>
                <c:pt idx="3">
                  <c:v>BoatMeadowRiver (4)</c:v>
                </c:pt>
                <c:pt idx="4">
                  <c:v>BournesPond (5)</c:v>
                </c:pt>
                <c:pt idx="5">
                  <c:v>ButtermilkBay (6)</c:v>
                </c:pt>
                <c:pt idx="6">
                  <c:v>CentervilleRiver (7)</c:v>
                </c:pt>
                <c:pt idx="7">
                  <c:v>FalmouthInnerHarbor (8)</c:v>
                </c:pt>
                <c:pt idx="8">
                  <c:v>FiddlersCove (9)</c:v>
                </c:pt>
                <c:pt idx="9">
                  <c:v>GreatPond (10)</c:v>
                </c:pt>
                <c:pt idx="10">
                  <c:v>GreatSippewissettCreek (11)</c:v>
                </c:pt>
                <c:pt idx="11">
                  <c:v>GreenPond (12)</c:v>
                </c:pt>
                <c:pt idx="12">
                  <c:v>HatchesHarbor (13)</c:v>
                </c:pt>
                <c:pt idx="13">
                  <c:v>HerringRiverEastham (14)</c:v>
                </c:pt>
                <c:pt idx="14">
                  <c:v>HerringRiverHarwich (15)</c:v>
                </c:pt>
                <c:pt idx="15">
                  <c:v>LewisBay (16)</c:v>
                </c:pt>
                <c:pt idx="16">
                  <c:v>LittleNamskaketCreek (17)</c:v>
                </c:pt>
                <c:pt idx="17">
                  <c:v>LittlePond (18)</c:v>
                </c:pt>
                <c:pt idx="18">
                  <c:v>LittleSippewissettMarsh (19)</c:v>
                </c:pt>
                <c:pt idx="19">
                  <c:v>MegansettHarbor (20)</c:v>
                </c:pt>
                <c:pt idx="20">
                  <c:v>NamskaketCreek (21)</c:v>
                </c:pt>
                <c:pt idx="21">
                  <c:v>NausetMarsh (22)</c:v>
                </c:pt>
                <c:pt idx="22">
                  <c:v>OysterPond (23)</c:v>
                </c:pt>
                <c:pt idx="23">
                  <c:v>PametRiver (24)</c:v>
                </c:pt>
                <c:pt idx="24">
                  <c:v>ParkersRiver (25)</c:v>
                </c:pt>
                <c:pt idx="25">
                  <c:v>PhinneysHarborEelPondBackRiver (26)</c:v>
                </c:pt>
                <c:pt idx="26">
                  <c:v>PleasantBay (27)</c:v>
                </c:pt>
                <c:pt idx="27">
                  <c:v>PlymouthDuxbury (28)</c:v>
                </c:pt>
                <c:pt idx="28">
                  <c:v>PocassetHarbor (29)</c:v>
                </c:pt>
                <c:pt idx="29">
                  <c:v>PocassetRiver (30)</c:v>
                </c:pt>
                <c:pt idx="30">
                  <c:v>PopponessetBay (31)</c:v>
                </c:pt>
                <c:pt idx="31">
                  <c:v>ProvincetownHarbor (32)</c:v>
                </c:pt>
                <c:pt idx="32">
                  <c:v>QuissettHarbor (33)</c:v>
                </c:pt>
                <c:pt idx="33">
                  <c:v>QuivettCreek (34)</c:v>
                </c:pt>
                <c:pt idx="34">
                  <c:v>RandHarbor (35)</c:v>
                </c:pt>
                <c:pt idx="35">
                  <c:v>RedRiver (36)</c:v>
                </c:pt>
                <c:pt idx="36">
                  <c:v>RockHarbor (37)</c:v>
                </c:pt>
                <c:pt idx="37">
                  <c:v>RushyMarshPond (38)</c:v>
                </c:pt>
                <c:pt idx="38">
                  <c:v>SaltPond (39)</c:v>
                </c:pt>
                <c:pt idx="39">
                  <c:v>SandwichHarbor (40)</c:v>
                </c:pt>
                <c:pt idx="40">
                  <c:v>SaquatucketHarbor (41)</c:v>
                </c:pt>
                <c:pt idx="41">
                  <c:v>ScortonHarbor (42)</c:v>
                </c:pt>
                <c:pt idx="42">
                  <c:v>SesuitHarbor (43)</c:v>
                </c:pt>
                <c:pt idx="43">
                  <c:v>StageHarbor (44)</c:v>
                </c:pt>
                <c:pt idx="44">
                  <c:v>SulfurSpringsBucksCreek (45)</c:v>
                </c:pt>
                <c:pt idx="45">
                  <c:v>SwanPondRiver (46)</c:v>
                </c:pt>
                <c:pt idx="46">
                  <c:v>TaylorsPondMillCreek (47)</c:v>
                </c:pt>
                <c:pt idx="47">
                  <c:v>ThreeBays (48)</c:v>
                </c:pt>
                <c:pt idx="48">
                  <c:v>WaquoitBay (49)</c:v>
                </c:pt>
                <c:pt idx="49">
                  <c:v>Wareham (50)</c:v>
                </c:pt>
                <c:pt idx="50">
                  <c:v>WellfleetHarbor (51)</c:v>
                </c:pt>
                <c:pt idx="51">
                  <c:v>WestFalmouthHarbor (52)</c:v>
                </c:pt>
                <c:pt idx="52">
                  <c:v>WildHarbor (53)</c:v>
                </c:pt>
                <c:pt idx="53">
                  <c:v>WychmereHarbor (54)</c:v>
                </c:pt>
              </c:strCache>
            </c:strRef>
          </c:cat>
          <c:val>
            <c:numRef>
              <c:f>master!$F$2:$F$55</c:f>
              <c:numCache>
                <c:formatCode>General</c:formatCode>
                <c:ptCount val="54"/>
                <c:pt idx="0">
                  <c:v>2411.3805000000002</c:v>
                </c:pt>
                <c:pt idx="1">
                  <c:v>66266.211750000002</c:v>
                </c:pt>
                <c:pt idx="2">
                  <c:v>79558.389750000002</c:v>
                </c:pt>
                <c:pt idx="3">
                  <c:v>0</c:v>
                </c:pt>
                <c:pt idx="4">
                  <c:v>5460.4875000000002</c:v>
                </c:pt>
                <c:pt idx="5">
                  <c:v>#N/A</c:v>
                </c:pt>
                <c:pt idx="6">
                  <c:v>45129.559500000003</c:v>
                </c:pt>
                <c:pt idx="7">
                  <c:v>0</c:v>
                </c:pt>
                <c:pt idx="8">
                  <c:v>0</c:v>
                </c:pt>
                <c:pt idx="9">
                  <c:v>19361.9025</c:v>
                </c:pt>
                <c:pt idx="10">
                  <c:v>0</c:v>
                </c:pt>
                <c:pt idx="11">
                  <c:v>8166.99</c:v>
                </c:pt>
                <c:pt idx="12">
                  <c:v>0</c:v>
                </c:pt>
                <c:pt idx="13">
                  <c:v>0</c:v>
                </c:pt>
                <c:pt idx="14">
                  <c:v>22943.544000000002</c:v>
                </c:pt>
                <c:pt idx="15">
                  <c:v>48910.26225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4633.19625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24479.785500000002</c:v>
                </c:pt>
                <c:pt idx="25">
                  <c:v>10702.5555</c:v>
                </c:pt>
                <c:pt idx="26">
                  <c:v>46460.895750000003</c:v>
                </c:pt>
                <c:pt idx="27">
                  <c:v>166082.82750000001</c:v>
                </c:pt>
                <c:pt idx="28">
                  <c:v>#N/A</c:v>
                </c:pt>
                <c:pt idx="29">
                  <c:v>0</c:v>
                </c:pt>
                <c:pt idx="30">
                  <c:v>25242.427500000002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14749.160250000001</c:v>
                </c:pt>
                <c:pt idx="40">
                  <c:v>6298.0057500000003</c:v>
                </c:pt>
                <c:pt idx="41">
                  <c:v>14515.035</c:v>
                </c:pt>
                <c:pt idx="42">
                  <c:v>0</c:v>
                </c:pt>
                <c:pt idx="43">
                  <c:v>10547.32425</c:v>
                </c:pt>
                <c:pt idx="44">
                  <c:v>8957.0257500000007</c:v>
                </c:pt>
                <c:pt idx="45">
                  <c:v>0</c:v>
                </c:pt>
                <c:pt idx="46">
                  <c:v>3936.6645000000003</c:v>
                </c:pt>
                <c:pt idx="47">
                  <c:v>47759.724750000001</c:v>
                </c:pt>
                <c:pt idx="48">
                  <c:v>33188.806499999999</c:v>
                </c:pt>
                <c:pt idx="49">
                  <c:v>47292.57</c:v>
                </c:pt>
                <c:pt idx="50">
                  <c:v>0</c:v>
                </c:pt>
                <c:pt idx="51">
                  <c:v>0</c:v>
                </c:pt>
                <c:pt idx="52">
                  <c:v>8641.0845000000008</c:v>
                </c:pt>
                <c:pt idx="53">
                  <c:v>1412.0564999999999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031-A1F8-73737995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075807"/>
        <c:axId val="872538639"/>
      </c:barChart>
      <c:catAx>
        <c:axId val="86807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38639"/>
        <c:crosses val="autoZero"/>
        <c:auto val="1"/>
        <c:lblAlgn val="ctr"/>
        <c:lblOffset val="100"/>
        <c:noMultiLvlLbl val="0"/>
      </c:catAx>
      <c:valAx>
        <c:axId val="8725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075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1410994188564"/>
          <c:y val="2.3264071157771946E-2"/>
          <c:w val="0.80975469917476173"/>
          <c:h val="0.89812481773111696"/>
        </c:manualLayout>
      </c:layout>
      <c:scatterChart>
        <c:scatterStyle val="lineMarker"/>
        <c:varyColors val="0"/>
        <c:ser>
          <c:idx val="1"/>
          <c:order val="0"/>
          <c:tx>
            <c:v>1:1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plots!$X$3:$X$7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xVal>
          <c:yVal>
            <c:numRef>
              <c:f>plots!$Y$3:$Y$7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70-445F-91A3-A5DC26C200BD}"/>
            </c:ext>
          </c:extLst>
        </c:ser>
        <c:ser>
          <c:idx val="0"/>
          <c:order val="1"/>
          <c:tx>
            <c:strRef>
              <c:f>L1_vs_L2!$A$1</c:f>
              <c:strCache>
                <c:ptCount val="1"/>
                <c:pt idx="0">
                  <c:v>Less than 10,000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1625838436863"/>
                  <c:y val="-0.15152012248468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L1_vs_L2!$C$3:$C$22</c:f>
              <c:numCache>
                <c:formatCode>General</c:formatCode>
                <c:ptCount val="20"/>
                <c:pt idx="0">
                  <c:v>68.689853295639551</c:v>
                </c:pt>
                <c:pt idx="1">
                  <c:v>78.576255450633624</c:v>
                </c:pt>
                <c:pt idx="2">
                  <c:v>205.05385562408597</c:v>
                </c:pt>
                <c:pt idx="3">
                  <c:v>273.53265792838073</c:v>
                </c:pt>
                <c:pt idx="4">
                  <c:v>688.68058443911116</c:v>
                </c:pt>
                <c:pt idx="5">
                  <c:v>1018.3419841580842</c:v>
                </c:pt>
                <c:pt idx="6">
                  <c:v>1340.8342835799615</c:v>
                </c:pt>
                <c:pt idx="7">
                  <c:v>1490.5822206314012</c:v>
                </c:pt>
                <c:pt idx="8">
                  <c:v>1542.5538620962734</c:v>
                </c:pt>
                <c:pt idx="9">
                  <c:v>2269.692389631879</c:v>
                </c:pt>
                <c:pt idx="10">
                  <c:v>2652.5012644415456</c:v>
                </c:pt>
                <c:pt idx="11">
                  <c:v>2735.9909366166135</c:v>
                </c:pt>
                <c:pt idx="12">
                  <c:v>2942.5889792776893</c:v>
                </c:pt>
                <c:pt idx="13">
                  <c:v>3112.0440182418874</c:v>
                </c:pt>
                <c:pt idx="14">
                  <c:v>4099.3259414421918</c:v>
                </c:pt>
                <c:pt idx="15">
                  <c:v>4190.5803266239618</c:v>
                </c:pt>
                <c:pt idx="16">
                  <c:v>4796.4952513685139</c:v>
                </c:pt>
                <c:pt idx="17">
                  <c:v>6790.7307535611035</c:v>
                </c:pt>
                <c:pt idx="18">
                  <c:v>7603.5546336712569</c:v>
                </c:pt>
                <c:pt idx="19">
                  <c:v>8602.8209414846806</c:v>
                </c:pt>
              </c:numCache>
            </c:numRef>
          </c:xVal>
          <c:yVal>
            <c:numRef>
              <c:f>L1_vs_L2!$D$3:$D$22</c:f>
              <c:numCache>
                <c:formatCode>General</c:formatCode>
                <c:ptCount val="20"/>
                <c:pt idx="0">
                  <c:v>39.504651841488403</c:v>
                </c:pt>
                <c:pt idx="1">
                  <c:v>66.398539002716504</c:v>
                </c:pt>
                <c:pt idx="2">
                  <c:v>47.448607039842599</c:v>
                </c:pt>
                <c:pt idx="3">
                  <c:v>194.870834913869</c:v>
                </c:pt>
                <c:pt idx="4">
                  <c:v>370.93770587828698</c:v>
                </c:pt>
                <c:pt idx="5">
                  <c:v>341.59501080920302</c:v>
                </c:pt>
                <c:pt idx="6">
                  <c:v>732.97770490898097</c:v>
                </c:pt>
                <c:pt idx="7">
                  <c:v>1651.0372185204801</c:v>
                </c:pt>
                <c:pt idx="8">
                  <c:v>784.47665140062304</c:v>
                </c:pt>
                <c:pt idx="9">
                  <c:v>1663.91007538028</c:v>
                </c:pt>
                <c:pt idx="10">
                  <c:v>2260.6599947797999</c:v>
                </c:pt>
                <c:pt idx="11">
                  <c:v>2125.3873158361898</c:v>
                </c:pt>
                <c:pt idx="12">
                  <c:v>1787.27052216057</c:v>
                </c:pt>
                <c:pt idx="13">
                  <c:v>2139.76234107249</c:v>
                </c:pt>
                <c:pt idx="14">
                  <c:v>3611.51029056265</c:v>
                </c:pt>
                <c:pt idx="15">
                  <c:v>1615.9004455733</c:v>
                </c:pt>
                <c:pt idx="16">
                  <c:v>2069.53683574759</c:v>
                </c:pt>
                <c:pt idx="17">
                  <c:v>5628.0843959956601</c:v>
                </c:pt>
                <c:pt idx="18">
                  <c:v>6658.76702815504</c:v>
                </c:pt>
                <c:pt idx="19">
                  <c:v>7151.0560869380797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70-445F-91A3-A5DC26C2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517060367455"/>
          <c:y val="2.3264071157771946E-2"/>
          <c:w val="0.7556587197433654"/>
          <c:h val="0.89812481773111696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plots!$X$3:$X$7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xVal>
          <c:yVal>
            <c:numRef>
              <c:f>plots!$Y$3:$Y$7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70-445F-91A3-A5DC26C200BD}"/>
            </c:ext>
          </c:extLst>
        </c:ser>
        <c:ser>
          <c:idx val="0"/>
          <c:order val="1"/>
          <c:tx>
            <c:strRef>
              <c:f>master!$AB$1</c:f>
              <c:strCache>
                <c:ptCount val="1"/>
                <c:pt idx="0">
                  <c:v>Marginal Load Reduction (kg N y-1)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30256103791371"/>
                  <c:y val="-0.3781966445252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master!$O$2:$O$55</c:f>
              <c:numCache>
                <c:formatCode>General</c:formatCode>
                <c:ptCount val="54"/>
                <c:pt idx="0">
                  <c:v>#N/A</c:v>
                </c:pt>
                <c:pt idx="1">
                  <c:v>3289.7771398915834</c:v>
                </c:pt>
                <c:pt idx="2">
                  <c:v>3130.4092799400282</c:v>
                </c:pt>
                <c:pt idx="3">
                  <c:v>#N/A</c:v>
                </c:pt>
                <c:pt idx="4">
                  <c:v>2795.3420941477507</c:v>
                </c:pt>
                <c:pt idx="5">
                  <c:v>#N/A</c:v>
                </c:pt>
                <c:pt idx="6">
                  <c:v>6263.2260946373144</c:v>
                </c:pt>
                <c:pt idx="7">
                  <c:v>#N/A</c:v>
                </c:pt>
                <c:pt idx="8">
                  <c:v>#N/A</c:v>
                </c:pt>
                <c:pt idx="9">
                  <c:v>6738.936381012988</c:v>
                </c:pt>
                <c:pt idx="10">
                  <c:v>#N/A</c:v>
                </c:pt>
                <c:pt idx="11">
                  <c:v>5217.8993464456162</c:v>
                </c:pt>
                <c:pt idx="12">
                  <c:v>#N/A</c:v>
                </c:pt>
                <c:pt idx="13">
                  <c:v>#N/A</c:v>
                </c:pt>
                <c:pt idx="14">
                  <c:v>4434.5049404121683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5.2237023754634704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14840.617746080399</c:v>
                </c:pt>
                <c:pt idx="25">
                  <c:v>770.59450347940958</c:v>
                </c:pt>
                <c:pt idx="26">
                  <c:v>978.16779367268146</c:v>
                </c:pt>
                <c:pt idx="27">
                  <c:v>57314.453187858686</c:v>
                </c:pt>
                <c:pt idx="28">
                  <c:v>#N/A</c:v>
                </c:pt>
                <c:pt idx="29">
                  <c:v>#N/A</c:v>
                </c:pt>
                <c:pt idx="30">
                  <c:v>1373.8082788125512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36.115899138352901</c:v>
                </c:pt>
                <c:pt idx="40">
                  <c:v>4843.2531586021369</c:v>
                </c:pt>
                <c:pt idx="41">
                  <c:v>3234.5505032702426</c:v>
                </c:pt>
                <c:pt idx="42">
                  <c:v>#N/A</c:v>
                </c:pt>
                <c:pt idx="43">
                  <c:v>9.5029571476674271</c:v>
                </c:pt>
                <c:pt idx="44">
                  <c:v>495.9620494706669</c:v>
                </c:pt>
                <c:pt idx="45">
                  <c:v>#N/A</c:v>
                </c:pt>
                <c:pt idx="46">
                  <c:v>#N/A</c:v>
                </c:pt>
                <c:pt idx="47">
                  <c:v>13695.187923128879</c:v>
                </c:pt>
                <c:pt idx="48">
                  <c:v>8284.2487727007865</c:v>
                </c:pt>
                <c:pt idx="49">
                  <c:v>30504.285457671212</c:v>
                </c:pt>
                <c:pt idx="50">
                  <c:v>#N/A</c:v>
                </c:pt>
                <c:pt idx="51">
                  <c:v>#N/A</c:v>
                </c:pt>
                <c:pt idx="52">
                  <c:v>1597.3957430287021</c:v>
                </c:pt>
                <c:pt idx="53">
                  <c:v>228.19983932728169</c:v>
                </c:pt>
              </c:numCache>
            </c:numRef>
          </c:xVal>
          <c:yVal>
            <c:numRef>
              <c:f>master!$P$2:$P$55</c:f>
              <c:numCache>
                <c:formatCode>General</c:formatCode>
                <c:ptCount val="54"/>
                <c:pt idx="0">
                  <c:v>#N/A</c:v>
                </c:pt>
                <c:pt idx="1">
                  <c:v>2504.7579576237699</c:v>
                </c:pt>
                <c:pt idx="2">
                  <c:v>1259.0882834782601</c:v>
                </c:pt>
                <c:pt idx="3">
                  <c:v>#N/A</c:v>
                </c:pt>
                <c:pt idx="4">
                  <c:v>1697.8356676409601</c:v>
                </c:pt>
                <c:pt idx="5">
                  <c:v>6288.1005002097299</c:v>
                </c:pt>
                <c:pt idx="6">
                  <c:v>4449.8636760078098</c:v>
                </c:pt>
                <c:pt idx="7">
                  <c:v>#N/A</c:v>
                </c:pt>
                <c:pt idx="8">
                  <c:v>#N/A</c:v>
                </c:pt>
                <c:pt idx="9">
                  <c:v>5894.8729362168096</c:v>
                </c:pt>
                <c:pt idx="10">
                  <c:v>#N/A</c:v>
                </c:pt>
                <c:pt idx="11">
                  <c:v>2251.3594482578601</c:v>
                </c:pt>
                <c:pt idx="12">
                  <c:v>#N/A</c:v>
                </c:pt>
                <c:pt idx="13">
                  <c:v>#N/A</c:v>
                </c:pt>
                <c:pt idx="14">
                  <c:v>3977.4827172638802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4.5346708905213999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4629.6235197962696</c:v>
                </c:pt>
                <c:pt idx="25">
                  <c:v>412.07792354531603</c:v>
                </c:pt>
                <c:pt idx="26">
                  <c:v>699.94629682514994</c:v>
                </c:pt>
                <c:pt idx="27">
                  <c:v>34239.546149212299</c:v>
                </c:pt>
                <c:pt idx="28">
                  <c:v>2414.8042276698102</c:v>
                </c:pt>
                <c:pt idx="29">
                  <c:v>#N/A</c:v>
                </c:pt>
                <c:pt idx="30">
                  <c:v>1568.3780396592299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26.150464399727799</c:v>
                </c:pt>
                <c:pt idx="40">
                  <c:v>4269.1922687291999</c:v>
                </c:pt>
                <c:pt idx="41">
                  <c:v>2794.8853432749202</c:v>
                </c:pt>
                <c:pt idx="42">
                  <c:v>#N/A</c:v>
                </c:pt>
                <c:pt idx="43">
                  <c:v>5.3711864882028104</c:v>
                </c:pt>
                <c:pt idx="44">
                  <c:v>167.36590842068</c:v>
                </c:pt>
                <c:pt idx="45">
                  <c:v>#N/A</c:v>
                </c:pt>
                <c:pt idx="46">
                  <c:v>#N/A</c:v>
                </c:pt>
                <c:pt idx="47">
                  <c:v>6967.0185441581598</c:v>
                </c:pt>
                <c:pt idx="48">
                  <c:v>6659.2417307837004</c:v>
                </c:pt>
                <c:pt idx="49">
                  <c:v>28334.6748627985</c:v>
                </c:pt>
                <c:pt idx="50">
                  <c:v>#N/A</c:v>
                </c:pt>
                <c:pt idx="51">
                  <c:v>#N/A</c:v>
                </c:pt>
                <c:pt idx="52">
                  <c:v>863.81163895198802</c:v>
                </c:pt>
                <c:pt idx="53">
                  <c:v>52.804491141319197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70-445F-91A3-A5DC26C2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6369203849518"/>
          <c:y val="2.3264071157771946E-2"/>
          <c:w val="0.79041577399324592"/>
          <c:h val="0.89812481773111696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plots!$X$3:$X$7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xVal>
          <c:yVal>
            <c:numRef>
              <c:f>plots!$Y$3:$Y$7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 formatCode="0.00E+00">
                  <c:v>1000</c:v>
                </c:pt>
                <c:pt idx="4" formatCode="0.00E+0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70-445F-91A3-A5DC26C200BD}"/>
            </c:ext>
          </c:extLst>
        </c:ser>
        <c:ser>
          <c:idx val="0"/>
          <c:order val="1"/>
          <c:tx>
            <c:strRef>
              <c:f>master!$AB$1</c:f>
              <c:strCache>
                <c:ptCount val="1"/>
                <c:pt idx="0">
                  <c:v>Marginal Load Reduction (kg N y-1)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L1_vs_L2!$H$3:$H$26</c:f>
              <c:numCache>
                <c:formatCode>General</c:formatCode>
                <c:ptCount val="24"/>
                <c:pt idx="0">
                  <c:v>68.689853295639551</c:v>
                </c:pt>
                <c:pt idx="1">
                  <c:v>78.576255450633624</c:v>
                </c:pt>
                <c:pt idx="2">
                  <c:v>205.05385562408597</c:v>
                </c:pt>
                <c:pt idx="3">
                  <c:v>273.53265792838073</c:v>
                </c:pt>
                <c:pt idx="4">
                  <c:v>688.68058443911116</c:v>
                </c:pt>
                <c:pt idx="5">
                  <c:v>1018.3419841580842</c:v>
                </c:pt>
                <c:pt idx="6">
                  <c:v>1340.8342835799615</c:v>
                </c:pt>
                <c:pt idx="7">
                  <c:v>1490.5822206314012</c:v>
                </c:pt>
                <c:pt idx="8">
                  <c:v>1542.5538620962734</c:v>
                </c:pt>
                <c:pt idx="9">
                  <c:v>2269.692389631879</c:v>
                </c:pt>
                <c:pt idx="10">
                  <c:v>2652.5012644415456</c:v>
                </c:pt>
                <c:pt idx="11">
                  <c:v>2735.9909366166135</c:v>
                </c:pt>
                <c:pt idx="12">
                  <c:v>2942.5889792776893</c:v>
                </c:pt>
                <c:pt idx="13">
                  <c:v>3112.0440182418874</c:v>
                </c:pt>
                <c:pt idx="14">
                  <c:v>4099.3259414421918</c:v>
                </c:pt>
                <c:pt idx="15">
                  <c:v>4190.5803266239618</c:v>
                </c:pt>
                <c:pt idx="16">
                  <c:v>4796.4952513685139</c:v>
                </c:pt>
                <c:pt idx="17">
                  <c:v>6790.7307535611035</c:v>
                </c:pt>
                <c:pt idx="18">
                  <c:v>7603.5546336712569</c:v>
                </c:pt>
                <c:pt idx="19">
                  <c:v>8602.8209414846806</c:v>
                </c:pt>
                <c:pt idx="20">
                  <c:v>14205.323277373833</c:v>
                </c:pt>
                <c:pt idx="21">
                  <c:v>14818.533746407236</c:v>
                </c:pt>
                <c:pt idx="22">
                  <c:v>36664.168751624398</c:v>
                </c:pt>
                <c:pt idx="23">
                  <c:v>72759.481698871736</c:v>
                </c:pt>
              </c:numCache>
            </c:numRef>
          </c:xVal>
          <c:yVal>
            <c:numRef>
              <c:f>L1_vs_L2!$I$3:$I$26</c:f>
              <c:numCache>
                <c:formatCode>General</c:formatCode>
                <c:ptCount val="24"/>
                <c:pt idx="0">
                  <c:v>39.504651841488403</c:v>
                </c:pt>
                <c:pt idx="1">
                  <c:v>66.398539002716504</c:v>
                </c:pt>
                <c:pt idx="2">
                  <c:v>47.448607039842599</c:v>
                </c:pt>
                <c:pt idx="3">
                  <c:v>194.870834913869</c:v>
                </c:pt>
                <c:pt idx="4">
                  <c:v>370.93770587828698</c:v>
                </c:pt>
                <c:pt idx="5">
                  <c:v>341.59501080920302</c:v>
                </c:pt>
                <c:pt idx="6">
                  <c:v>732.97770490898097</c:v>
                </c:pt>
                <c:pt idx="7">
                  <c:v>1651.0372185204801</c:v>
                </c:pt>
                <c:pt idx="8">
                  <c:v>784.47665140062304</c:v>
                </c:pt>
                <c:pt idx="9">
                  <c:v>1663.91007538028</c:v>
                </c:pt>
                <c:pt idx="10">
                  <c:v>2260.6599947797999</c:v>
                </c:pt>
                <c:pt idx="11">
                  <c:v>2125.3873158361898</c:v>
                </c:pt>
                <c:pt idx="12">
                  <c:v>1787.27052216057</c:v>
                </c:pt>
                <c:pt idx="13">
                  <c:v>2139.76234107249</c:v>
                </c:pt>
                <c:pt idx="14">
                  <c:v>3611.51029056265</c:v>
                </c:pt>
                <c:pt idx="15">
                  <c:v>1615.9004455733</c:v>
                </c:pt>
                <c:pt idx="16">
                  <c:v>2069.53683574759</c:v>
                </c:pt>
                <c:pt idx="17">
                  <c:v>5628.0843959956601</c:v>
                </c:pt>
                <c:pt idx="18">
                  <c:v>6658.76702815504</c:v>
                </c:pt>
                <c:pt idx="19">
                  <c:v>7151.0560869380797</c:v>
                </c:pt>
                <c:pt idx="20">
                  <c:v>4451.6023611069504</c:v>
                </c:pt>
                <c:pt idx="21">
                  <c:v>7660.2436684797603</c:v>
                </c:pt>
                <c:pt idx="22">
                  <c:v>33518.681532768103</c:v>
                </c:pt>
                <c:pt idx="23">
                  <c:v>42967.088139857202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70-445F-91A3-A5DC26C2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  <c:max val="9000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  <c:max val="900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Reduction</a:t>
            </a:r>
            <a:r>
              <a:rPr lang="en-US" baseline="0"/>
              <a:t> From Cranberry Wetland Restoration</a:t>
            </a:r>
            <a:endParaRPr lang="en-US"/>
          </a:p>
        </c:rich>
      </c:tx>
      <c:layout>
        <c:manualLayout>
          <c:xMode val="edge"/>
          <c:yMode val="edge"/>
          <c:x val="0.41694938529934972"/>
          <c:y val="2.57485477920417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26537967913982"/>
          <c:y val="6.6444228949599143E-2"/>
          <c:w val="0.62058564080057366"/>
          <c:h val="0.851902665623478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master!$C$2:$C$55</c:f>
              <c:strCache>
                <c:ptCount val="54"/>
                <c:pt idx="0">
                  <c:v>AllenHarbor (1)</c:v>
                </c:pt>
                <c:pt idx="1">
                  <c:v>BarnstableHarbor (2)</c:v>
                </c:pt>
                <c:pt idx="2">
                  <c:v>BassRiver (3)</c:v>
                </c:pt>
                <c:pt idx="3">
                  <c:v>BoatMeadowRiver (4)</c:v>
                </c:pt>
                <c:pt idx="4">
                  <c:v>BournesPond (5)</c:v>
                </c:pt>
                <c:pt idx="5">
                  <c:v>ButtermilkBay (6)</c:v>
                </c:pt>
                <c:pt idx="6">
                  <c:v>CentervilleRiver (7)</c:v>
                </c:pt>
                <c:pt idx="7">
                  <c:v>FalmouthInnerHarbor (8)</c:v>
                </c:pt>
                <c:pt idx="8">
                  <c:v>FiddlersCove (9)</c:v>
                </c:pt>
                <c:pt idx="9">
                  <c:v>GreatPond (10)</c:v>
                </c:pt>
                <c:pt idx="10">
                  <c:v>GreatSippewissettCreek (11)</c:v>
                </c:pt>
                <c:pt idx="11">
                  <c:v>GreenPond (12)</c:v>
                </c:pt>
                <c:pt idx="12">
                  <c:v>HatchesHarbor (13)</c:v>
                </c:pt>
                <c:pt idx="13">
                  <c:v>HerringRiverEastham (14)</c:v>
                </c:pt>
                <c:pt idx="14">
                  <c:v>HerringRiverHarwich (15)</c:v>
                </c:pt>
                <c:pt idx="15">
                  <c:v>LewisBay (16)</c:v>
                </c:pt>
                <c:pt idx="16">
                  <c:v>LittleNamskaketCreek (17)</c:v>
                </c:pt>
                <c:pt idx="17">
                  <c:v>LittlePond (18)</c:v>
                </c:pt>
                <c:pt idx="18">
                  <c:v>LittleSippewissettMarsh (19)</c:v>
                </c:pt>
                <c:pt idx="19">
                  <c:v>MegansettHarbor (20)</c:v>
                </c:pt>
                <c:pt idx="20">
                  <c:v>NamskaketCreek (21)</c:v>
                </c:pt>
                <c:pt idx="21">
                  <c:v>NausetMarsh (22)</c:v>
                </c:pt>
                <c:pt idx="22">
                  <c:v>OysterPond (23)</c:v>
                </c:pt>
                <c:pt idx="23">
                  <c:v>PametRiver (24)</c:v>
                </c:pt>
                <c:pt idx="24">
                  <c:v>ParkersRiver (25)</c:v>
                </c:pt>
                <c:pt idx="25">
                  <c:v>PhinneysHarborEelPondBackRiver (26)</c:v>
                </c:pt>
                <c:pt idx="26">
                  <c:v>PleasantBay (27)</c:v>
                </c:pt>
                <c:pt idx="27">
                  <c:v>PlymouthDuxbury (28)</c:v>
                </c:pt>
                <c:pt idx="28">
                  <c:v>PocassetHarbor (29)</c:v>
                </c:pt>
                <c:pt idx="29">
                  <c:v>PocassetRiver (30)</c:v>
                </c:pt>
                <c:pt idx="30">
                  <c:v>PopponessetBay (31)</c:v>
                </c:pt>
                <c:pt idx="31">
                  <c:v>ProvincetownHarbor (32)</c:v>
                </c:pt>
                <c:pt idx="32">
                  <c:v>QuissettHarbor (33)</c:v>
                </c:pt>
                <c:pt idx="33">
                  <c:v>QuivettCreek (34)</c:v>
                </c:pt>
                <c:pt idx="34">
                  <c:v>RandHarbor (35)</c:v>
                </c:pt>
                <c:pt idx="35">
                  <c:v>RedRiver (36)</c:v>
                </c:pt>
                <c:pt idx="36">
                  <c:v>RockHarbor (37)</c:v>
                </c:pt>
                <c:pt idx="37">
                  <c:v>RushyMarshPond (38)</c:v>
                </c:pt>
                <c:pt idx="38">
                  <c:v>SaltPond (39)</c:v>
                </c:pt>
                <c:pt idx="39">
                  <c:v>SandwichHarbor (40)</c:v>
                </c:pt>
                <c:pt idx="40">
                  <c:v>SaquatucketHarbor (41)</c:v>
                </c:pt>
                <c:pt idx="41">
                  <c:v>ScortonHarbor (42)</c:v>
                </c:pt>
                <c:pt idx="42">
                  <c:v>SesuitHarbor (43)</c:v>
                </c:pt>
                <c:pt idx="43">
                  <c:v>StageHarbor (44)</c:v>
                </c:pt>
                <c:pt idx="44">
                  <c:v>SulfurSpringsBucksCreek (45)</c:v>
                </c:pt>
                <c:pt idx="45">
                  <c:v>SwanPondRiver (46)</c:v>
                </c:pt>
                <c:pt idx="46">
                  <c:v>TaylorsPondMillCreek (47)</c:v>
                </c:pt>
                <c:pt idx="47">
                  <c:v>ThreeBays (48)</c:v>
                </c:pt>
                <c:pt idx="48">
                  <c:v>WaquoitBay (49)</c:v>
                </c:pt>
                <c:pt idx="49">
                  <c:v>Wareham (50)</c:v>
                </c:pt>
                <c:pt idx="50">
                  <c:v>WellfleetHarbor (51)</c:v>
                </c:pt>
                <c:pt idx="51">
                  <c:v>WestFalmouthHarbor (52)</c:v>
                </c:pt>
                <c:pt idx="52">
                  <c:v>WildHarbor (53)</c:v>
                </c:pt>
                <c:pt idx="53">
                  <c:v>WychmereHarbor (54)</c:v>
                </c:pt>
              </c:strCache>
            </c:strRef>
          </c:cat>
          <c:val>
            <c:numRef>
              <c:f>master!$Z$32:$Z$55</c:f>
              <c:numCache>
                <c:formatCode>0%</c:formatCode>
                <c:ptCount val="24"/>
                <c:pt idx="0">
                  <c:v>2.2940345178766979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1.3633318547745794</c:v>
                </c:pt>
                <c:pt idx="10">
                  <c:v>1.8991726071383785</c:v>
                </c:pt>
                <c:pt idx="11">
                  <c:v>1.7502541330420491</c:v>
                </c:pt>
                <c:pt idx="12">
                  <c:v>0</c:v>
                </c:pt>
                <c:pt idx="13">
                  <c:v>1.5552759743780515</c:v>
                </c:pt>
                <c:pt idx="14">
                  <c:v>1.0941131881863797</c:v>
                </c:pt>
                <c:pt idx="15">
                  <c:v>0</c:v>
                </c:pt>
                <c:pt idx="16">
                  <c:v>1.4067746946685449</c:v>
                </c:pt>
                <c:pt idx="17">
                  <c:v>1.7784650235028836</c:v>
                </c:pt>
                <c:pt idx="18">
                  <c:v>2.0538249846375165</c:v>
                </c:pt>
                <c:pt idx="19">
                  <c:v>1.6207197029047058</c:v>
                </c:pt>
                <c:pt idx="20">
                  <c:v>0</c:v>
                </c:pt>
                <c:pt idx="21">
                  <c:v>0</c:v>
                </c:pt>
                <c:pt idx="22">
                  <c:v>1.2656976100627182</c:v>
                </c:pt>
                <c:pt idx="23">
                  <c:v>0.85761440848861226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935-A014-20AD97FF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075807"/>
        <c:axId val="872538639"/>
      </c:barChart>
      <c:catAx>
        <c:axId val="86807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38639"/>
        <c:crosses val="autoZero"/>
        <c:auto val="1"/>
        <c:lblAlgn val="ctr"/>
        <c:lblOffset val="100"/>
        <c:noMultiLvlLbl val="0"/>
      </c:catAx>
      <c:valAx>
        <c:axId val="87253863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075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82924343194965"/>
          <c:y val="0.17957351290684623"/>
          <c:w val="0.67707845985271253"/>
          <c:h val="0.58204264870931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master!$AB$1</c:f>
              <c:strCache>
                <c:ptCount val="1"/>
                <c:pt idx="0">
                  <c:v>Marginal Load Reduction (kg N y-1)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E-408B-AC5D-BDB120FDC7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Plymouth-Duxbury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35E-408B-AC5D-BDB120FDC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9870550161812297E-2"/>
                  <c:y val="-0.200959728518783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1.206x R² = 0.9984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master!$AH$2:$AH$78</c:f>
              <c:numCache>
                <c:formatCode>General</c:formatCode>
                <c:ptCount val="77"/>
                <c:pt idx="0">
                  <c:v>3293</c:v>
                </c:pt>
                <c:pt idx="1">
                  <c:v>89939</c:v>
                </c:pt>
                <c:pt idx="2">
                  <c:v>104186</c:v>
                </c:pt>
                <c:pt idx="3">
                  <c:v>0</c:v>
                </c:pt>
                <c:pt idx="4">
                  <c:v>8787</c:v>
                </c:pt>
                <c:pt idx="5">
                  <c:v>#N/A</c:v>
                </c:pt>
                <c:pt idx="6">
                  <c:v>64852</c:v>
                </c:pt>
                <c:pt idx="7">
                  <c:v>0</c:v>
                </c:pt>
                <c:pt idx="8">
                  <c:v>0</c:v>
                </c:pt>
                <c:pt idx="9">
                  <c:v>34977</c:v>
                </c:pt>
                <c:pt idx="10">
                  <c:v>0</c:v>
                </c:pt>
                <c:pt idx="11">
                  <c:v>12547</c:v>
                </c:pt>
                <c:pt idx="12">
                  <c:v>0</c:v>
                </c:pt>
                <c:pt idx="13">
                  <c:v>0</c:v>
                </c:pt>
                <c:pt idx="14">
                  <c:v>51069</c:v>
                </c:pt>
                <c:pt idx="15">
                  <c:v>79741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12752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41674</c:v>
                </c:pt>
                <c:pt idx="25">
                  <c:v>17913</c:v>
                </c:pt>
                <c:pt idx="26">
                  <c:v>95803</c:v>
                </c:pt>
                <c:pt idx="27">
                  <c:v>295809</c:v>
                </c:pt>
                <c:pt idx="28">
                  <c:v>#N/A</c:v>
                </c:pt>
                <c:pt idx="29">
                  <c:v>0</c:v>
                </c:pt>
                <c:pt idx="30">
                  <c:v>57907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20108</c:v>
                </c:pt>
                <c:pt idx="40">
                  <c:v>11961</c:v>
                </c:pt>
                <c:pt idx="41">
                  <c:v>25405</c:v>
                </c:pt>
                <c:pt idx="42">
                  <c:v>0</c:v>
                </c:pt>
                <c:pt idx="43">
                  <c:v>16404</c:v>
                </c:pt>
                <c:pt idx="44">
                  <c:v>9800</c:v>
                </c:pt>
                <c:pt idx="45">
                  <c:v>0</c:v>
                </c:pt>
                <c:pt idx="46">
                  <c:v>5538</c:v>
                </c:pt>
                <c:pt idx="47">
                  <c:v>84939</c:v>
                </c:pt>
                <c:pt idx="48">
                  <c:v>68164</c:v>
                </c:pt>
                <c:pt idx="49">
                  <c:v>76648</c:v>
                </c:pt>
                <c:pt idx="50">
                  <c:v>0</c:v>
                </c:pt>
                <c:pt idx="51">
                  <c:v>0</c:v>
                </c:pt>
                <c:pt idx="52">
                  <c:v>10937</c:v>
                </c:pt>
                <c:pt idx="53">
                  <c:v>1211</c:v>
                </c:pt>
              </c:numCache>
            </c:numRef>
          </c:xVal>
          <c:yVal>
            <c:numRef>
              <c:f>master!$AB$2:$AB$78</c:f>
              <c:numCache>
                <c:formatCode>General</c:formatCode>
                <c:ptCount val="77"/>
                <c:pt idx="0">
                  <c:v>3006</c:v>
                </c:pt>
                <c:pt idx="1">
                  <c:v>82547</c:v>
                </c:pt>
                <c:pt idx="2">
                  <c:v>92315</c:v>
                </c:pt>
                <c:pt idx="3">
                  <c:v>0</c:v>
                </c:pt>
                <c:pt idx="4">
                  <c:v>7972</c:v>
                </c:pt>
                <c:pt idx="5">
                  <c:v>#N/A</c:v>
                </c:pt>
                <c:pt idx="6">
                  <c:v>51384</c:v>
                </c:pt>
                <c:pt idx="7">
                  <c:v>0</c:v>
                </c:pt>
                <c:pt idx="8">
                  <c:v>0</c:v>
                </c:pt>
                <c:pt idx="9">
                  <c:v>26614</c:v>
                </c:pt>
                <c:pt idx="10">
                  <c:v>0</c:v>
                </c:pt>
                <c:pt idx="11">
                  <c:v>9890</c:v>
                </c:pt>
                <c:pt idx="12">
                  <c:v>0</c:v>
                </c:pt>
                <c:pt idx="13">
                  <c:v>0</c:v>
                </c:pt>
                <c:pt idx="14">
                  <c:v>32893</c:v>
                </c:pt>
                <c:pt idx="15">
                  <c:v>73564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11165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38493</c:v>
                </c:pt>
                <c:pt idx="25">
                  <c:v>17196</c:v>
                </c:pt>
                <c:pt idx="26">
                  <c:v>92637</c:v>
                </c:pt>
                <c:pt idx="27">
                  <c:v>259860</c:v>
                </c:pt>
                <c:pt idx="28">
                  <c:v>#N/A</c:v>
                </c:pt>
                <c:pt idx="29">
                  <c:v>0</c:v>
                </c:pt>
                <c:pt idx="30">
                  <c:v>41279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19164</c:v>
                </c:pt>
                <c:pt idx="40">
                  <c:v>7727</c:v>
                </c:pt>
                <c:pt idx="41">
                  <c:v>20816</c:v>
                </c:pt>
                <c:pt idx="42">
                  <c:v>0</c:v>
                </c:pt>
                <c:pt idx="43">
                  <c:v>16171</c:v>
                </c:pt>
                <c:pt idx="44">
                  <c:v>9668</c:v>
                </c:pt>
                <c:pt idx="45">
                  <c:v>0</c:v>
                </c:pt>
                <c:pt idx="46">
                  <c:v>5334</c:v>
                </c:pt>
                <c:pt idx="47">
                  <c:v>65029</c:v>
                </c:pt>
                <c:pt idx="48">
                  <c:v>60078</c:v>
                </c:pt>
                <c:pt idx="49">
                  <c:v>73183</c:v>
                </c:pt>
                <c:pt idx="50">
                  <c:v>0</c:v>
                </c:pt>
                <c:pt idx="51">
                  <c:v>0</c:v>
                </c:pt>
                <c:pt idx="52">
                  <c:v>9745</c:v>
                </c:pt>
                <c:pt idx="53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8-4AF6-8997-42091D9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Sum of TN Load Reduction</a:t>
                </a:r>
                <a:r>
                  <a:rPr lang="en-US" baseline="0"/>
                  <a:t> For Each Bog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Sum of Marginal Load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82924343194965"/>
          <c:y val="0.17957351290684623"/>
          <c:w val="0.67707845985271253"/>
          <c:h val="0.58204264870931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master!$AB$1</c:f>
              <c:strCache>
                <c:ptCount val="1"/>
                <c:pt idx="0">
                  <c:v>Marginal Load Reduction (kg N y-1)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5324128336194407"/>
                  <c:y val="3.58134124873946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Buttermilk Bay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40B-49BD-901F-2E8AD2906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6199322172107124E-2"/>
                  <c:y val="-0.2018726194579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master!$O$2:$O$78</c:f>
              <c:numCache>
                <c:formatCode>General</c:formatCode>
                <c:ptCount val="77"/>
                <c:pt idx="0">
                  <c:v>#N/A</c:v>
                </c:pt>
                <c:pt idx="1">
                  <c:v>3289.7771398915834</c:v>
                </c:pt>
                <c:pt idx="2">
                  <c:v>3130.4092799400282</c:v>
                </c:pt>
                <c:pt idx="3">
                  <c:v>#N/A</c:v>
                </c:pt>
                <c:pt idx="4">
                  <c:v>2795.3420941477507</c:v>
                </c:pt>
                <c:pt idx="5">
                  <c:v>#N/A</c:v>
                </c:pt>
                <c:pt idx="6">
                  <c:v>6263.2260946373144</c:v>
                </c:pt>
                <c:pt idx="7">
                  <c:v>#N/A</c:v>
                </c:pt>
                <c:pt idx="8">
                  <c:v>#N/A</c:v>
                </c:pt>
                <c:pt idx="9">
                  <c:v>6738.936381012988</c:v>
                </c:pt>
                <c:pt idx="10">
                  <c:v>#N/A</c:v>
                </c:pt>
                <c:pt idx="11">
                  <c:v>5217.8993464456162</c:v>
                </c:pt>
                <c:pt idx="12">
                  <c:v>#N/A</c:v>
                </c:pt>
                <c:pt idx="13">
                  <c:v>#N/A</c:v>
                </c:pt>
                <c:pt idx="14">
                  <c:v>4434.5049404121683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5.2237023754634704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14840.617746080399</c:v>
                </c:pt>
                <c:pt idx="25">
                  <c:v>770.59450347940958</c:v>
                </c:pt>
                <c:pt idx="26">
                  <c:v>978.16779367268146</c:v>
                </c:pt>
                <c:pt idx="27">
                  <c:v>57314.453187858686</c:v>
                </c:pt>
                <c:pt idx="28">
                  <c:v>#N/A</c:v>
                </c:pt>
                <c:pt idx="29">
                  <c:v>#N/A</c:v>
                </c:pt>
                <c:pt idx="30">
                  <c:v>1373.8082788125512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36.115899138352901</c:v>
                </c:pt>
                <c:pt idx="40">
                  <c:v>4843.2531586021369</c:v>
                </c:pt>
                <c:pt idx="41">
                  <c:v>3234.5505032702426</c:v>
                </c:pt>
                <c:pt idx="42">
                  <c:v>#N/A</c:v>
                </c:pt>
                <c:pt idx="43">
                  <c:v>9.5029571476674271</c:v>
                </c:pt>
                <c:pt idx="44">
                  <c:v>495.9620494706669</c:v>
                </c:pt>
                <c:pt idx="45">
                  <c:v>#N/A</c:v>
                </c:pt>
                <c:pt idx="46">
                  <c:v>#N/A</c:v>
                </c:pt>
                <c:pt idx="47">
                  <c:v>13695.187923128879</c:v>
                </c:pt>
                <c:pt idx="48">
                  <c:v>8284.2487727007865</c:v>
                </c:pt>
                <c:pt idx="49">
                  <c:v>30504.285457671212</c:v>
                </c:pt>
                <c:pt idx="50">
                  <c:v>#N/A</c:v>
                </c:pt>
                <c:pt idx="51">
                  <c:v>#N/A</c:v>
                </c:pt>
                <c:pt idx="52">
                  <c:v>1597.3957430287021</c:v>
                </c:pt>
                <c:pt idx="53">
                  <c:v>228.19983932728169</c:v>
                </c:pt>
              </c:numCache>
            </c:numRef>
          </c:xVal>
          <c:yVal>
            <c:numRef>
              <c:f>master!$AA$2:$AA$78</c:f>
              <c:numCache>
                <c:formatCode>General</c:formatCode>
                <c:ptCount val="77"/>
                <c:pt idx="0">
                  <c:v>2411.3805000000002</c:v>
                </c:pt>
                <c:pt idx="1">
                  <c:v>66266.211750000002</c:v>
                </c:pt>
                <c:pt idx="2">
                  <c:v>79558.389750000002</c:v>
                </c:pt>
                <c:pt idx="3">
                  <c:v>0</c:v>
                </c:pt>
                <c:pt idx="4">
                  <c:v>5460.4875000000002</c:v>
                </c:pt>
                <c:pt idx="5">
                  <c:v>3502.7999999999902</c:v>
                </c:pt>
                <c:pt idx="6">
                  <c:v>45129.559500000003</c:v>
                </c:pt>
                <c:pt idx="7">
                  <c:v>0</c:v>
                </c:pt>
                <c:pt idx="8">
                  <c:v>0</c:v>
                </c:pt>
                <c:pt idx="9">
                  <c:v>19361.9025</c:v>
                </c:pt>
                <c:pt idx="10">
                  <c:v>0</c:v>
                </c:pt>
                <c:pt idx="11">
                  <c:v>8166.99</c:v>
                </c:pt>
                <c:pt idx="12">
                  <c:v>0</c:v>
                </c:pt>
                <c:pt idx="13">
                  <c:v>0</c:v>
                </c:pt>
                <c:pt idx="14">
                  <c:v>22943.544000000002</c:v>
                </c:pt>
                <c:pt idx="15">
                  <c:v>48910.26225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4633.19625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24479.785500000002</c:v>
                </c:pt>
                <c:pt idx="25">
                  <c:v>10702.5555</c:v>
                </c:pt>
                <c:pt idx="26">
                  <c:v>46460.895750000003</c:v>
                </c:pt>
                <c:pt idx="27">
                  <c:v>166082.82750000001</c:v>
                </c:pt>
                <c:pt idx="28">
                  <c:v>8884.7999999999993</c:v>
                </c:pt>
                <c:pt idx="29">
                  <c:v>0</c:v>
                </c:pt>
                <c:pt idx="30">
                  <c:v>25242.427500000002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14749.160250000001</c:v>
                </c:pt>
                <c:pt idx="40">
                  <c:v>6298.0057500000003</c:v>
                </c:pt>
                <c:pt idx="41">
                  <c:v>14515.035</c:v>
                </c:pt>
                <c:pt idx="42">
                  <c:v>0</c:v>
                </c:pt>
                <c:pt idx="43">
                  <c:v>10547.32425</c:v>
                </c:pt>
                <c:pt idx="44">
                  <c:v>8957.0257500000007</c:v>
                </c:pt>
                <c:pt idx="45">
                  <c:v>0</c:v>
                </c:pt>
                <c:pt idx="46">
                  <c:v>3936.6644999999999</c:v>
                </c:pt>
                <c:pt idx="47">
                  <c:v>47759.724750000001</c:v>
                </c:pt>
                <c:pt idx="48">
                  <c:v>33188.806499999999</c:v>
                </c:pt>
                <c:pt idx="49">
                  <c:v>47292.57</c:v>
                </c:pt>
                <c:pt idx="50">
                  <c:v>0</c:v>
                </c:pt>
                <c:pt idx="51">
                  <c:v>0</c:v>
                </c:pt>
                <c:pt idx="52">
                  <c:v>8641.0845000000008</c:v>
                </c:pt>
                <c:pt idx="53">
                  <c:v>1412.0564999999999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8-4AF6-8997-42091D9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Unattenuated Watersehd Load From Contributing Area and TMDL Models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71197411003236"/>
              <c:y val="0.85409652076318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Sum of Marginal Load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82924343194965"/>
          <c:y val="0.17957351290684623"/>
          <c:w val="0.67707845985271253"/>
          <c:h val="0.58204264870931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master!$AB$1</c:f>
              <c:strCache>
                <c:ptCount val="1"/>
                <c:pt idx="0">
                  <c:v>Marginal Load Reduction (kg N y-1)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7148955651435324E-2"/>
                  <c:y val="-0.177029252217339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Buttermilk Bay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40B-49BD-901F-2E8AD2906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28233835114081"/>
                  <c:y val="-0.19105494074326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master!$O$2:$O$78</c:f>
              <c:numCache>
                <c:formatCode>General</c:formatCode>
                <c:ptCount val="77"/>
                <c:pt idx="0">
                  <c:v>#N/A</c:v>
                </c:pt>
                <c:pt idx="1">
                  <c:v>3289.7771398915834</c:v>
                </c:pt>
                <c:pt idx="2">
                  <c:v>3130.4092799400282</c:v>
                </c:pt>
                <c:pt idx="3">
                  <c:v>#N/A</c:v>
                </c:pt>
                <c:pt idx="4">
                  <c:v>2795.3420941477507</c:v>
                </c:pt>
                <c:pt idx="5">
                  <c:v>#N/A</c:v>
                </c:pt>
                <c:pt idx="6">
                  <c:v>6263.2260946373144</c:v>
                </c:pt>
                <c:pt idx="7">
                  <c:v>#N/A</c:v>
                </c:pt>
                <c:pt idx="8">
                  <c:v>#N/A</c:v>
                </c:pt>
                <c:pt idx="9">
                  <c:v>6738.936381012988</c:v>
                </c:pt>
                <c:pt idx="10">
                  <c:v>#N/A</c:v>
                </c:pt>
                <c:pt idx="11">
                  <c:v>5217.8993464456162</c:v>
                </c:pt>
                <c:pt idx="12">
                  <c:v>#N/A</c:v>
                </c:pt>
                <c:pt idx="13">
                  <c:v>#N/A</c:v>
                </c:pt>
                <c:pt idx="14">
                  <c:v>4434.5049404121683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5.2237023754634704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14840.617746080399</c:v>
                </c:pt>
                <c:pt idx="25">
                  <c:v>770.59450347940958</c:v>
                </c:pt>
                <c:pt idx="26">
                  <c:v>978.16779367268146</c:v>
                </c:pt>
                <c:pt idx="27">
                  <c:v>57314.453187858686</c:v>
                </c:pt>
                <c:pt idx="28">
                  <c:v>#N/A</c:v>
                </c:pt>
                <c:pt idx="29">
                  <c:v>#N/A</c:v>
                </c:pt>
                <c:pt idx="30">
                  <c:v>1373.8082788125512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36.115899138352901</c:v>
                </c:pt>
                <c:pt idx="40">
                  <c:v>4843.2531586021369</c:v>
                </c:pt>
                <c:pt idx="41">
                  <c:v>3234.5505032702426</c:v>
                </c:pt>
                <c:pt idx="42">
                  <c:v>#N/A</c:v>
                </c:pt>
                <c:pt idx="43">
                  <c:v>9.5029571476674271</c:v>
                </c:pt>
                <c:pt idx="44">
                  <c:v>495.9620494706669</c:v>
                </c:pt>
                <c:pt idx="45">
                  <c:v>#N/A</c:v>
                </c:pt>
                <c:pt idx="46">
                  <c:v>#N/A</c:v>
                </c:pt>
                <c:pt idx="47">
                  <c:v>13695.187923128879</c:v>
                </c:pt>
                <c:pt idx="48">
                  <c:v>8284.2487727007865</c:v>
                </c:pt>
                <c:pt idx="49">
                  <c:v>30504.285457671212</c:v>
                </c:pt>
                <c:pt idx="50">
                  <c:v>#N/A</c:v>
                </c:pt>
                <c:pt idx="51">
                  <c:v>#N/A</c:v>
                </c:pt>
                <c:pt idx="52">
                  <c:v>1597.3957430287021</c:v>
                </c:pt>
                <c:pt idx="53">
                  <c:v>228.19983932728169</c:v>
                </c:pt>
              </c:numCache>
            </c:numRef>
          </c:xVal>
          <c:yVal>
            <c:numRef>
              <c:f>master!$P$2:$P$78</c:f>
              <c:numCache>
                <c:formatCode>General</c:formatCode>
                <c:ptCount val="77"/>
                <c:pt idx="0">
                  <c:v>#N/A</c:v>
                </c:pt>
                <c:pt idx="1">
                  <c:v>2504.7579576237699</c:v>
                </c:pt>
                <c:pt idx="2">
                  <c:v>1259.0882834782601</c:v>
                </c:pt>
                <c:pt idx="3">
                  <c:v>#N/A</c:v>
                </c:pt>
                <c:pt idx="4">
                  <c:v>1697.8356676409601</c:v>
                </c:pt>
                <c:pt idx="5">
                  <c:v>6288.1005002097299</c:v>
                </c:pt>
                <c:pt idx="6">
                  <c:v>4449.8636760078098</c:v>
                </c:pt>
                <c:pt idx="7">
                  <c:v>#N/A</c:v>
                </c:pt>
                <c:pt idx="8">
                  <c:v>#N/A</c:v>
                </c:pt>
                <c:pt idx="9">
                  <c:v>5894.8729362168096</c:v>
                </c:pt>
                <c:pt idx="10">
                  <c:v>#N/A</c:v>
                </c:pt>
                <c:pt idx="11">
                  <c:v>2251.3594482578601</c:v>
                </c:pt>
                <c:pt idx="12">
                  <c:v>#N/A</c:v>
                </c:pt>
                <c:pt idx="13">
                  <c:v>#N/A</c:v>
                </c:pt>
                <c:pt idx="14">
                  <c:v>3977.4827172638802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4.5346708905213999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4629.6235197962696</c:v>
                </c:pt>
                <c:pt idx="25">
                  <c:v>412.07792354531603</c:v>
                </c:pt>
                <c:pt idx="26">
                  <c:v>699.94629682514994</c:v>
                </c:pt>
                <c:pt idx="27">
                  <c:v>34239.546149212299</c:v>
                </c:pt>
                <c:pt idx="28">
                  <c:v>2414.8042276698102</c:v>
                </c:pt>
                <c:pt idx="29">
                  <c:v>#N/A</c:v>
                </c:pt>
                <c:pt idx="30">
                  <c:v>1568.3780396592299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26.150464399727799</c:v>
                </c:pt>
                <c:pt idx="40">
                  <c:v>4269.1922687291999</c:v>
                </c:pt>
                <c:pt idx="41">
                  <c:v>2794.8853432749202</c:v>
                </c:pt>
                <c:pt idx="42">
                  <c:v>#N/A</c:v>
                </c:pt>
                <c:pt idx="43">
                  <c:v>5.3711864882028104</c:v>
                </c:pt>
                <c:pt idx="44">
                  <c:v>167.36590842068</c:v>
                </c:pt>
                <c:pt idx="45">
                  <c:v>#N/A</c:v>
                </c:pt>
                <c:pt idx="46">
                  <c:v>#N/A</c:v>
                </c:pt>
                <c:pt idx="47">
                  <c:v>6967.0185441581598</c:v>
                </c:pt>
                <c:pt idx="48">
                  <c:v>6659.2417307837004</c:v>
                </c:pt>
                <c:pt idx="49">
                  <c:v>28334.6748627985</c:v>
                </c:pt>
                <c:pt idx="50">
                  <c:v>#N/A</c:v>
                </c:pt>
                <c:pt idx="51">
                  <c:v>#N/A</c:v>
                </c:pt>
                <c:pt idx="52">
                  <c:v>863.81163895198802</c:v>
                </c:pt>
                <c:pt idx="53">
                  <c:v>52.804491141319197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8-4AF6-8997-42091D9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Unattenuated Watersehd Load From Contributing Area and TMDL Models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71197411003236"/>
              <c:y val="0.85409652076318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Sum of Marginal Load </a:t>
                </a:r>
              </a:p>
            </c:rich>
          </c:tx>
          <c:layout>
            <c:manualLayout>
              <c:xMode val="edge"/>
              <c:yMode val="edge"/>
              <c:x val="5.7123689135270647E-2"/>
              <c:y val="0.17454846562631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749002085617"/>
          <c:y val="2.7490529642198381E-2"/>
          <c:w val="0.85205950598040947"/>
          <c:h val="0.879616826351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master!$AC$1</c:f>
              <c:strCache>
                <c:ptCount val="1"/>
                <c:pt idx="0">
                  <c:v>Marginal Reduction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7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E-408B-AC5D-BDB120FDC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master!$AK$2:$AK$100</c:f>
              <c:numCache>
                <c:formatCode>General</c:formatCode>
                <c:ptCount val="99"/>
                <c:pt idx="0">
                  <c:v>#N/A</c:v>
                </c:pt>
                <c:pt idx="1">
                  <c:v>4.3753304756919208E-2</c:v>
                </c:pt>
                <c:pt idx="2">
                  <c:v>1.4812516839786431E-2</c:v>
                </c:pt>
                <c:pt idx="3">
                  <c:v>#N/A</c:v>
                </c:pt>
                <c:pt idx="4">
                  <c:v>6.7081123858212507E-2</c:v>
                </c:pt>
                <c:pt idx="5">
                  <c:v>2.752965279958457E-2</c:v>
                </c:pt>
                <c:pt idx="6">
                  <c:v>5.1829276409856274E-2</c:v>
                </c:pt>
                <c:pt idx="7">
                  <c:v>#N/A</c:v>
                </c:pt>
                <c:pt idx="8">
                  <c:v>#N/A</c:v>
                </c:pt>
                <c:pt idx="9">
                  <c:v>0.15615732328354401</c:v>
                </c:pt>
                <c:pt idx="10">
                  <c:v>#N/A</c:v>
                </c:pt>
                <c:pt idx="11">
                  <c:v>3.258425726572213E-2</c:v>
                </c:pt>
                <c:pt idx="12">
                  <c:v>#N/A</c:v>
                </c:pt>
                <c:pt idx="13">
                  <c:v>#N/A</c:v>
                </c:pt>
                <c:pt idx="14">
                  <c:v>2.5933662779680275E-2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8.025436795894359E-4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5.2549708612948616E-2</c:v>
                </c:pt>
                <c:pt idx="25">
                  <c:v>2.044976843048682E-2</c:v>
                </c:pt>
                <c:pt idx="26">
                  <c:v>3.3430620850681769E-2</c:v>
                </c:pt>
                <c:pt idx="27">
                  <c:v>3.4452098391154339E-2</c:v>
                </c:pt>
                <c:pt idx="28">
                  <c:v>5.2733247432210001E-2</c:v>
                </c:pt>
                <c:pt idx="29">
                  <c:v>#N/A</c:v>
                </c:pt>
                <c:pt idx="30">
                  <c:v>3.4662594212391179E-2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3.4934842636490616E-3</c:v>
                </c:pt>
                <c:pt idx="40">
                  <c:v>7.3559390403731842E-2</c:v>
                </c:pt>
                <c:pt idx="41">
                  <c:v>5.2592357027615548E-2</c:v>
                </c:pt>
                <c:pt idx="42">
                  <c:v>#N/A</c:v>
                </c:pt>
                <c:pt idx="43">
                  <c:v>9.811740654227677E-4</c:v>
                </c:pt>
                <c:pt idx="44">
                  <c:v>8.8908000606919384E-3</c:v>
                </c:pt>
                <c:pt idx="45">
                  <c:v>#N/A</c:v>
                </c:pt>
                <c:pt idx="46">
                  <c:v>#N/A</c:v>
                </c:pt>
                <c:pt idx="47">
                  <c:v>4.0681649785090306E-2</c:v>
                </c:pt>
                <c:pt idx="48">
                  <c:v>0.15392728130550279</c:v>
                </c:pt>
                <c:pt idx="49">
                  <c:v>2.268475800995726E-2</c:v>
                </c:pt>
                <c:pt idx="50">
                  <c:v>#N/A</c:v>
                </c:pt>
                <c:pt idx="51">
                  <c:v>#N/A</c:v>
                </c:pt>
                <c:pt idx="52">
                  <c:v>6.6066477851515995E-2</c:v>
                </c:pt>
                <c:pt idx="53">
                  <c:v>4.6682586876073927E-3</c:v>
                </c:pt>
              </c:numCache>
            </c:numRef>
          </c:xVal>
          <c:yVal>
            <c:numRef>
              <c:f>master!$AC$2:$AC$100</c:f>
              <c:numCache>
                <c:formatCode>0%</c:formatCode>
                <c:ptCount val="99"/>
                <c:pt idx="0">
                  <c:v>1.2465888315842315</c:v>
                </c:pt>
                <c:pt idx="1">
                  <c:v>1.2456876260170402</c:v>
                </c:pt>
                <c:pt idx="2">
                  <c:v>1.160342740597009</c:v>
                </c:pt>
                <c:pt idx="3">
                  <c:v>0</c:v>
                </c:pt>
                <c:pt idx="4">
                  <c:v>1.4599429080279005</c:v>
                </c:pt>
                <c:pt idx="5">
                  <c:v>#N/A</c:v>
                </c:pt>
                <c:pt idx="6">
                  <c:v>1.1385885563540676</c:v>
                </c:pt>
                <c:pt idx="7">
                  <c:v>0</c:v>
                </c:pt>
                <c:pt idx="8">
                  <c:v>0</c:v>
                </c:pt>
                <c:pt idx="9">
                  <c:v>1.3745550056354225</c:v>
                </c:pt>
                <c:pt idx="10">
                  <c:v>0</c:v>
                </c:pt>
                <c:pt idx="11">
                  <c:v>1.2109724635391987</c:v>
                </c:pt>
                <c:pt idx="12">
                  <c:v>0</c:v>
                </c:pt>
                <c:pt idx="13">
                  <c:v>0</c:v>
                </c:pt>
                <c:pt idx="14">
                  <c:v>1.4336494832707622</c:v>
                </c:pt>
                <c:pt idx="15">
                  <c:v>1.5040606330014106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2.4097835268687358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1.5724402487105125</c:v>
                </c:pt>
                <c:pt idx="25">
                  <c:v>1.6067190681702141</c:v>
                </c:pt>
                <c:pt idx="26">
                  <c:v>1.9938702968291349</c:v>
                </c:pt>
                <c:pt idx="27">
                  <c:v>1.564640992157964</c:v>
                </c:pt>
                <c:pt idx="28">
                  <c:v>#N/A</c:v>
                </c:pt>
                <c:pt idx="29">
                  <c:v>0</c:v>
                </c:pt>
                <c:pt idx="30">
                  <c:v>1.6353023099699899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1.2993282109061091</c:v>
                </c:pt>
                <c:pt idx="40">
                  <c:v>1.2268963076129296</c:v>
                </c:pt>
                <c:pt idx="41">
                  <c:v>1.4340991943870613</c:v>
                </c:pt>
                <c:pt idx="42">
                  <c:v>0</c:v>
                </c:pt>
                <c:pt idx="43">
                  <c:v>1.5331850635008211</c:v>
                </c:pt>
                <c:pt idx="44">
                  <c:v>1.0793761534067265</c:v>
                </c:pt>
                <c:pt idx="45">
                  <c:v>0</c:v>
                </c:pt>
                <c:pt idx="46">
                  <c:v>1.3549541750382843</c:v>
                </c:pt>
                <c:pt idx="47">
                  <c:v>1.361586574051602</c:v>
                </c:pt>
                <c:pt idx="48">
                  <c:v>1.8101886248907444</c:v>
                </c:pt>
                <c:pt idx="49">
                  <c:v>1.5474523799404432</c:v>
                </c:pt>
                <c:pt idx="50">
                  <c:v>0</c:v>
                </c:pt>
                <c:pt idx="51">
                  <c:v>0</c:v>
                </c:pt>
                <c:pt idx="52">
                  <c:v>1.1277519621524357</c:v>
                </c:pt>
                <c:pt idx="53">
                  <c:v>0.65436475098553071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8-4AF6-8997-42091D9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2676153082698"/>
          <c:y val="2.7716709156529178E-2"/>
          <c:w val="0.85397419516326667"/>
          <c:h val="0.93049738077346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master!$AC$1</c:f>
              <c:strCache>
                <c:ptCount val="1"/>
                <c:pt idx="0">
                  <c:v>Marginal Reduction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>
                  <a:alpha val="25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E-408B-AC5D-BDB120FDC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master!$AL$2:$AL$100</c:f>
              <c:numCache>
                <c:formatCode>General</c:formatCode>
                <c:ptCount val="99"/>
                <c:pt idx="0">
                  <c:v>#N/A</c:v>
                </c:pt>
                <c:pt idx="1">
                  <c:v>1.8229907271113312E-2</c:v>
                </c:pt>
                <c:pt idx="2">
                  <c:v>1.7156479876238653E-2</c:v>
                </c:pt>
                <c:pt idx="3">
                  <c:v>#N/A</c:v>
                </c:pt>
                <c:pt idx="4">
                  <c:v>3.2408958172190955E-3</c:v>
                </c:pt>
                <c:pt idx="5">
                  <c:v>#N/A</c:v>
                </c:pt>
                <c:pt idx="6">
                  <c:v>1.6604666514504686E-2</c:v>
                </c:pt>
                <c:pt idx="7">
                  <c:v>#N/A</c:v>
                </c:pt>
                <c:pt idx="8">
                  <c:v>#N/A</c:v>
                </c:pt>
                <c:pt idx="9">
                  <c:v>7.1318167547692489E-3</c:v>
                </c:pt>
                <c:pt idx="10">
                  <c:v>#N/A</c:v>
                </c:pt>
                <c:pt idx="11">
                  <c:v>1.7776845003331628E-3</c:v>
                </c:pt>
                <c:pt idx="12">
                  <c:v>#N/A</c:v>
                </c:pt>
                <c:pt idx="13">
                  <c:v>#N/A</c:v>
                </c:pt>
                <c:pt idx="14">
                  <c:v>2.180350613890646E-3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1.4338403627594356E-2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5.1527191167150075E-3</c:v>
                </c:pt>
                <c:pt idx="25">
                  <c:v>6.5196291431849083E-3</c:v>
                </c:pt>
                <c:pt idx="26">
                  <c:v>3.3595159299014632E-2</c:v>
                </c:pt>
                <c:pt idx="27">
                  <c:v>2.347524783044314E-3</c:v>
                </c:pt>
                <c:pt idx="28">
                  <c:v>#N/A</c:v>
                </c:pt>
                <c:pt idx="29">
                  <c:v>#N/A</c:v>
                </c:pt>
                <c:pt idx="30">
                  <c:v>8.3042669463665349E-3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2.0806841895341113E-2</c:v>
                </c:pt>
                <c:pt idx="40">
                  <c:v>2.3124604717074714E-3</c:v>
                </c:pt>
                <c:pt idx="41">
                  <c:v>3.3057387515459976E-3</c:v>
                </c:pt>
                <c:pt idx="42">
                  <c:v>#N/A</c:v>
                </c:pt>
                <c:pt idx="43">
                  <c:v>3.0797134225231806E-2</c:v>
                </c:pt>
                <c:pt idx="44">
                  <c:v>8.4770252678206988E-3</c:v>
                </c:pt>
                <c:pt idx="45">
                  <c:v>#N/A</c:v>
                </c:pt>
                <c:pt idx="46">
                  <c:v>#N/A</c:v>
                </c:pt>
                <c:pt idx="47">
                  <c:v>3.6892750050272279E-3</c:v>
                </c:pt>
                <c:pt idx="48">
                  <c:v>1.0074228298728593E-2</c:v>
                </c:pt>
                <c:pt idx="49">
                  <c:v>4.1107803832928619E-4</c:v>
                </c:pt>
                <c:pt idx="50">
                  <c:v>#N/A</c:v>
                </c:pt>
                <c:pt idx="51">
                  <c:v>#N/A</c:v>
                </c:pt>
                <c:pt idx="52">
                  <c:v>9.8061404919453261E-3</c:v>
                </c:pt>
                <c:pt idx="53">
                  <c:v>2.5782125837557398E-3</c:v>
                </c:pt>
              </c:numCache>
            </c:numRef>
          </c:xVal>
          <c:yVal>
            <c:numRef>
              <c:f>master!$AI$2:$AI$100</c:f>
              <c:numCache>
                <c:formatCode>0%</c:formatCode>
                <c:ptCount val="99"/>
                <c:pt idx="0">
                  <c:v>39.674698795180724</c:v>
                </c:pt>
                <c:pt idx="1">
                  <c:v>47.261692065160275</c:v>
                </c:pt>
                <c:pt idx="2">
                  <c:v>18.624597783339293</c:v>
                </c:pt>
                <c:pt idx="3">
                  <c:v>#N/A</c:v>
                </c:pt>
                <c:pt idx="4">
                  <c:v>12.153526970954356</c:v>
                </c:pt>
                <c:pt idx="5">
                  <c:v>#N/A</c:v>
                </c:pt>
                <c:pt idx="6">
                  <c:v>12.577967416602018</c:v>
                </c:pt>
                <c:pt idx="7">
                  <c:v>#N/A</c:v>
                </c:pt>
                <c:pt idx="8">
                  <c:v>#N/A</c:v>
                </c:pt>
                <c:pt idx="9">
                  <c:v>11.181905370843991</c:v>
                </c:pt>
                <c:pt idx="10">
                  <c:v>#N/A</c:v>
                </c:pt>
                <c:pt idx="11">
                  <c:v>16.44429882044561</c:v>
                </c:pt>
                <c:pt idx="12">
                  <c:v>#N/A</c:v>
                </c:pt>
                <c:pt idx="13">
                  <c:v>#N/A</c:v>
                </c:pt>
                <c:pt idx="14">
                  <c:v>7.9398320895522385</c:v>
                </c:pt>
                <c:pt idx="15">
                  <c:v>13.072295081967214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12.261538461538462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35.833190025795354</c:v>
                </c:pt>
                <c:pt idx="25">
                  <c:v>7.6322965487856838</c:v>
                </c:pt>
                <c:pt idx="26">
                  <c:v>2.8680956800287398</c:v>
                </c:pt>
                <c:pt idx="27">
                  <c:v>37.227410017618929</c:v>
                </c:pt>
                <c:pt idx="28">
                  <c:v>#N/A</c:v>
                </c:pt>
                <c:pt idx="29">
                  <c:v>#N/A</c:v>
                </c:pt>
                <c:pt idx="30">
                  <c:v>7.635416666666667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35.652482269503544</c:v>
                </c:pt>
                <c:pt idx="40">
                  <c:v>66.082872928176798</c:v>
                </c:pt>
                <c:pt idx="41">
                  <c:v>26.003070624360287</c:v>
                </c:pt>
                <c:pt idx="42">
                  <c:v>#N/A</c:v>
                </c:pt>
                <c:pt idx="43">
                  <c:v>5.3001615508885296</c:v>
                </c:pt>
                <c:pt idx="44">
                  <c:v>28.823529411764707</c:v>
                </c:pt>
                <c:pt idx="45">
                  <c:v>#N/A</c:v>
                </c:pt>
                <c:pt idx="46">
                  <c:v>26.625</c:v>
                </c:pt>
                <c:pt idx="47">
                  <c:v>9.9285797779076557</c:v>
                </c:pt>
                <c:pt idx="48">
                  <c:v>6.6631476050830889</c:v>
                </c:pt>
                <c:pt idx="49">
                  <c:v>8.674513354459032</c:v>
                </c:pt>
                <c:pt idx="50">
                  <c:v>#N/A</c:v>
                </c:pt>
                <c:pt idx="51">
                  <c:v>#N/A</c:v>
                </c:pt>
                <c:pt idx="52">
                  <c:v>17.035825545171338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8-4AF6-8997-42091D9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8575"/>
        <c:axId val="395770159"/>
      </c:scatterChart>
      <c:valAx>
        <c:axId val="3407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0159"/>
        <c:crosses val="autoZero"/>
        <c:crossBetween val="midCat"/>
      </c:valAx>
      <c:valAx>
        <c:axId val="395770159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685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Reduction</a:t>
            </a:r>
            <a:r>
              <a:rPr lang="en-US" baseline="0"/>
              <a:t> From Cranberry Wetland Restoration</a:t>
            </a:r>
            <a:endParaRPr lang="en-US"/>
          </a:p>
        </c:rich>
      </c:tx>
      <c:layout>
        <c:manualLayout>
          <c:xMode val="edge"/>
          <c:yMode val="edge"/>
          <c:x val="0.41694938529934972"/>
          <c:y val="2.57485477920417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26537967913982"/>
          <c:y val="6.6444228949599143E-2"/>
          <c:w val="0.62058564080057366"/>
          <c:h val="0.851902665623478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master!$C$2:$C$55</c:f>
              <c:strCache>
                <c:ptCount val="54"/>
                <c:pt idx="0">
                  <c:v>AllenHarbor (1)</c:v>
                </c:pt>
                <c:pt idx="1">
                  <c:v>BarnstableHarbor (2)</c:v>
                </c:pt>
                <c:pt idx="2">
                  <c:v>BassRiver (3)</c:v>
                </c:pt>
                <c:pt idx="3">
                  <c:v>BoatMeadowRiver (4)</c:v>
                </c:pt>
                <c:pt idx="4">
                  <c:v>BournesPond (5)</c:v>
                </c:pt>
                <c:pt idx="5">
                  <c:v>ButtermilkBay (6)</c:v>
                </c:pt>
                <c:pt idx="6">
                  <c:v>CentervilleRiver (7)</c:v>
                </c:pt>
                <c:pt idx="7">
                  <c:v>FalmouthInnerHarbor (8)</c:v>
                </c:pt>
                <c:pt idx="8">
                  <c:v>FiddlersCove (9)</c:v>
                </c:pt>
                <c:pt idx="9">
                  <c:v>GreatPond (10)</c:v>
                </c:pt>
                <c:pt idx="10">
                  <c:v>GreatSippewissettCreek (11)</c:v>
                </c:pt>
                <c:pt idx="11">
                  <c:v>GreenPond (12)</c:v>
                </c:pt>
                <c:pt idx="12">
                  <c:v>HatchesHarbor (13)</c:v>
                </c:pt>
                <c:pt idx="13">
                  <c:v>HerringRiverEastham (14)</c:v>
                </c:pt>
                <c:pt idx="14">
                  <c:v>HerringRiverHarwich (15)</c:v>
                </c:pt>
                <c:pt idx="15">
                  <c:v>LewisBay (16)</c:v>
                </c:pt>
                <c:pt idx="16">
                  <c:v>LittleNamskaketCreek (17)</c:v>
                </c:pt>
                <c:pt idx="17">
                  <c:v>LittlePond (18)</c:v>
                </c:pt>
                <c:pt idx="18">
                  <c:v>LittleSippewissettMarsh (19)</c:v>
                </c:pt>
                <c:pt idx="19">
                  <c:v>MegansettHarbor (20)</c:v>
                </c:pt>
                <c:pt idx="20">
                  <c:v>NamskaketCreek (21)</c:v>
                </c:pt>
                <c:pt idx="21">
                  <c:v>NausetMarsh (22)</c:v>
                </c:pt>
                <c:pt idx="22">
                  <c:v>OysterPond (23)</c:v>
                </c:pt>
                <c:pt idx="23">
                  <c:v>PametRiver (24)</c:v>
                </c:pt>
                <c:pt idx="24">
                  <c:v>ParkersRiver (25)</c:v>
                </c:pt>
                <c:pt idx="25">
                  <c:v>PhinneysHarborEelPondBackRiver (26)</c:v>
                </c:pt>
                <c:pt idx="26">
                  <c:v>PleasantBay (27)</c:v>
                </c:pt>
                <c:pt idx="27">
                  <c:v>PlymouthDuxbury (28)</c:v>
                </c:pt>
                <c:pt idx="28">
                  <c:v>PocassetHarbor (29)</c:v>
                </c:pt>
                <c:pt idx="29">
                  <c:v>PocassetRiver (30)</c:v>
                </c:pt>
                <c:pt idx="30">
                  <c:v>PopponessetBay (31)</c:v>
                </c:pt>
                <c:pt idx="31">
                  <c:v>ProvincetownHarbor (32)</c:v>
                </c:pt>
                <c:pt idx="32">
                  <c:v>QuissettHarbor (33)</c:v>
                </c:pt>
                <c:pt idx="33">
                  <c:v>QuivettCreek (34)</c:v>
                </c:pt>
                <c:pt idx="34">
                  <c:v>RandHarbor (35)</c:v>
                </c:pt>
                <c:pt idx="35">
                  <c:v>RedRiver (36)</c:v>
                </c:pt>
                <c:pt idx="36">
                  <c:v>RockHarbor (37)</c:v>
                </c:pt>
                <c:pt idx="37">
                  <c:v>RushyMarshPond (38)</c:v>
                </c:pt>
                <c:pt idx="38">
                  <c:v>SaltPond (39)</c:v>
                </c:pt>
                <c:pt idx="39">
                  <c:v>SandwichHarbor (40)</c:v>
                </c:pt>
                <c:pt idx="40">
                  <c:v>SaquatucketHarbor (41)</c:v>
                </c:pt>
                <c:pt idx="41">
                  <c:v>ScortonHarbor (42)</c:v>
                </c:pt>
                <c:pt idx="42">
                  <c:v>SesuitHarbor (43)</c:v>
                </c:pt>
                <c:pt idx="43">
                  <c:v>StageHarbor (44)</c:v>
                </c:pt>
                <c:pt idx="44">
                  <c:v>SulfurSpringsBucksCreek (45)</c:v>
                </c:pt>
                <c:pt idx="45">
                  <c:v>SwanPondRiver (46)</c:v>
                </c:pt>
                <c:pt idx="46">
                  <c:v>TaylorsPondMillCreek (47)</c:v>
                </c:pt>
                <c:pt idx="47">
                  <c:v>ThreeBays (48)</c:v>
                </c:pt>
                <c:pt idx="48">
                  <c:v>WaquoitBay (49)</c:v>
                </c:pt>
                <c:pt idx="49">
                  <c:v>Wareham (50)</c:v>
                </c:pt>
                <c:pt idx="50">
                  <c:v>WellfleetHarbor (51)</c:v>
                </c:pt>
                <c:pt idx="51">
                  <c:v>WestFalmouthHarbor (52)</c:v>
                </c:pt>
                <c:pt idx="52">
                  <c:v>WildHarbor (53)</c:v>
                </c:pt>
                <c:pt idx="53">
                  <c:v>WychmereHarbor (54)</c:v>
                </c:pt>
              </c:strCache>
            </c:strRef>
          </c:cat>
          <c:val>
            <c:numRef>
              <c:f>master!$AC$2:$AC$55</c:f>
              <c:numCache>
                <c:formatCode>0%</c:formatCode>
                <c:ptCount val="54"/>
                <c:pt idx="0">
                  <c:v>1.2465888315842315</c:v>
                </c:pt>
                <c:pt idx="1">
                  <c:v>1.2456876260170402</c:v>
                </c:pt>
                <c:pt idx="2">
                  <c:v>1.160342740597009</c:v>
                </c:pt>
                <c:pt idx="3">
                  <c:v>0</c:v>
                </c:pt>
                <c:pt idx="4">
                  <c:v>1.4599429080279005</c:v>
                </c:pt>
                <c:pt idx="5">
                  <c:v>#N/A</c:v>
                </c:pt>
                <c:pt idx="6">
                  <c:v>1.1385885563540676</c:v>
                </c:pt>
                <c:pt idx="7">
                  <c:v>0</c:v>
                </c:pt>
                <c:pt idx="8">
                  <c:v>0</c:v>
                </c:pt>
                <c:pt idx="9">
                  <c:v>1.3745550056354225</c:v>
                </c:pt>
                <c:pt idx="10">
                  <c:v>0</c:v>
                </c:pt>
                <c:pt idx="11">
                  <c:v>1.2109724635391987</c:v>
                </c:pt>
                <c:pt idx="12">
                  <c:v>0</c:v>
                </c:pt>
                <c:pt idx="13">
                  <c:v>0</c:v>
                </c:pt>
                <c:pt idx="14">
                  <c:v>1.4336494832707622</c:v>
                </c:pt>
                <c:pt idx="15">
                  <c:v>1.5040606330014106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2.4097835268687358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1.5724402487105125</c:v>
                </c:pt>
                <c:pt idx="25">
                  <c:v>1.6067190681702141</c:v>
                </c:pt>
                <c:pt idx="26">
                  <c:v>1.9938702968291349</c:v>
                </c:pt>
                <c:pt idx="27">
                  <c:v>1.564640992157964</c:v>
                </c:pt>
                <c:pt idx="28">
                  <c:v>#N/A</c:v>
                </c:pt>
                <c:pt idx="29">
                  <c:v>0</c:v>
                </c:pt>
                <c:pt idx="30">
                  <c:v>1.6353023099699899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1.2993282109061091</c:v>
                </c:pt>
                <c:pt idx="40">
                  <c:v>1.2268963076129296</c:v>
                </c:pt>
                <c:pt idx="41">
                  <c:v>1.4340991943870613</c:v>
                </c:pt>
                <c:pt idx="42">
                  <c:v>0</c:v>
                </c:pt>
                <c:pt idx="43">
                  <c:v>1.5331850635008211</c:v>
                </c:pt>
                <c:pt idx="44">
                  <c:v>1.0793761534067265</c:v>
                </c:pt>
                <c:pt idx="45">
                  <c:v>0</c:v>
                </c:pt>
                <c:pt idx="46">
                  <c:v>1.3549541750382843</c:v>
                </c:pt>
                <c:pt idx="47">
                  <c:v>1.361586574051602</c:v>
                </c:pt>
                <c:pt idx="48">
                  <c:v>1.8101886248907444</c:v>
                </c:pt>
                <c:pt idx="49">
                  <c:v>1.5474523799404432</c:v>
                </c:pt>
                <c:pt idx="50">
                  <c:v>0</c:v>
                </c:pt>
                <c:pt idx="51">
                  <c:v>0</c:v>
                </c:pt>
                <c:pt idx="52">
                  <c:v>1.1277519621524357</c:v>
                </c:pt>
                <c:pt idx="53">
                  <c:v>0.65436475098553071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935-A014-20AD97FF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075807"/>
        <c:axId val="872538639"/>
      </c:barChart>
      <c:catAx>
        <c:axId val="86807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38639"/>
        <c:crosses val="autoZero"/>
        <c:auto val="1"/>
        <c:lblAlgn val="ctr"/>
        <c:lblOffset val="100"/>
        <c:noMultiLvlLbl val="0"/>
      </c:catAx>
      <c:valAx>
        <c:axId val="872538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075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master!$P$1</c:f>
              <c:strCache>
                <c:ptCount val="1"/>
                <c:pt idx="0">
                  <c:v>L1: Estimated Load Draining Through Cranberry Bogs (kg N y-1) FROM Q * C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54877515310585"/>
                  <c:y val="-3.3240740740740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master!$O$2:$O$55</c:f>
              <c:numCache>
                <c:formatCode>General</c:formatCode>
                <c:ptCount val="54"/>
                <c:pt idx="0">
                  <c:v>#N/A</c:v>
                </c:pt>
                <c:pt idx="1">
                  <c:v>3289.7771398915834</c:v>
                </c:pt>
                <c:pt idx="2">
                  <c:v>3130.4092799400282</c:v>
                </c:pt>
                <c:pt idx="3">
                  <c:v>#N/A</c:v>
                </c:pt>
                <c:pt idx="4">
                  <c:v>2795.3420941477507</c:v>
                </c:pt>
                <c:pt idx="5">
                  <c:v>#N/A</c:v>
                </c:pt>
                <c:pt idx="6">
                  <c:v>6263.2260946373144</c:v>
                </c:pt>
                <c:pt idx="7">
                  <c:v>#N/A</c:v>
                </c:pt>
                <c:pt idx="8">
                  <c:v>#N/A</c:v>
                </c:pt>
                <c:pt idx="9">
                  <c:v>6738.936381012988</c:v>
                </c:pt>
                <c:pt idx="10">
                  <c:v>#N/A</c:v>
                </c:pt>
                <c:pt idx="11">
                  <c:v>5217.8993464456162</c:v>
                </c:pt>
                <c:pt idx="12">
                  <c:v>#N/A</c:v>
                </c:pt>
                <c:pt idx="13">
                  <c:v>#N/A</c:v>
                </c:pt>
                <c:pt idx="14">
                  <c:v>4434.5049404121683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5.2237023754634704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14840.617746080399</c:v>
                </c:pt>
                <c:pt idx="25">
                  <c:v>770.59450347940958</c:v>
                </c:pt>
                <c:pt idx="26">
                  <c:v>978.16779367268146</c:v>
                </c:pt>
                <c:pt idx="27">
                  <c:v>57314.453187858686</c:v>
                </c:pt>
                <c:pt idx="28">
                  <c:v>#N/A</c:v>
                </c:pt>
                <c:pt idx="29">
                  <c:v>#N/A</c:v>
                </c:pt>
                <c:pt idx="30">
                  <c:v>1373.8082788125512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36.115899138352901</c:v>
                </c:pt>
                <c:pt idx="40">
                  <c:v>4843.2531586021369</c:v>
                </c:pt>
                <c:pt idx="41">
                  <c:v>3234.5505032702426</c:v>
                </c:pt>
                <c:pt idx="42">
                  <c:v>#N/A</c:v>
                </c:pt>
                <c:pt idx="43">
                  <c:v>9.5029571476674271</c:v>
                </c:pt>
                <c:pt idx="44">
                  <c:v>495.9620494706669</c:v>
                </c:pt>
                <c:pt idx="45">
                  <c:v>#N/A</c:v>
                </c:pt>
                <c:pt idx="46">
                  <c:v>#N/A</c:v>
                </c:pt>
                <c:pt idx="47">
                  <c:v>13695.187923128879</c:v>
                </c:pt>
                <c:pt idx="48">
                  <c:v>8284.2487727007865</c:v>
                </c:pt>
                <c:pt idx="49">
                  <c:v>30504.285457671212</c:v>
                </c:pt>
                <c:pt idx="50">
                  <c:v>#N/A</c:v>
                </c:pt>
                <c:pt idx="51">
                  <c:v>#N/A</c:v>
                </c:pt>
                <c:pt idx="52">
                  <c:v>1597.3957430287021</c:v>
                </c:pt>
                <c:pt idx="53">
                  <c:v>228.19983932728169</c:v>
                </c:pt>
              </c:numCache>
            </c:numRef>
          </c:xVal>
          <c:yVal>
            <c:numRef>
              <c:f>master!$P$2:$P$55</c:f>
              <c:numCache>
                <c:formatCode>General</c:formatCode>
                <c:ptCount val="54"/>
                <c:pt idx="0">
                  <c:v>#N/A</c:v>
                </c:pt>
                <c:pt idx="1">
                  <c:v>2504.7579576237699</c:v>
                </c:pt>
                <c:pt idx="2">
                  <c:v>1259.0882834782601</c:v>
                </c:pt>
                <c:pt idx="3">
                  <c:v>#N/A</c:v>
                </c:pt>
                <c:pt idx="4">
                  <c:v>1697.8356676409601</c:v>
                </c:pt>
                <c:pt idx="5">
                  <c:v>6288.1005002097299</c:v>
                </c:pt>
                <c:pt idx="6">
                  <c:v>4449.8636760078098</c:v>
                </c:pt>
                <c:pt idx="7">
                  <c:v>#N/A</c:v>
                </c:pt>
                <c:pt idx="8">
                  <c:v>#N/A</c:v>
                </c:pt>
                <c:pt idx="9">
                  <c:v>5894.8729362168096</c:v>
                </c:pt>
                <c:pt idx="10">
                  <c:v>#N/A</c:v>
                </c:pt>
                <c:pt idx="11">
                  <c:v>2251.3594482578601</c:v>
                </c:pt>
                <c:pt idx="12">
                  <c:v>#N/A</c:v>
                </c:pt>
                <c:pt idx="13">
                  <c:v>#N/A</c:v>
                </c:pt>
                <c:pt idx="14">
                  <c:v>3977.4827172638802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4.5346708905213999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4629.6235197962696</c:v>
                </c:pt>
                <c:pt idx="25">
                  <c:v>412.07792354531603</c:v>
                </c:pt>
                <c:pt idx="26">
                  <c:v>699.94629682514994</c:v>
                </c:pt>
                <c:pt idx="27">
                  <c:v>34239.546149212299</c:v>
                </c:pt>
                <c:pt idx="28">
                  <c:v>2414.8042276698102</c:v>
                </c:pt>
                <c:pt idx="29">
                  <c:v>#N/A</c:v>
                </c:pt>
                <c:pt idx="30">
                  <c:v>1568.3780396592299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26.150464399727799</c:v>
                </c:pt>
                <c:pt idx="40">
                  <c:v>4269.1922687291999</c:v>
                </c:pt>
                <c:pt idx="41">
                  <c:v>2794.8853432749202</c:v>
                </c:pt>
                <c:pt idx="42">
                  <c:v>#N/A</c:v>
                </c:pt>
                <c:pt idx="43">
                  <c:v>5.3711864882028104</c:v>
                </c:pt>
                <c:pt idx="44">
                  <c:v>167.36590842068</c:v>
                </c:pt>
                <c:pt idx="45">
                  <c:v>#N/A</c:v>
                </c:pt>
                <c:pt idx="46">
                  <c:v>#N/A</c:v>
                </c:pt>
                <c:pt idx="47">
                  <c:v>6967.0185441581598</c:v>
                </c:pt>
                <c:pt idx="48">
                  <c:v>6659.2417307837004</c:v>
                </c:pt>
                <c:pt idx="49">
                  <c:v>28334.6748627985</c:v>
                </c:pt>
                <c:pt idx="50">
                  <c:v>#N/A</c:v>
                </c:pt>
                <c:pt idx="51">
                  <c:v>#N/A</c:v>
                </c:pt>
                <c:pt idx="52">
                  <c:v>863.81163895198802</c:v>
                </c:pt>
                <c:pt idx="53">
                  <c:v>52.804491141319197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B-4136-B314-F68618AE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78080"/>
        <c:axId val="401781664"/>
      </c:scatterChart>
      <c:valAx>
        <c:axId val="7428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1664"/>
        <c:crosses val="autoZero"/>
        <c:crossBetween val="midCat"/>
      </c:valAx>
      <c:valAx>
        <c:axId val="4017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30</xdr:row>
      <xdr:rowOff>35923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15A1-FF0B-42C0-9678-AE87884D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321310</xdr:colOff>
      <xdr:row>1</xdr:row>
      <xdr:rowOff>132914</xdr:rowOff>
    </xdr:from>
    <xdr:to>
      <xdr:col>15</xdr:col>
      <xdr:colOff>468781</xdr:colOff>
      <xdr:row>31</xdr:row>
      <xdr:rowOff>155230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C3781-06FD-4285-A2AF-F7465BCD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0</xdr:row>
      <xdr:rowOff>0</xdr:rowOff>
    </xdr:from>
    <xdr:to>
      <xdr:col>21</xdr:col>
      <xdr:colOff>365760</xdr:colOff>
      <xdr:row>13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01C7A-4B82-42D5-AC8E-25766895C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160021</xdr:colOff>
      <xdr:row>14</xdr:row>
      <xdr:rowOff>78085</xdr:rowOff>
    </xdr:from>
    <xdr:to>
      <xdr:col>21</xdr:col>
      <xdr:colOff>518161</xdr:colOff>
      <xdr:row>27</xdr:row>
      <xdr:rowOff>158136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199A34-1CEB-16EA-F90D-FFAB17368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6248</xdr:colOff>
      <xdr:row>32</xdr:row>
      <xdr:rowOff>156804</xdr:rowOff>
    </xdr:from>
    <xdr:to>
      <xdr:col>14</xdr:col>
      <xdr:colOff>354863</xdr:colOff>
      <xdr:row>46</xdr:row>
      <xdr:rowOff>74848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0B5751-D000-F80E-F1B1-1D2C7EE51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173354</xdr:colOff>
      <xdr:row>29</xdr:row>
      <xdr:rowOff>17145</xdr:rowOff>
    </xdr:from>
    <xdr:to>
      <xdr:col>26</xdr:col>
      <xdr:colOff>482388</xdr:colOff>
      <xdr:row>39</xdr:row>
      <xdr:rowOff>133773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9E1CE-9FB2-8CFB-2E9F-FDE923372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504844</xdr:colOff>
      <xdr:row>29</xdr:row>
      <xdr:rowOff>15905</xdr:rowOff>
    </xdr:from>
    <xdr:to>
      <xdr:col>33</xdr:col>
      <xdr:colOff>205336</xdr:colOff>
      <xdr:row>39</xdr:row>
      <xdr:rowOff>132533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770032-DF5A-95C3-26F4-36E3F891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162841</xdr:rowOff>
    </xdr:from>
    <xdr:to>
      <xdr:col>6</xdr:col>
      <xdr:colOff>378951</xdr:colOff>
      <xdr:row>46</xdr:row>
      <xdr:rowOff>22474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3C8F50-D3B8-5AE6-18A9-EDA3A05EF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335936</xdr:colOff>
      <xdr:row>9</xdr:row>
      <xdr:rowOff>16387</xdr:rowOff>
    </xdr:from>
    <xdr:to>
      <xdr:col>31</xdr:col>
      <xdr:colOff>57355</xdr:colOff>
      <xdr:row>25</xdr:row>
      <xdr:rowOff>137652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ED2913-8F14-447A-9226-E137E081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430773</xdr:colOff>
      <xdr:row>49</xdr:row>
      <xdr:rowOff>127821</xdr:rowOff>
    </xdr:from>
    <xdr:to>
      <xdr:col>13</xdr:col>
      <xdr:colOff>142359</xdr:colOff>
      <xdr:row>66</xdr:row>
      <xdr:rowOff>85214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7B97E4-66BA-F0E6-DC1E-034CA4FA3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250209</xdr:colOff>
      <xdr:row>49</xdr:row>
      <xdr:rowOff>139095</xdr:rowOff>
    </xdr:from>
    <xdr:to>
      <xdr:col>8</xdr:col>
      <xdr:colOff>568120</xdr:colOff>
      <xdr:row>66</xdr:row>
      <xdr:rowOff>96488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7592BF-E45D-B4F1-1311-9D9D5874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426722</xdr:colOff>
      <xdr:row>49</xdr:row>
      <xdr:rowOff>127286</xdr:rowOff>
    </xdr:from>
    <xdr:to>
      <xdr:col>13</xdr:col>
      <xdr:colOff>138308</xdr:colOff>
      <xdr:row>66</xdr:row>
      <xdr:rowOff>84679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C910E3-BB3F-F68F-A550-B4890165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0.18234</cdr:x>
      <cdr:y>0.79217</cdr:y>
    </cdr:from>
    <cdr:to>
      <cdr:x>0.28527</cdr:x>
      <cdr:y>0.91903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EA8E9B2-E3E6-E324-EC83-18254DD3B994}"/>
            </a:ext>
          </a:extLst>
        </cdr:cNvPr>
        <cdr:cNvSpPr/>
      </cdr:nvSpPr>
      <cdr:spPr>
        <a:xfrm xmlns:a="http://schemas.openxmlformats.org/drawingml/2006/main">
          <a:off x="504656" y="2267960"/>
          <a:ext cx="284880" cy="363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.Wiegman\Documents\GitHub\Wiegman_USDA_ARS\Cran_Q_C\df_L1_vs_L2.csv" TargetMode="External"/><Relationship Id="rId1" Type="http://schemas.openxmlformats.org/officeDocument/2006/relationships/externalLinkPath" Target="/Users/Adrian.Wiegman/Documents/GitHub/Wiegman_USDA_ARS/Cran_Q_C/df_L1_vs_L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.Wiegman\Documents\GitHub\Wiegman_USDA_ARS\Cran_Q_C\3_post\df_EMBAY_merged_summary.csv" TargetMode="External"/><Relationship Id="rId1" Type="http://schemas.openxmlformats.org/officeDocument/2006/relationships/externalLinkPath" Target="df_EMBAY_merged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f_L1_vs_L2"/>
    </sheetNames>
    <sheetDataSet>
      <sheetData sheetId="0">
        <row r="1">
          <cell r="BW1" t="str">
            <v>TN_Load_kgN_y_MEP</v>
          </cell>
        </row>
        <row r="2">
          <cell r="AZ2">
            <v>4287.6004735742299</v>
          </cell>
          <cell r="BW2">
            <v>5662.3694901845101</v>
          </cell>
        </row>
        <row r="3">
          <cell r="AZ3">
            <v>1258.74608814833</v>
          </cell>
          <cell r="BW3">
            <v>3129.41053189793</v>
          </cell>
        </row>
        <row r="4">
          <cell r="AZ4">
            <v>1697.78079963205</v>
          </cell>
          <cell r="BW4">
            <v>2795.2517586353902</v>
          </cell>
        </row>
        <row r="5">
          <cell r="AZ5">
            <v>13652.3037400926</v>
          </cell>
          <cell r="BW5">
            <v>4314.1606730747699</v>
          </cell>
        </row>
        <row r="6">
          <cell r="AZ6">
            <v>4449.0698168133704</v>
          </cell>
          <cell r="BW6">
            <v>6261.9269059849103</v>
          </cell>
        </row>
        <row r="7">
          <cell r="AZ7">
            <v>15811.526862201001</v>
          </cell>
          <cell r="BW7">
            <v>18078.080794048001</v>
          </cell>
        </row>
        <row r="8">
          <cell r="AZ8">
            <v>2251.30451695499</v>
          </cell>
          <cell r="BW8">
            <v>5217.7720340301703</v>
          </cell>
        </row>
        <row r="9">
          <cell r="AZ9">
            <v>5377.9456618615304</v>
          </cell>
          <cell r="BW9">
            <v>6267.1250173057697</v>
          </cell>
        </row>
        <row r="10">
          <cell r="AZ10">
            <v>4.4091577688622401</v>
          </cell>
          <cell r="BW10">
            <v>5.07655582967576</v>
          </cell>
        </row>
        <row r="11">
          <cell r="AZ11">
            <v>6894.1157652059001</v>
          </cell>
          <cell r="BW11">
            <v>22540.5777728094</v>
          </cell>
        </row>
        <row r="12">
          <cell r="AZ12">
            <v>411.94300665743799</v>
          </cell>
          <cell r="BW12">
            <v>770.34297660415405</v>
          </cell>
        </row>
        <row r="13">
          <cell r="AZ13">
            <v>699.65288310575295</v>
          </cell>
          <cell r="BW13">
            <v>977.78141043928201</v>
          </cell>
        </row>
        <row r="14">
          <cell r="AZ14">
            <v>72804.679088868303</v>
          </cell>
          <cell r="BW14">
            <v>121275.049928651</v>
          </cell>
        </row>
        <row r="15">
          <cell r="AZ15">
            <v>2445.0194351601499</v>
          </cell>
          <cell r="BW15">
            <v>2964.7250466590599</v>
          </cell>
        </row>
        <row r="16">
          <cell r="AZ16">
            <v>2717.6707845011802</v>
          </cell>
          <cell r="BW16">
            <v>2340.2412320466101</v>
          </cell>
        </row>
        <row r="17">
          <cell r="AZ17">
            <v>26.073294496818701</v>
          </cell>
          <cell r="BW17">
            <v>36.009362562723403</v>
          </cell>
        </row>
        <row r="18">
          <cell r="AZ18">
            <v>8260.2197320881805</v>
          </cell>
          <cell r="BW18">
            <v>9138.8699254148396</v>
          </cell>
        </row>
        <row r="19">
          <cell r="AZ19">
            <v>2813.1940214740398</v>
          </cell>
          <cell r="BW19">
            <v>3258.1865011905002</v>
          </cell>
        </row>
        <row r="20">
          <cell r="AZ20">
            <v>5.3128040263745104</v>
          </cell>
          <cell r="BW20">
            <v>9.3996641351927206</v>
          </cell>
        </row>
        <row r="21">
          <cell r="AZ21">
            <v>167.300836139024</v>
          </cell>
          <cell r="BW21">
            <v>495.76921819171099</v>
          </cell>
        </row>
        <row r="22">
          <cell r="AZ22">
            <v>14079.08063352</v>
          </cell>
          <cell r="BW22">
            <v>27786.353586787802</v>
          </cell>
        </row>
        <row r="23">
          <cell r="AZ23">
            <v>27508.7697892756</v>
          </cell>
          <cell r="BW23">
            <v>33799.260028306802</v>
          </cell>
        </row>
        <row r="24">
          <cell r="AZ24">
            <v>67906.954937104194</v>
          </cell>
          <cell r="BW24">
            <v>72870.4639165689</v>
          </cell>
        </row>
        <row r="25">
          <cell r="AZ25">
            <v>863.75744410670495</v>
          </cell>
          <cell r="BW25">
            <v>1597.2955237086001</v>
          </cell>
        </row>
        <row r="26">
          <cell r="AZ26">
            <v>52.729056153974497</v>
          </cell>
          <cell r="BW26">
            <v>227.87383955681301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f_EMBAY_merged_summary"/>
    </sheetNames>
    <sheetDataSet>
      <sheetData sheetId="0">
        <row r="1">
          <cell r="C1" t="str">
            <v>embayshed_area_ha</v>
          </cell>
          <cell r="D1" t="str">
            <v>Nload_Sept</v>
          </cell>
          <cell r="E1" t="str">
            <v>Nload_Fert</v>
          </cell>
          <cell r="F1" t="str">
            <v>Nload_Stor</v>
          </cell>
          <cell r="G1" t="str">
            <v>Nload_Atmo</v>
          </cell>
          <cell r="H1" t="str">
            <v>Nload_Tota</v>
          </cell>
          <cell r="I1" t="str">
            <v>Nload_Parc</v>
          </cell>
          <cell r="J1" t="str">
            <v>Septic_Tar</v>
          </cell>
          <cell r="K1" t="str">
            <v>Total_Targ</v>
          </cell>
          <cell r="L1" t="str">
            <v>MEP_Source</v>
          </cell>
          <cell r="M1" t="str">
            <v>MEP_Sept_T</v>
          </cell>
          <cell r="N1" t="str">
            <v>MEP_Total_</v>
          </cell>
          <cell r="O1" t="str">
            <v>MEP_Septic</v>
          </cell>
          <cell r="P1" t="str">
            <v>MEP_Tota_1</v>
          </cell>
          <cell r="Q1" t="str">
            <v>EMBAY_ID</v>
          </cell>
          <cell r="R1" t="str">
            <v>Shape_Leng</v>
          </cell>
          <cell r="S1" t="str">
            <v>Shape_Area</v>
          </cell>
          <cell r="T1" t="str">
            <v>CCC_Nload_Total</v>
          </cell>
          <cell r="U1" t="str">
            <v>MEP_WAL_kgd</v>
          </cell>
          <cell r="V1" t="str">
            <v>MEP_thresh_kgd</v>
          </cell>
          <cell r="W1" t="str">
            <v>MEP_reduction_pct</v>
          </cell>
          <cell r="X1" t="str">
            <v>septic_kgy</v>
          </cell>
          <cell r="Y1" t="str">
            <v>wwtf_kgy</v>
          </cell>
          <cell r="Z1" t="str">
            <v>fertilizer_kgy</v>
          </cell>
          <cell r="AA1" t="str">
            <v>impervious_kgy</v>
          </cell>
          <cell r="AB1" t="str">
            <v>water_kgy</v>
          </cell>
          <cell r="AC1" t="str">
            <v>natural_kgy</v>
          </cell>
          <cell r="AD1" t="str">
            <v>buildout_kgy</v>
          </cell>
          <cell r="AE1" t="str">
            <v>unatten_plus_estuary_kgy</v>
          </cell>
          <cell r="AF1" t="str">
            <v>atten_plus_estuary_kgy</v>
          </cell>
          <cell r="AG1" t="str">
            <v>atten_kgy</v>
          </cell>
          <cell r="AH1" t="str">
            <v>loading_rate_kghay</v>
          </cell>
          <cell r="AI1" t="str">
            <v>unatten_plus_buildout_kgy</v>
          </cell>
          <cell r="AJ1" t="str">
            <v>atten_plus_buildout_kgy</v>
          </cell>
          <cell r="AK1" t="str">
            <v>LR_kghay_CCC</v>
          </cell>
          <cell r="AL1" t="str">
            <v>LR_kghay_MEP</v>
          </cell>
          <cell r="AM1" t="str">
            <v>LR_kghay_MEP_Buildout</v>
          </cell>
          <cell r="AN1" t="str">
            <v>bogsurf_area_ha</v>
          </cell>
          <cell r="AO1" t="str">
            <v>bogshed_area_ha</v>
          </cell>
          <cell r="AP1" t="str">
            <v>bog_count</v>
          </cell>
          <cell r="AQ1" t="str">
            <v>marg_bogshed_area_ha</v>
          </cell>
          <cell r="AR1" t="str">
            <v>Q_m3d</v>
          </cell>
          <cell r="AS1" t="str">
            <v>marg_Q_m3d</v>
          </cell>
          <cell r="AT1" t="str">
            <v>TN_mgl_p25</v>
          </cell>
          <cell r="AU1" t="str">
            <v>TN_mgl_p50</v>
          </cell>
          <cell r="AV1" t="str">
            <v>TN_mgl_p75</v>
          </cell>
          <cell r="AW1" t="str">
            <v>NO3_mgl_p25</v>
          </cell>
          <cell r="AX1" t="str">
            <v>NO3_mgl_p50</v>
          </cell>
          <cell r="AY1" t="str">
            <v>NO3_mgl_p75</v>
          </cell>
          <cell r="AZ1" t="str">
            <v>TN_Load_kgN_y</v>
          </cell>
          <cell r="BA1" t="str">
            <v>NO3_Load_kgN_y</v>
          </cell>
          <cell r="BB1" t="str">
            <v>NO3_removal_kgN_y_walton2020_a</v>
          </cell>
          <cell r="BC1" t="str">
            <v>NO3_removal_kgN_y_walton2020_b</v>
          </cell>
          <cell r="BD1" t="str">
            <v>NO3_removal_kgN_y_land2016_a</v>
          </cell>
          <cell r="BE1" t="str">
            <v>marg_TN_Load_kgN_y</v>
          </cell>
          <cell r="BF1" t="str">
            <v>marg_NO3_Load_kgN_y</v>
          </cell>
          <cell r="BG1" t="str">
            <v>marg_NO3_removal_kgN_y_walton2020_a</v>
          </cell>
          <cell r="BH1" t="str">
            <v>marg_NO3_removal_kgN_y_walton2020_b</v>
          </cell>
          <cell r="BI1" t="str">
            <v>marg_NO3_removal_kgN_y_land2016_a</v>
          </cell>
          <cell r="BJ1" t="str">
            <v>marg_TN_removal_kgN_y_1</v>
          </cell>
          <cell r="BK1" t="str">
            <v>marg_TN_removal_kgN_y_2</v>
          </cell>
          <cell r="BL1" t="str">
            <v>marg_TN_removal_kgN_y_3</v>
          </cell>
          <cell r="BM1" t="str">
            <v>marg_TN_removal_kgN_y_1_MEP</v>
          </cell>
          <cell r="BN1" t="str">
            <v>marg_TN_removal_kgN_y_2_MEP</v>
          </cell>
          <cell r="BO1" t="str">
            <v>marg_TN_removal_kgN_y_3_MEP</v>
          </cell>
          <cell r="BP1" t="str">
            <v>TN_removal_kgN_y_1</v>
          </cell>
          <cell r="BQ1" t="str">
            <v>TN_removal_kgN_y_2</v>
          </cell>
          <cell r="BR1" t="str">
            <v>TN_removal_kgN_y_3</v>
          </cell>
          <cell r="BS1" t="str">
            <v>TN_removal_kgN_y_1_MEP</v>
          </cell>
          <cell r="BT1" t="str">
            <v>TN_removal_kgN_y_2_MEP</v>
          </cell>
          <cell r="BU1" t="str">
            <v>TN_removal_kgN_y_3_MEP</v>
          </cell>
          <cell r="BV1" t="str">
            <v>marg_TN_Load_kgN_y_MEP</v>
          </cell>
          <cell r="BW1" t="str">
            <v>TN_Load_kgN_y_MEP</v>
          </cell>
        </row>
        <row r="2">
          <cell r="C2">
            <v>114.549431133357</v>
          </cell>
          <cell r="D2">
            <v>2627</v>
          </cell>
          <cell r="E2">
            <v>236</v>
          </cell>
          <cell r="F2">
            <v>298</v>
          </cell>
          <cell r="G2">
            <v>22</v>
          </cell>
          <cell r="H2">
            <v>3183</v>
          </cell>
          <cell r="I2">
            <v>351</v>
          </cell>
          <cell r="J2">
            <v>541</v>
          </cell>
          <cell r="K2">
            <v>893</v>
          </cell>
          <cell r="L2">
            <v>1</v>
          </cell>
          <cell r="M2">
            <v>541</v>
          </cell>
          <cell r="N2">
            <v>893</v>
          </cell>
          <cell r="O2">
            <v>73.7</v>
          </cell>
          <cell r="P2">
            <v>62.9</v>
          </cell>
          <cell r="Q2">
            <v>101</v>
          </cell>
          <cell r="R2">
            <v>7211.9326829045003</v>
          </cell>
          <cell r="S2">
            <v>2186723.8527408801</v>
          </cell>
          <cell r="T2">
            <v>3183</v>
          </cell>
          <cell r="U2">
            <v>6.6020000000000003</v>
          </cell>
          <cell r="V2">
            <v>2.4470000000000001</v>
          </cell>
          <cell r="W2">
            <v>-0.629</v>
          </cell>
          <cell r="X2">
            <v>2281</v>
          </cell>
          <cell r="Y2">
            <v>0</v>
          </cell>
          <cell r="Z2">
            <v>179</v>
          </cell>
          <cell r="AA2">
            <v>197</v>
          </cell>
          <cell r="AB2">
            <v>83</v>
          </cell>
          <cell r="AC2">
            <v>40</v>
          </cell>
          <cell r="AD2">
            <v>514</v>
          </cell>
          <cell r="AE2">
            <v>2779</v>
          </cell>
          <cell r="AF2">
            <v>2492</v>
          </cell>
          <cell r="AG2">
            <v>2411.3805000000002</v>
          </cell>
          <cell r="AH2">
            <v>21.05100371</v>
          </cell>
          <cell r="AI2">
            <v>3293</v>
          </cell>
          <cell r="AJ2">
            <v>3006</v>
          </cell>
          <cell r="AK2">
            <v>27.7871305733014</v>
          </cell>
          <cell r="AL2">
            <v>21.0510037120367</v>
          </cell>
          <cell r="AM2">
            <v>26.241946121063101</v>
          </cell>
          <cell r="AN2" t="str">
            <v>NA</v>
          </cell>
          <cell r="AO2" t="str">
            <v>NA</v>
          </cell>
          <cell r="AP2" t="str">
            <v>NA</v>
          </cell>
          <cell r="AQ2" t="str">
            <v>NA</v>
          </cell>
          <cell r="AR2" t="str">
            <v>NA</v>
          </cell>
          <cell r="AS2" t="str">
            <v>NA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NA</v>
          </cell>
          <cell r="AY2" t="str">
            <v>NA</v>
          </cell>
          <cell r="AZ2" t="str">
            <v>NA</v>
          </cell>
          <cell r="BA2" t="str">
            <v>NA</v>
          </cell>
          <cell r="BB2" t="str">
            <v>NA</v>
          </cell>
          <cell r="BC2" t="str">
            <v>NA</v>
          </cell>
          <cell r="BD2" t="str">
            <v>NA</v>
          </cell>
          <cell r="BE2" t="str">
            <v>NA</v>
          </cell>
          <cell r="BF2" t="str">
            <v>NA</v>
          </cell>
          <cell r="BG2" t="str">
            <v>NA</v>
          </cell>
          <cell r="BH2" t="str">
            <v>NA</v>
          </cell>
          <cell r="BI2" t="str">
            <v>NA</v>
          </cell>
          <cell r="BJ2" t="str">
            <v>NA</v>
          </cell>
          <cell r="BK2" t="str">
            <v>NA</v>
          </cell>
          <cell r="BL2" t="str">
            <v>NA</v>
          </cell>
          <cell r="BM2" t="str">
            <v>NA</v>
          </cell>
          <cell r="BN2" t="str">
            <v>NA</v>
          </cell>
          <cell r="BO2" t="str">
            <v>NA</v>
          </cell>
          <cell r="BP2" t="str">
            <v>NA</v>
          </cell>
          <cell r="BQ2" t="str">
            <v>NA</v>
          </cell>
          <cell r="BR2" t="str">
            <v>NA</v>
          </cell>
          <cell r="BS2" t="str">
            <v>NA</v>
          </cell>
          <cell r="BT2" t="str">
            <v>NA</v>
          </cell>
          <cell r="BU2" t="str">
            <v>NA</v>
          </cell>
          <cell r="BV2" t="str">
            <v>NA</v>
          </cell>
          <cell r="BW2" t="str">
            <v>NA</v>
          </cell>
        </row>
        <row r="3">
          <cell r="C3">
            <v>8771.0984718469208</v>
          </cell>
          <cell r="D3">
            <v>65741</v>
          </cell>
          <cell r="E3">
            <v>9732</v>
          </cell>
          <cell r="F3">
            <v>10770</v>
          </cell>
          <cell r="G3">
            <v>11421</v>
          </cell>
          <cell r="H3">
            <v>97666</v>
          </cell>
          <cell r="I3">
            <v>10971</v>
          </cell>
          <cell r="J3">
            <v>75572</v>
          </cell>
          <cell r="K3">
            <v>92434</v>
          </cell>
          <cell r="L3">
            <v>7</v>
          </cell>
          <cell r="M3">
            <v>75572</v>
          </cell>
          <cell r="N3">
            <v>92434</v>
          </cell>
          <cell r="O3">
            <v>-283.89999999999998</v>
          </cell>
          <cell r="P3">
            <v>-211.9</v>
          </cell>
          <cell r="Q3">
            <v>714</v>
          </cell>
          <cell r="R3">
            <v>220441.72698879999</v>
          </cell>
          <cell r="S3">
            <v>219380593.603257</v>
          </cell>
          <cell r="T3">
            <v>97666</v>
          </cell>
          <cell r="U3">
            <v>181.42699999999999</v>
          </cell>
          <cell r="V3">
            <v>253.24199999999999</v>
          </cell>
          <cell r="W3">
            <v>0.39600000000000002</v>
          </cell>
          <cell r="X3">
            <v>53984</v>
          </cell>
          <cell r="Y3">
            <v>274</v>
          </cell>
          <cell r="Z3">
            <v>4813</v>
          </cell>
          <cell r="AA3">
            <v>5247</v>
          </cell>
          <cell r="AB3">
            <v>1903</v>
          </cell>
          <cell r="AC3">
            <v>3842</v>
          </cell>
          <cell r="AD3">
            <v>16326</v>
          </cell>
          <cell r="AE3">
            <v>73613</v>
          </cell>
          <cell r="AF3">
            <v>66221</v>
          </cell>
          <cell r="AG3">
            <v>66266.211750000002</v>
          </cell>
          <cell r="AH3">
            <v>7.5550641650000001</v>
          </cell>
          <cell r="AI3">
            <v>89939</v>
          </cell>
          <cell r="AJ3">
            <v>82547</v>
          </cell>
          <cell r="AK3">
            <v>11.134979308861199</v>
          </cell>
          <cell r="AL3">
            <v>7.5550641647335599</v>
          </cell>
          <cell r="AM3">
            <v>9.4112499437733597</v>
          </cell>
          <cell r="AN3">
            <v>18.855294916201899</v>
          </cell>
          <cell r="AO3">
            <v>749.48</v>
          </cell>
          <cell r="AP3">
            <v>10</v>
          </cell>
          <cell r="AQ3">
            <v>435.44</v>
          </cell>
          <cell r="AR3">
            <v>14202.671649555101</v>
          </cell>
          <cell r="AS3">
            <v>8251.6029021218292</v>
          </cell>
          <cell r="AT3">
            <v>0.68754924535751305</v>
          </cell>
          <cell r="AU3">
            <v>0.837432616949081</v>
          </cell>
          <cell r="AV3">
            <v>0.988182997703552</v>
          </cell>
          <cell r="AW3">
            <v>6.9299005717039106E-2</v>
          </cell>
          <cell r="AX3">
            <v>0.176820400357246</v>
          </cell>
          <cell r="AY3">
            <v>0.36092524081468502</v>
          </cell>
          <cell r="AZ3">
            <v>4287.6004735742299</v>
          </cell>
          <cell r="BA3">
            <v>865.85310272886102</v>
          </cell>
          <cell r="BB3">
            <v>517.19679396662195</v>
          </cell>
          <cell r="BC3">
            <v>481.328575845778</v>
          </cell>
          <cell r="BD3">
            <v>325.42116966787802</v>
          </cell>
          <cell r="BE3">
            <v>2504.7579576237699</v>
          </cell>
          <cell r="BF3">
            <v>510.91721045921099</v>
          </cell>
          <cell r="BG3">
            <v>327.38414804946899</v>
          </cell>
          <cell r="BH3">
            <v>301.35331393422098</v>
          </cell>
          <cell r="BI3">
            <v>195.556489478701</v>
          </cell>
          <cell r="BJ3">
            <v>1179.6360363620799</v>
          </cell>
          <cell r="BK3">
            <v>946.43780623090197</v>
          </cell>
          <cell r="BL3">
            <v>1550.16760537699</v>
          </cell>
          <cell r="BM3">
            <v>1548.6911921706401</v>
          </cell>
          <cell r="BN3">
            <v>1246.91825300454</v>
          </cell>
          <cell r="BO3">
            <v>1941.3406530575901</v>
          </cell>
          <cell r="BP3">
            <v>2006.1140052737701</v>
          </cell>
          <cell r="BQ3">
            <v>1801.50431567381</v>
          </cell>
          <cell r="BR3">
            <v>2162.05194459621</v>
          </cell>
          <cell r="BS3">
            <v>2647.9971778312001</v>
          </cell>
          <cell r="BT3">
            <v>1154.3608426631699</v>
          </cell>
          <cell r="BU3">
            <v>1771.4883604474701</v>
          </cell>
          <cell r="BV3">
            <v>3289.7771398915802</v>
          </cell>
          <cell r="BW3">
            <v>5662.3694901845101</v>
          </cell>
        </row>
        <row r="4">
          <cell r="C4">
            <v>4779.4871016583602</v>
          </cell>
          <cell r="D4">
            <v>91114</v>
          </cell>
          <cell r="E4">
            <v>8662</v>
          </cell>
          <cell r="F4">
            <v>11748</v>
          </cell>
          <cell r="G4">
            <v>2606</v>
          </cell>
          <cell r="H4">
            <v>114651</v>
          </cell>
          <cell r="I4">
            <v>14474</v>
          </cell>
          <cell r="J4">
            <v>25618</v>
          </cell>
          <cell r="K4">
            <v>41792</v>
          </cell>
          <cell r="L4">
            <v>7</v>
          </cell>
          <cell r="M4">
            <v>25618</v>
          </cell>
          <cell r="N4">
            <v>41792</v>
          </cell>
          <cell r="O4">
            <v>464.6</v>
          </cell>
          <cell r="P4">
            <v>366.3</v>
          </cell>
          <cell r="Q4">
            <v>721</v>
          </cell>
          <cell r="R4">
            <v>167259.645980576</v>
          </cell>
          <cell r="S4">
            <v>105354810.547314</v>
          </cell>
          <cell r="T4">
            <v>114651</v>
          </cell>
          <cell r="U4">
            <v>217.81899999999999</v>
          </cell>
          <cell r="V4">
            <v>114.48699999999999</v>
          </cell>
          <cell r="W4">
            <v>-0.47399999999999998</v>
          </cell>
          <cell r="X4">
            <v>72512</v>
          </cell>
          <cell r="Y4">
            <v>1795</v>
          </cell>
          <cell r="Z4">
            <v>7293</v>
          </cell>
          <cell r="AA4">
            <v>7292</v>
          </cell>
          <cell r="AB4">
            <v>5594</v>
          </cell>
          <cell r="AC4">
            <v>1453</v>
          </cell>
          <cell r="AD4">
            <v>8247</v>
          </cell>
          <cell r="AE4">
            <v>95939</v>
          </cell>
          <cell r="AF4">
            <v>84068</v>
          </cell>
          <cell r="AG4">
            <v>79558.389750000002</v>
          </cell>
          <cell r="AH4">
            <v>16.645800699999999</v>
          </cell>
          <cell r="AI4">
            <v>104186</v>
          </cell>
          <cell r="AJ4">
            <v>92315</v>
          </cell>
          <cell r="AK4">
            <v>23.988138802638201</v>
          </cell>
          <cell r="AL4">
            <v>16.645800701584701</v>
          </cell>
          <cell r="AM4">
            <v>19.314834005508398</v>
          </cell>
          <cell r="AN4">
            <v>24.053786093286</v>
          </cell>
          <cell r="AO4">
            <v>188</v>
          </cell>
          <cell r="AP4">
            <v>6</v>
          </cell>
          <cell r="AQ4">
            <v>188.06</v>
          </cell>
          <cell r="AR4">
            <v>3562.60643394935</v>
          </cell>
          <cell r="AS4">
            <v>3563.74343600273</v>
          </cell>
          <cell r="AT4">
            <v>0.64876286188761301</v>
          </cell>
          <cell r="AU4">
            <v>0.82399125893910696</v>
          </cell>
          <cell r="AV4">
            <v>1.05616319179534</v>
          </cell>
          <cell r="AW4">
            <v>0.10797638197739901</v>
          </cell>
          <cell r="AX4">
            <v>0.24867940694093699</v>
          </cell>
          <cell r="AY4">
            <v>0.47048083444436301</v>
          </cell>
          <cell r="AZ4">
            <v>1258.74608814833</v>
          </cell>
          <cell r="BA4">
            <v>395.37540736228601</v>
          </cell>
          <cell r="BB4">
            <v>295.50248055084597</v>
          </cell>
          <cell r="BC4">
            <v>237.96547187118301</v>
          </cell>
          <cell r="BD4">
            <v>152.251697613441</v>
          </cell>
          <cell r="BE4">
            <v>1259.0882834782601</v>
          </cell>
          <cell r="BF4">
            <v>395.47868143319499</v>
          </cell>
          <cell r="BG4">
            <v>295.59049341987998</v>
          </cell>
          <cell r="BH4">
            <v>238.02738983740801</v>
          </cell>
          <cell r="BI4">
            <v>152.29141740914301</v>
          </cell>
          <cell r="BJ4">
            <v>612.81916240099895</v>
          </cell>
          <cell r="BK4">
            <v>619.77814863868502</v>
          </cell>
          <cell r="BL4">
            <v>1041.03670097136</v>
          </cell>
          <cell r="BM4">
            <v>1525.7734017801799</v>
          </cell>
          <cell r="BN4">
            <v>1287.9164329620801</v>
          </cell>
          <cell r="BO4">
            <v>2343.3947400881698</v>
          </cell>
          <cell r="BP4">
            <v>612.65899300365197</v>
          </cell>
          <cell r="BQ4">
            <v>619.50576911079497</v>
          </cell>
          <cell r="BR4">
            <v>1040.6957340405299</v>
          </cell>
          <cell r="BS4">
            <v>1525.30947273213</v>
          </cell>
          <cell r="BT4">
            <v>1288.0119946884799</v>
          </cell>
          <cell r="BU4">
            <v>2343.5701056073099</v>
          </cell>
          <cell r="BV4">
            <v>3130.40927994002</v>
          </cell>
          <cell r="BW4">
            <v>3129.41053189793</v>
          </cell>
        </row>
        <row r="5">
          <cell r="C5">
            <v>258.95327470244899</v>
          </cell>
          <cell r="D5">
            <v>903</v>
          </cell>
          <cell r="E5">
            <v>202</v>
          </cell>
          <cell r="F5">
            <v>305</v>
          </cell>
          <cell r="G5">
            <v>50</v>
          </cell>
          <cell r="H5">
            <v>1460</v>
          </cell>
          <cell r="I5">
            <v>386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104</v>
          </cell>
          <cell r="R5">
            <v>12320.5386026506</v>
          </cell>
          <cell r="S5">
            <v>4667329.0270829601</v>
          </cell>
          <cell r="T5">
            <v>1460</v>
          </cell>
          <cell r="U5" t="str">
            <v>NA</v>
          </cell>
          <cell r="V5" t="str">
            <v>NA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A5" t="str">
            <v>NA</v>
          </cell>
          <cell r="AB5" t="str">
            <v>NA</v>
          </cell>
          <cell r="AC5" t="str">
            <v>NA</v>
          </cell>
          <cell r="AD5" t="str">
            <v>NA</v>
          </cell>
          <cell r="AE5" t="str">
            <v>NA</v>
          </cell>
          <cell r="AF5" t="str">
            <v>NA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5.6380827841532897</v>
          </cell>
          <cell r="AL5">
            <v>0</v>
          </cell>
          <cell r="AM5">
            <v>0</v>
          </cell>
          <cell r="AN5" t="str">
            <v>NA</v>
          </cell>
          <cell r="AO5" t="str">
            <v>NA</v>
          </cell>
          <cell r="AP5" t="str">
            <v>NA</v>
          </cell>
          <cell r="AQ5" t="str">
            <v>NA</v>
          </cell>
          <cell r="AR5" t="str">
            <v>NA</v>
          </cell>
          <cell r="AS5" t="str">
            <v>NA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NA</v>
          </cell>
          <cell r="AY5" t="str">
            <v>NA</v>
          </cell>
          <cell r="AZ5" t="str">
            <v>NA</v>
          </cell>
          <cell r="BA5" t="str">
            <v>NA</v>
          </cell>
          <cell r="BB5" t="str">
            <v>NA</v>
          </cell>
          <cell r="BC5" t="str">
            <v>NA</v>
          </cell>
          <cell r="BD5" t="str">
            <v>NA</v>
          </cell>
          <cell r="BE5" t="str">
            <v>NA</v>
          </cell>
          <cell r="BF5" t="str">
            <v>NA</v>
          </cell>
          <cell r="BG5" t="str">
            <v>NA</v>
          </cell>
          <cell r="BH5" t="str">
            <v>NA</v>
          </cell>
          <cell r="BI5" t="str">
            <v>NA</v>
          </cell>
          <cell r="BJ5" t="str">
            <v>NA</v>
          </cell>
          <cell r="BK5" t="str">
            <v>NA</v>
          </cell>
          <cell r="BL5" t="str">
            <v>NA</v>
          </cell>
          <cell r="BM5" t="str">
            <v>NA</v>
          </cell>
          <cell r="BN5" t="str">
            <v>NA</v>
          </cell>
          <cell r="BO5" t="str">
            <v>NA</v>
          </cell>
          <cell r="BP5" t="str">
            <v>NA</v>
          </cell>
          <cell r="BQ5" t="str">
            <v>NA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</row>
        <row r="6">
          <cell r="C6">
            <v>604.46743013583</v>
          </cell>
          <cell r="D6">
            <v>7632</v>
          </cell>
          <cell r="E6">
            <v>2776</v>
          </cell>
          <cell r="F6">
            <v>1690</v>
          </cell>
          <cell r="G6">
            <v>1226</v>
          </cell>
          <cell r="H6">
            <v>13323</v>
          </cell>
          <cell r="I6">
            <v>1529</v>
          </cell>
          <cell r="J6">
            <v>394</v>
          </cell>
          <cell r="K6">
            <v>1296</v>
          </cell>
          <cell r="L6">
            <v>2</v>
          </cell>
          <cell r="M6">
            <v>394</v>
          </cell>
          <cell r="N6">
            <v>1296</v>
          </cell>
          <cell r="O6">
            <v>189.9</v>
          </cell>
          <cell r="P6">
            <v>161.39999999999901</v>
          </cell>
          <cell r="Q6">
            <v>210</v>
          </cell>
          <cell r="R6">
            <v>53819.509686867801</v>
          </cell>
          <cell r="S6">
            <v>21196487.363198999</v>
          </cell>
          <cell r="T6">
            <v>13323</v>
          </cell>
          <cell r="U6">
            <v>14.95</v>
          </cell>
          <cell r="V6" t="str">
            <v>NA</v>
          </cell>
          <cell r="W6">
            <v>-1</v>
          </cell>
          <cell r="X6">
            <v>5573</v>
          </cell>
          <cell r="Y6">
            <v>1</v>
          </cell>
          <cell r="Z6">
            <v>485</v>
          </cell>
          <cell r="AA6">
            <v>502</v>
          </cell>
          <cell r="AB6">
            <v>723</v>
          </cell>
          <cell r="AC6">
            <v>242</v>
          </cell>
          <cell r="AD6">
            <v>1261</v>
          </cell>
          <cell r="AE6">
            <v>7526</v>
          </cell>
          <cell r="AF6">
            <v>6711</v>
          </cell>
          <cell r="AG6">
            <v>5460.4875000000002</v>
          </cell>
          <cell r="AH6">
            <v>9.0335512349999991</v>
          </cell>
          <cell r="AI6">
            <v>8787</v>
          </cell>
          <cell r="AJ6">
            <v>7972</v>
          </cell>
          <cell r="AK6">
            <v>22.040889774666802</v>
          </cell>
          <cell r="AL6">
            <v>9.0335512349655698</v>
          </cell>
          <cell r="AM6">
            <v>13.188469059794601</v>
          </cell>
          <cell r="AN6">
            <v>8.7396087781372902</v>
          </cell>
          <cell r="AO6">
            <v>309.43</v>
          </cell>
          <cell r="AP6">
            <v>1</v>
          </cell>
          <cell r="AQ6">
            <v>309.44</v>
          </cell>
          <cell r="AR6">
            <v>5863.7090896646096</v>
          </cell>
          <cell r="AS6">
            <v>5863.8985900068401</v>
          </cell>
          <cell r="AT6">
            <v>0.71839791536331099</v>
          </cell>
          <cell r="AU6">
            <v>0.79271847009658802</v>
          </cell>
          <cell r="AV6">
            <v>0.87305343151092496</v>
          </cell>
          <cell r="AW6">
            <v>0.26225915551185602</v>
          </cell>
          <cell r="AX6">
            <v>0.375510513782501</v>
          </cell>
          <cell r="AY6">
            <v>0.50875735282897905</v>
          </cell>
          <cell r="AZ6">
            <v>1697.78079963205</v>
          </cell>
          <cell r="BA6">
            <v>804.23828182307705</v>
          </cell>
          <cell r="BB6">
            <v>477.75386664936099</v>
          </cell>
          <cell r="BC6">
            <v>455.94979786380298</v>
          </cell>
          <cell r="BD6">
            <v>304.20493297508801</v>
          </cell>
          <cell r="BE6">
            <v>1697.8356676409601</v>
          </cell>
          <cell r="BF6">
            <v>804.26427278328902</v>
          </cell>
          <cell r="BG6">
            <v>477.76930645373199</v>
          </cell>
          <cell r="BH6">
            <v>455.96317701215702</v>
          </cell>
          <cell r="BI6">
            <v>304.214492700405</v>
          </cell>
          <cell r="BJ6">
            <v>828.53417696425799</v>
          </cell>
          <cell r="BK6">
            <v>658.917723251133</v>
          </cell>
          <cell r="BL6">
            <v>1058.7745294702099</v>
          </cell>
          <cell r="BM6">
            <v>1364.1110888701201</v>
          </cell>
          <cell r="BN6">
            <v>958.78981911840401</v>
          </cell>
          <cell r="BO6">
            <v>1616.92242656893</v>
          </cell>
          <cell r="BP6">
            <v>828.50740168708205</v>
          </cell>
          <cell r="BQ6">
            <v>658.89146709162503</v>
          </cell>
          <cell r="BR6">
            <v>1058.7494199390501</v>
          </cell>
          <cell r="BS6">
            <v>1364.06700565241</v>
          </cell>
          <cell r="BT6">
            <v>958.79798935909798</v>
          </cell>
          <cell r="BU6">
            <v>1616.9374197943</v>
          </cell>
          <cell r="BV6">
            <v>2795.3420941477402</v>
          </cell>
          <cell r="BW6">
            <v>2795.2517586353902</v>
          </cell>
        </row>
        <row r="7">
          <cell r="C7">
            <v>2874.4705521506698</v>
          </cell>
          <cell r="D7">
            <v>4263</v>
          </cell>
          <cell r="E7">
            <v>737</v>
          </cell>
          <cell r="F7">
            <v>710</v>
          </cell>
          <cell r="G7">
            <v>128</v>
          </cell>
          <cell r="H7">
            <v>5838</v>
          </cell>
          <cell r="I7">
            <v>820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106</v>
          </cell>
          <cell r="R7">
            <v>33077.826474534697</v>
          </cell>
          <cell r="S7">
            <v>53842218.434331402</v>
          </cell>
          <cell r="T7">
            <v>5838</v>
          </cell>
          <cell r="U7" t="str">
            <v>NA</v>
          </cell>
          <cell r="V7" t="str">
            <v>NA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A7" t="str">
            <v>NA</v>
          </cell>
          <cell r="AB7" t="str">
            <v>NA</v>
          </cell>
          <cell r="AC7" t="str">
            <v>NA</v>
          </cell>
          <cell r="AD7" t="str">
            <v>NA</v>
          </cell>
          <cell r="AE7" t="str">
            <v>NA</v>
          </cell>
          <cell r="AF7" t="str">
            <v>NA</v>
          </cell>
          <cell r="AG7">
            <v>3502.7999999999902</v>
          </cell>
          <cell r="AH7" t="str">
            <v>NA</v>
          </cell>
          <cell r="AI7" t="str">
            <v>NA</v>
          </cell>
          <cell r="AJ7" t="str">
            <v>NA</v>
          </cell>
          <cell r="AK7">
            <v>2.0309827128449802</v>
          </cell>
          <cell r="AL7">
            <v>1.2185896277069801</v>
          </cell>
          <cell r="AM7" t="str">
            <v>NA</v>
          </cell>
          <cell r="AN7">
            <v>112.71282910555</v>
          </cell>
          <cell r="AO7">
            <v>3540.29</v>
          </cell>
          <cell r="AP7">
            <v>17</v>
          </cell>
          <cell r="AQ7">
            <v>1637.79</v>
          </cell>
          <cell r="AR7">
            <v>67088.616659822001</v>
          </cell>
          <cell r="AS7">
            <v>31036.176550307999</v>
          </cell>
          <cell r="AT7">
            <v>0.50822500796879</v>
          </cell>
          <cell r="AU7">
            <v>0.57121253364226399</v>
          </cell>
          <cell r="AV7">
            <v>0.64847843086018198</v>
          </cell>
          <cell r="AW7">
            <v>4.6594544259064299E-2</v>
          </cell>
          <cell r="AX7">
            <v>0.122269595261005</v>
          </cell>
          <cell r="AY7">
            <v>0.25224060554276401</v>
          </cell>
          <cell r="AZ7">
            <v>13652.3037400926</v>
          </cell>
          <cell r="BA7">
            <v>1563.1264456558699</v>
          </cell>
          <cell r="BB7">
            <v>1138.8782517986001</v>
          </cell>
          <cell r="BC7">
            <v>932.61819578559505</v>
          </cell>
          <cell r="BD7">
            <v>600.32049848307395</v>
          </cell>
          <cell r="BE7">
            <v>6288.1005002097299</v>
          </cell>
          <cell r="BF7">
            <v>1062.8965119525501</v>
          </cell>
          <cell r="BG7">
            <v>798.24825762405101</v>
          </cell>
          <cell r="BH7">
            <v>639.68884089073799</v>
          </cell>
          <cell r="BI7">
            <v>409.27726828870601</v>
          </cell>
          <cell r="BJ7">
            <v>3026.8618329144001</v>
          </cell>
          <cell r="BK7">
            <v>2585.7685913379</v>
          </cell>
          <cell r="BL7">
            <v>4234.5274780649197</v>
          </cell>
          <cell r="BM7">
            <v>960.13250044242102</v>
          </cell>
          <cell r="BN7">
            <v>1076.8578137208201</v>
          </cell>
          <cell r="BO7">
            <v>1539.8768627681</v>
          </cell>
          <cell r="BP7">
            <v>6564.0879428929802</v>
          </cell>
          <cell r="BQ7">
            <v>7193.32424308188</v>
          </cell>
          <cell r="BR7">
            <v>6764.2958579497699</v>
          </cell>
          <cell r="BS7">
            <v>2073.3263673912002</v>
          </cell>
          <cell r="BT7">
            <v>1021.27688694415</v>
          </cell>
          <cell r="BU7">
            <v>1437.8801906097599</v>
          </cell>
          <cell r="BV7">
            <v>1995.79390636223</v>
          </cell>
          <cell r="BW7">
            <v>4314.1606730747699</v>
          </cell>
        </row>
        <row r="8">
          <cell r="C8">
            <v>2778.9380343889502</v>
          </cell>
          <cell r="D8">
            <v>48278</v>
          </cell>
          <cell r="E8">
            <v>5008</v>
          </cell>
          <cell r="F8">
            <v>6413</v>
          </cell>
          <cell r="G8">
            <v>4548</v>
          </cell>
          <cell r="H8">
            <v>63166</v>
          </cell>
          <cell r="I8">
            <v>7996</v>
          </cell>
          <cell r="J8">
            <v>25847</v>
          </cell>
          <cell r="K8">
            <v>34833</v>
          </cell>
          <cell r="L8">
            <v>4</v>
          </cell>
          <cell r="M8">
            <v>25847</v>
          </cell>
          <cell r="N8">
            <v>34833</v>
          </cell>
          <cell r="O8">
            <v>73.099999999999994</v>
          </cell>
          <cell r="P8">
            <v>59.8</v>
          </cell>
          <cell r="Q8">
            <v>428</v>
          </cell>
          <cell r="R8">
            <v>77848.769648449001</v>
          </cell>
          <cell r="S8">
            <v>54096623.891136803</v>
          </cell>
          <cell r="T8">
            <v>63166</v>
          </cell>
          <cell r="U8">
            <v>123.55800000000001</v>
          </cell>
          <cell r="V8">
            <v>92.113</v>
          </cell>
          <cell r="W8">
            <v>-0.254</v>
          </cell>
          <cell r="X8">
            <v>48493</v>
          </cell>
          <cell r="Y8">
            <v>47</v>
          </cell>
          <cell r="Z8">
            <v>3155</v>
          </cell>
          <cell r="AA8">
            <v>3972</v>
          </cell>
          <cell r="AB8">
            <v>5156</v>
          </cell>
          <cell r="AC8">
            <v>921</v>
          </cell>
          <cell r="AD8">
            <v>3107</v>
          </cell>
          <cell r="AE8">
            <v>61745</v>
          </cell>
          <cell r="AF8">
            <v>48277</v>
          </cell>
          <cell r="AG8">
            <v>45129.559500000003</v>
          </cell>
          <cell r="AH8">
            <v>16.23985815</v>
          </cell>
          <cell r="AI8">
            <v>64852</v>
          </cell>
          <cell r="AJ8">
            <v>51384</v>
          </cell>
          <cell r="AK8">
            <v>22.730265741204001</v>
          </cell>
          <cell r="AL8">
            <v>16.239858154996</v>
          </cell>
          <cell r="AM8">
            <v>18.490516652091699</v>
          </cell>
          <cell r="AN8">
            <v>14.0979699980478</v>
          </cell>
          <cell r="AO8">
            <v>385.59</v>
          </cell>
          <cell r="AP8">
            <v>8</v>
          </cell>
          <cell r="AQ8">
            <v>385.67</v>
          </cell>
          <cell r="AR8">
            <v>7306.9436960985604</v>
          </cell>
          <cell r="AS8">
            <v>7308.4596988364101</v>
          </cell>
          <cell r="AT8">
            <v>1.19071390479803</v>
          </cell>
          <cell r="AU8">
            <v>1.43368344008922</v>
          </cell>
          <cell r="AV8">
            <v>1.77069155871868</v>
          </cell>
          <cell r="AW8">
            <v>0.67921574413776398</v>
          </cell>
          <cell r="AX8">
            <v>0.93902207538485505</v>
          </cell>
          <cell r="AY8">
            <v>1.26816583424806</v>
          </cell>
          <cell r="AZ8">
            <v>4449.0698168133704</v>
          </cell>
          <cell r="BA8">
            <v>3645.0998740247201</v>
          </cell>
          <cell r="BB8">
            <v>1241.0131933258699</v>
          </cell>
          <cell r="BC8">
            <v>876.43173777088998</v>
          </cell>
          <cell r="BD8">
            <v>911.36339425665199</v>
          </cell>
          <cell r="BE8">
            <v>4449.8636760078098</v>
          </cell>
          <cell r="BF8">
            <v>3645.6198293283001</v>
          </cell>
          <cell r="BG8">
            <v>1241.31405753849</v>
          </cell>
          <cell r="BH8">
            <v>876.633243958609</v>
          </cell>
          <cell r="BI8">
            <v>911.51369358686804</v>
          </cell>
          <cell r="BJ8">
            <v>2074.38719944796</v>
          </cell>
          <cell r="BK8">
            <v>1339.21216194006</v>
          </cell>
          <cell r="BL8">
            <v>2082.04697083066</v>
          </cell>
          <cell r="BM8">
            <v>2922.6723626147</v>
          </cell>
          <cell r="BN8">
            <v>1747.7262318364101</v>
          </cell>
          <cell r="BO8">
            <v>2845.00868368796</v>
          </cell>
          <cell r="BP8">
            <v>2074.0199012150501</v>
          </cell>
          <cell r="BQ8">
            <v>1338.7514097262399</v>
          </cell>
          <cell r="BR8">
            <v>2081.5471491747298</v>
          </cell>
          <cell r="BS8">
            <v>2922.0713864670302</v>
          </cell>
          <cell r="BT8">
            <v>1747.84408203457</v>
          </cell>
          <cell r="BU8">
            <v>2845.2249508271002</v>
          </cell>
          <cell r="BV8">
            <v>6263.2260946373099</v>
          </cell>
          <cell r="BW8">
            <v>6261.9269059849103</v>
          </cell>
        </row>
        <row r="9">
          <cell r="C9">
            <v>143.87496134888499</v>
          </cell>
          <cell r="D9">
            <v>3393</v>
          </cell>
          <cell r="E9">
            <v>280</v>
          </cell>
          <cell r="F9">
            <v>683</v>
          </cell>
          <cell r="G9">
            <v>136</v>
          </cell>
          <cell r="H9">
            <v>4492</v>
          </cell>
          <cell r="I9">
            <v>537</v>
          </cell>
          <cell r="J9">
            <v>1388</v>
          </cell>
          <cell r="K9">
            <v>2002</v>
          </cell>
          <cell r="L9">
            <v>1</v>
          </cell>
          <cell r="M9">
            <v>1388</v>
          </cell>
          <cell r="N9">
            <v>2002</v>
          </cell>
          <cell r="O9">
            <v>31.100000381499999</v>
          </cell>
          <cell r="P9">
            <v>23.8</v>
          </cell>
          <cell r="Q9">
            <v>109</v>
          </cell>
          <cell r="R9">
            <v>9584.9249029444909</v>
          </cell>
          <cell r="S9">
            <v>3302035.2574777901</v>
          </cell>
          <cell r="T9">
            <v>4492</v>
          </cell>
          <cell r="U9" t="str">
            <v>NA</v>
          </cell>
          <cell r="V9" t="str">
            <v>NA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A9" t="str">
            <v>NA</v>
          </cell>
          <cell r="AB9" t="str">
            <v>NA</v>
          </cell>
          <cell r="AC9" t="str">
            <v>NA</v>
          </cell>
          <cell r="AD9" t="str">
            <v>NA</v>
          </cell>
          <cell r="AE9" t="str">
            <v>NA</v>
          </cell>
          <cell r="AF9" t="str">
            <v>NA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31.221554868795099</v>
          </cell>
          <cell r="AL9">
            <v>0</v>
          </cell>
          <cell r="AM9">
            <v>0</v>
          </cell>
          <cell r="AN9" t="str">
            <v>NA</v>
          </cell>
          <cell r="AO9" t="str">
            <v>NA</v>
          </cell>
          <cell r="AP9" t="str">
            <v>NA</v>
          </cell>
          <cell r="AQ9" t="str">
            <v>NA</v>
          </cell>
          <cell r="AR9" t="str">
            <v>NA</v>
          </cell>
          <cell r="AS9" t="str">
            <v>NA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B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F9" t="str">
            <v>NA</v>
          </cell>
          <cell r="BG9" t="str">
            <v>NA</v>
          </cell>
          <cell r="BH9" t="str">
            <v>NA</v>
          </cell>
          <cell r="BI9" t="str">
            <v>NA</v>
          </cell>
          <cell r="BJ9" t="str">
            <v>NA</v>
          </cell>
          <cell r="BK9" t="str">
            <v>NA</v>
          </cell>
          <cell r="BL9" t="str">
            <v>NA</v>
          </cell>
          <cell r="BM9" t="str">
            <v>NA</v>
          </cell>
          <cell r="BN9" t="str">
            <v>NA</v>
          </cell>
          <cell r="BO9" t="str">
            <v>NA</v>
          </cell>
          <cell r="BP9" t="str">
            <v>NA</v>
          </cell>
          <cell r="BQ9" t="str">
            <v>NA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</row>
        <row r="10">
          <cell r="C10">
            <v>113.78932754191</v>
          </cell>
          <cell r="D10">
            <v>1177</v>
          </cell>
          <cell r="E10">
            <v>265</v>
          </cell>
          <cell r="F10">
            <v>169</v>
          </cell>
          <cell r="G10">
            <v>37</v>
          </cell>
          <cell r="H10">
            <v>1649</v>
          </cell>
          <cell r="I10">
            <v>207</v>
          </cell>
          <cell r="J10">
            <v>864</v>
          </cell>
          <cell r="K10">
            <v>1230</v>
          </cell>
          <cell r="L10">
            <v>2</v>
          </cell>
          <cell r="M10">
            <v>864</v>
          </cell>
          <cell r="N10">
            <v>1230</v>
          </cell>
          <cell r="O10">
            <v>38</v>
          </cell>
          <cell r="P10">
            <v>28</v>
          </cell>
          <cell r="Q10">
            <v>220</v>
          </cell>
          <cell r="R10">
            <v>15938.7124832928</v>
          </cell>
          <cell r="S10">
            <v>2040256.3912391099</v>
          </cell>
          <cell r="T10">
            <v>1649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A10" t="str">
            <v>NA</v>
          </cell>
          <cell r="AB10" t="str">
            <v>NA</v>
          </cell>
          <cell r="AC10" t="str">
            <v>NA</v>
          </cell>
          <cell r="AD10" t="str">
            <v>NA</v>
          </cell>
          <cell r="AE10" t="str">
            <v>NA</v>
          </cell>
          <cell r="AF10" t="str">
            <v>NA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14.491692987575201</v>
          </cell>
          <cell r="AL10">
            <v>0</v>
          </cell>
          <cell r="AM10">
            <v>0</v>
          </cell>
          <cell r="AN10" t="str">
            <v>NA</v>
          </cell>
          <cell r="AO10" t="str">
            <v>NA</v>
          </cell>
          <cell r="AP10" t="str">
            <v>NA</v>
          </cell>
          <cell r="AQ10" t="str">
            <v>NA</v>
          </cell>
          <cell r="AR10" t="str">
            <v>NA</v>
          </cell>
          <cell r="AS10" t="str">
            <v>NA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NA</v>
          </cell>
          <cell r="AY10" t="str">
            <v>NA</v>
          </cell>
          <cell r="AZ10" t="str">
            <v>NA</v>
          </cell>
          <cell r="BA10" t="str">
            <v>NA</v>
          </cell>
          <cell r="BB10" t="str">
            <v>NA</v>
          </cell>
          <cell r="BC10" t="str">
            <v>NA</v>
          </cell>
          <cell r="BD10" t="str">
            <v>NA</v>
          </cell>
          <cell r="BE10" t="str">
            <v>NA</v>
          </cell>
          <cell r="BF10" t="str">
            <v>NA</v>
          </cell>
          <cell r="BG10" t="str">
            <v>NA</v>
          </cell>
          <cell r="BH10" t="str">
            <v>NA</v>
          </cell>
          <cell r="BI10" t="str">
            <v>NA</v>
          </cell>
          <cell r="BJ10" t="str">
            <v>NA</v>
          </cell>
          <cell r="BK10" t="str">
            <v>NA</v>
          </cell>
          <cell r="BL10" t="str">
            <v>NA</v>
          </cell>
          <cell r="BM10" t="str">
            <v>NA</v>
          </cell>
          <cell r="BN10" t="str">
            <v>NA</v>
          </cell>
          <cell r="BO10" t="str">
            <v>NA</v>
          </cell>
          <cell r="BP10" t="str">
            <v>NA</v>
          </cell>
          <cell r="BQ10" t="str">
            <v>NA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</row>
        <row r="11">
          <cell r="C11">
            <v>3334.8527068854501</v>
          </cell>
          <cell r="D11">
            <v>25721</v>
          </cell>
          <cell r="E11">
            <v>5758</v>
          </cell>
          <cell r="F11">
            <v>5128</v>
          </cell>
          <cell r="G11">
            <v>4099</v>
          </cell>
          <cell r="H11">
            <v>40705</v>
          </cell>
          <cell r="I11">
            <v>6013</v>
          </cell>
          <cell r="J11">
            <v>3207</v>
          </cell>
          <cell r="K11">
            <v>7195</v>
          </cell>
          <cell r="L11">
            <v>2</v>
          </cell>
          <cell r="M11">
            <v>3207</v>
          </cell>
          <cell r="N11">
            <v>7195</v>
          </cell>
          <cell r="O11">
            <v>179.3</v>
          </cell>
          <cell r="P11">
            <v>143.69999999999999</v>
          </cell>
          <cell r="Q11">
            <v>222</v>
          </cell>
          <cell r="R11">
            <v>86735.187340863995</v>
          </cell>
          <cell r="S11">
            <v>75112671.442953795</v>
          </cell>
          <cell r="T11">
            <v>40705</v>
          </cell>
          <cell r="U11">
            <v>53.01</v>
          </cell>
          <cell r="V11" t="str">
            <v>NA</v>
          </cell>
          <cell r="W11">
            <v>-1</v>
          </cell>
          <cell r="X11">
            <v>21202</v>
          </cell>
          <cell r="Y11">
            <v>539</v>
          </cell>
          <cell r="Z11">
            <v>1700</v>
          </cell>
          <cell r="AA11">
            <v>2319</v>
          </cell>
          <cell r="AB11">
            <v>3128</v>
          </cell>
          <cell r="AC11">
            <v>1302</v>
          </cell>
          <cell r="AD11">
            <v>4781</v>
          </cell>
          <cell r="AE11">
            <v>30196</v>
          </cell>
          <cell r="AF11">
            <v>21833</v>
          </cell>
          <cell r="AG11">
            <v>19361.9025</v>
          </cell>
          <cell r="AH11">
            <v>5.8059243399999998</v>
          </cell>
          <cell r="AI11">
            <v>34977</v>
          </cell>
          <cell r="AJ11">
            <v>26614</v>
          </cell>
          <cell r="AK11">
            <v>12.205936386922399</v>
          </cell>
          <cell r="AL11">
            <v>5.8059243396338296</v>
          </cell>
          <cell r="AM11">
            <v>7.9805623633842098</v>
          </cell>
          <cell r="AN11">
            <v>14.082296958785699</v>
          </cell>
          <cell r="AO11">
            <v>3113.73</v>
          </cell>
          <cell r="AP11">
            <v>7</v>
          </cell>
          <cell r="AQ11">
            <v>1160.7</v>
          </cell>
          <cell r="AR11">
            <v>59005.290061601598</v>
          </cell>
          <cell r="AS11">
            <v>21995.3047227926</v>
          </cell>
          <cell r="AT11">
            <v>0.66419057335172305</v>
          </cell>
          <cell r="AU11">
            <v>0.73829203844070401</v>
          </cell>
          <cell r="AV11">
            <v>0.81511173929486902</v>
          </cell>
          <cell r="AW11">
            <v>0.101523664380822</v>
          </cell>
          <cell r="AX11">
            <v>0.172561609319278</v>
          </cell>
          <cell r="AY11">
            <v>0.27792015671730003</v>
          </cell>
          <cell r="AZ11">
            <v>15811.526862201001</v>
          </cell>
          <cell r="BA11">
            <v>3274.0936878001298</v>
          </cell>
          <cell r="BB11">
            <v>1367.8644210245</v>
          </cell>
          <cell r="BC11">
            <v>1230.30331743752</v>
          </cell>
          <cell r="BD11">
            <v>1084.6040310972301</v>
          </cell>
          <cell r="BE11">
            <v>5894.8729362168096</v>
          </cell>
          <cell r="BF11">
            <v>1288.91947081035</v>
          </cell>
          <cell r="BG11">
            <v>576.31240706969697</v>
          </cell>
          <cell r="BH11">
            <v>658.74006311456299</v>
          </cell>
          <cell r="BI11">
            <v>472.29360063837902</v>
          </cell>
          <cell r="BJ11">
            <v>2803.56687855566</v>
          </cell>
          <cell r="BK11">
            <v>1473.0300975668299</v>
          </cell>
          <cell r="BL11">
            <v>2477.30181178883</v>
          </cell>
          <cell r="BM11">
            <v>3205.0838582179799</v>
          </cell>
          <cell r="BN11">
            <v>1915.9047852789899</v>
          </cell>
          <cell r="BO11">
            <v>2749.59215745659</v>
          </cell>
          <cell r="BP11">
            <v>7396.7245552352197</v>
          </cell>
          <cell r="BQ11">
            <v>5910.4209854844903</v>
          </cell>
          <cell r="BR11">
            <v>3957.2327803674498</v>
          </cell>
          <cell r="BS11">
            <v>8452.4264581196403</v>
          </cell>
          <cell r="BT11">
            <v>1611.9768967810701</v>
          </cell>
          <cell r="BU11">
            <v>2191.85346901308</v>
          </cell>
          <cell r="BV11">
            <v>6738.9363810129798</v>
          </cell>
          <cell r="BW11">
            <v>18078.080794048001</v>
          </cell>
        </row>
        <row r="12">
          <cell r="C12">
            <v>419.84276199965899</v>
          </cell>
          <cell r="D12">
            <v>3268</v>
          </cell>
          <cell r="E12">
            <v>461</v>
          </cell>
          <cell r="F12">
            <v>970</v>
          </cell>
          <cell r="G12">
            <v>1105</v>
          </cell>
          <cell r="H12">
            <v>6507</v>
          </cell>
          <cell r="I12">
            <v>833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112</v>
          </cell>
          <cell r="R12">
            <v>27481.442240967801</v>
          </cell>
          <cell r="S12">
            <v>18283828.384405799</v>
          </cell>
          <cell r="T12">
            <v>6507</v>
          </cell>
          <cell r="U12" t="str">
            <v>NA</v>
          </cell>
          <cell r="V12" t="str">
            <v>NA</v>
          </cell>
          <cell r="W12" t="str">
            <v>NA</v>
          </cell>
          <cell r="X12" t="str">
            <v>NA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15.4986594719603</v>
          </cell>
          <cell r="AL12">
            <v>0</v>
          </cell>
          <cell r="AM12">
            <v>0</v>
          </cell>
          <cell r="AN12" t="str">
            <v>NA</v>
          </cell>
          <cell r="AO12" t="str">
            <v>NA</v>
          </cell>
          <cell r="AP12" t="str">
            <v>NA</v>
          </cell>
          <cell r="AQ12" t="str">
            <v>NA</v>
          </cell>
          <cell r="AR12" t="str">
            <v>NA</v>
          </cell>
          <cell r="AS12" t="str">
            <v>NA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F12" t="str">
            <v>NA</v>
          </cell>
          <cell r="BG12" t="str">
            <v>NA</v>
          </cell>
          <cell r="BH12" t="str">
            <v>NA</v>
          </cell>
          <cell r="BI12" t="str">
            <v>NA</v>
          </cell>
          <cell r="BJ12" t="str">
            <v>NA</v>
          </cell>
          <cell r="BK12" t="str">
            <v>NA</v>
          </cell>
          <cell r="BL12" t="str">
            <v>NA</v>
          </cell>
          <cell r="BM12" t="str">
            <v>NA</v>
          </cell>
          <cell r="BN12" t="str">
            <v>NA</v>
          </cell>
          <cell r="BO12" t="str">
            <v>NA</v>
          </cell>
          <cell r="BP12" t="str">
            <v>NA</v>
          </cell>
          <cell r="BQ12" t="str">
            <v>NA</v>
          </cell>
          <cell r="BR12" t="str">
            <v>NA</v>
          </cell>
          <cell r="BS12" t="str">
            <v>NA</v>
          </cell>
          <cell r="BT12" t="str">
            <v>NA</v>
          </cell>
          <cell r="BU12" t="str">
            <v>NA</v>
          </cell>
          <cell r="BV12" t="str">
            <v>NA</v>
          </cell>
          <cell r="BW12" t="str">
            <v>NA</v>
          </cell>
        </row>
        <row r="13">
          <cell r="C13">
            <v>641.49203142067302</v>
          </cell>
          <cell r="D13">
            <v>9152</v>
          </cell>
          <cell r="E13">
            <v>3662</v>
          </cell>
          <cell r="F13">
            <v>1849</v>
          </cell>
          <cell r="G13">
            <v>1268</v>
          </cell>
          <cell r="H13">
            <v>15932</v>
          </cell>
          <cell r="I13">
            <v>1767</v>
          </cell>
          <cell r="J13">
            <v>2376</v>
          </cell>
          <cell r="K13">
            <v>3708</v>
          </cell>
          <cell r="L13">
            <v>1</v>
          </cell>
          <cell r="M13">
            <v>2376</v>
          </cell>
          <cell r="N13">
            <v>3708</v>
          </cell>
          <cell r="O13">
            <v>65.2</v>
          </cell>
          <cell r="P13">
            <v>54.6</v>
          </cell>
          <cell r="Q13">
            <v>113</v>
          </cell>
          <cell r="R13">
            <v>49536.9680977358</v>
          </cell>
          <cell r="S13">
            <v>21861270.175905999</v>
          </cell>
          <cell r="T13">
            <v>15932</v>
          </cell>
          <cell r="U13">
            <v>22.36</v>
          </cell>
          <cell r="V13" t="str">
            <v>NA</v>
          </cell>
          <cell r="W13">
            <v>-1</v>
          </cell>
          <cell r="X13">
            <v>8458</v>
          </cell>
          <cell r="Y13">
            <v>499</v>
          </cell>
          <cell r="Z13">
            <v>909</v>
          </cell>
          <cell r="AA13">
            <v>688</v>
          </cell>
          <cell r="AB13">
            <v>763</v>
          </cell>
          <cell r="AC13">
            <v>281</v>
          </cell>
          <cell r="AD13">
            <v>949</v>
          </cell>
          <cell r="AE13">
            <v>11598</v>
          </cell>
          <cell r="AF13">
            <v>8941</v>
          </cell>
          <cell r="AG13">
            <v>8166.99</v>
          </cell>
          <cell r="AH13">
            <v>12.731241539999999</v>
          </cell>
          <cell r="AI13">
            <v>12547</v>
          </cell>
          <cell r="AJ13">
            <v>9890</v>
          </cell>
          <cell r="AK13">
            <v>24.835850204898598</v>
          </cell>
          <cell r="AL13">
            <v>12.7312415431148</v>
          </cell>
          <cell r="AM13">
            <v>15.4171829353783</v>
          </cell>
          <cell r="AN13">
            <v>23.830490597994199</v>
          </cell>
          <cell r="AO13">
            <v>409.84</v>
          </cell>
          <cell r="AP13">
            <v>1</v>
          </cell>
          <cell r="AQ13">
            <v>409.85</v>
          </cell>
          <cell r="AR13">
            <v>7766.4820260095803</v>
          </cell>
          <cell r="AS13">
            <v>7766.6715263518099</v>
          </cell>
          <cell r="AT13">
            <v>0.72746527194976796</v>
          </cell>
          <cell r="AU13">
            <v>0.79363292455673196</v>
          </cell>
          <cell r="AV13">
            <v>0.865023553371429</v>
          </cell>
          <cell r="AW13">
            <v>0.199897661805152</v>
          </cell>
          <cell r="AX13">
            <v>0.29035162925720198</v>
          </cell>
          <cell r="AY13">
            <v>0.394722580909729</v>
          </cell>
          <cell r="AZ13">
            <v>2251.30451695499</v>
          </cell>
          <cell r="BA13">
            <v>823.64266177222203</v>
          </cell>
          <cell r="BB13">
            <v>580.98678448357896</v>
          </cell>
          <cell r="BC13">
            <v>494.56745963306201</v>
          </cell>
          <cell r="BD13">
            <v>316.96161403540901</v>
          </cell>
          <cell r="BE13">
            <v>2251.3594482578601</v>
          </cell>
          <cell r="BF13">
            <v>823.66275846024098</v>
          </cell>
          <cell r="BG13">
            <v>581.00096042503105</v>
          </cell>
          <cell r="BH13">
            <v>494.57910987545699</v>
          </cell>
          <cell r="BI13">
            <v>316.96926763274502</v>
          </cell>
          <cell r="BJ13">
            <v>1129.1072984074101</v>
          </cell>
          <cell r="BK13">
            <v>961.68913734295097</v>
          </cell>
          <cell r="BL13">
            <v>1636.81600451343</v>
          </cell>
          <cell r="BM13">
            <v>2616.8936457419099</v>
          </cell>
          <cell r="BN13">
            <v>1832.18842873572</v>
          </cell>
          <cell r="BO13">
            <v>3396.2709272551301</v>
          </cell>
          <cell r="BP13">
            <v>1129.07974912601</v>
          </cell>
          <cell r="BQ13">
            <v>961.66070489906997</v>
          </cell>
          <cell r="BR13">
            <v>1636.7851843967501</v>
          </cell>
          <cell r="BS13">
            <v>2616.8297957078598</v>
          </cell>
          <cell r="BT13">
            <v>1832.1999432435</v>
          </cell>
          <cell r="BU13">
            <v>3396.2920575518601</v>
          </cell>
          <cell r="BV13">
            <v>5217.8993464455998</v>
          </cell>
          <cell r="BW13">
            <v>5217.7720340301703</v>
          </cell>
        </row>
        <row r="14">
          <cell r="C14">
            <v>417.69286584226199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114</v>
          </cell>
          <cell r="R14">
            <v>11694.9510662067</v>
          </cell>
          <cell r="S14">
            <v>8530149.7661749404</v>
          </cell>
          <cell r="T14">
            <v>0</v>
          </cell>
          <cell r="U14" t="str">
            <v>NA</v>
          </cell>
          <cell r="V14" t="str">
            <v>NA</v>
          </cell>
          <cell r="W14" t="str">
            <v>NA</v>
          </cell>
          <cell r="X14" t="str">
            <v>NA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 t="str">
            <v>NA</v>
          </cell>
          <cell r="AO14" t="str">
            <v>NA</v>
          </cell>
          <cell r="AP14" t="str">
            <v>NA</v>
          </cell>
          <cell r="AQ14" t="str">
            <v>NA</v>
          </cell>
          <cell r="AR14" t="str">
            <v>NA</v>
          </cell>
          <cell r="AS14" t="str">
            <v>NA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B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F14" t="str">
            <v>NA</v>
          </cell>
          <cell r="BG14" t="str">
            <v>NA</v>
          </cell>
          <cell r="BH14" t="str">
            <v>NA</v>
          </cell>
          <cell r="BI14" t="str">
            <v>NA</v>
          </cell>
          <cell r="BJ14" t="str">
            <v>NA</v>
          </cell>
          <cell r="BK14" t="str">
            <v>NA</v>
          </cell>
          <cell r="BL14" t="str">
            <v>NA</v>
          </cell>
          <cell r="BM14" t="str">
            <v>NA</v>
          </cell>
          <cell r="BN14" t="str">
            <v>NA</v>
          </cell>
          <cell r="BO14" t="str">
            <v>NA</v>
          </cell>
          <cell r="BP14" t="str">
            <v>NA</v>
          </cell>
          <cell r="BQ14" t="str">
            <v>NA</v>
          </cell>
          <cell r="BR14" t="str">
            <v>NA</v>
          </cell>
          <cell r="BS14" t="str">
            <v>NA</v>
          </cell>
          <cell r="BT14" t="str">
            <v>NA</v>
          </cell>
          <cell r="BU14" t="str">
            <v>NA</v>
          </cell>
          <cell r="BV14" t="str">
            <v>NA</v>
          </cell>
          <cell r="BW14" t="str">
            <v>NA</v>
          </cell>
        </row>
        <row r="15">
          <cell r="C15">
            <v>269.22315124434601</v>
          </cell>
          <cell r="D15">
            <v>984</v>
          </cell>
          <cell r="E15">
            <v>203</v>
          </cell>
          <cell r="F15">
            <v>302</v>
          </cell>
          <cell r="G15">
            <v>275</v>
          </cell>
          <cell r="H15">
            <v>1764</v>
          </cell>
          <cell r="I15">
            <v>408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115</v>
          </cell>
          <cell r="R15">
            <v>8709.9176768854104</v>
          </cell>
          <cell r="S15">
            <v>4854491.8976685796</v>
          </cell>
          <cell r="T15">
            <v>1764</v>
          </cell>
          <cell r="U15" t="str">
            <v>NA</v>
          </cell>
          <cell r="V15" t="str">
            <v>NA</v>
          </cell>
          <cell r="W15" t="str">
            <v>NA</v>
          </cell>
          <cell r="X15" t="str">
            <v>NA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6.5521853965634502</v>
          </cell>
          <cell r="AL15">
            <v>0</v>
          </cell>
          <cell r="AM15">
            <v>0</v>
          </cell>
          <cell r="AN15" t="str">
            <v>NA</v>
          </cell>
          <cell r="AO15" t="str">
            <v>NA</v>
          </cell>
          <cell r="AP15" t="str">
            <v>NA</v>
          </cell>
          <cell r="AQ15" t="str">
            <v>NA</v>
          </cell>
          <cell r="AR15" t="str">
            <v>NA</v>
          </cell>
          <cell r="AS15" t="str">
            <v>NA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B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F15" t="str">
            <v>NA</v>
          </cell>
          <cell r="BG15" t="str">
            <v>NA</v>
          </cell>
          <cell r="BH15" t="str">
            <v>NA</v>
          </cell>
          <cell r="BI15" t="str">
            <v>NA</v>
          </cell>
          <cell r="BJ15" t="str">
            <v>NA</v>
          </cell>
          <cell r="BK15" t="str">
            <v>NA</v>
          </cell>
          <cell r="BL15" t="str">
            <v>NA</v>
          </cell>
          <cell r="BM15" t="str">
            <v>NA</v>
          </cell>
          <cell r="BN15" t="str">
            <v>NA</v>
          </cell>
          <cell r="BO15" t="str">
            <v>NA</v>
          </cell>
          <cell r="BP15" t="str">
            <v>NA</v>
          </cell>
          <cell r="BQ15" t="str">
            <v>NA</v>
          </cell>
          <cell r="BR15" t="str">
            <v>NA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</row>
        <row r="16">
          <cell r="C16">
            <v>3865.6556098022302</v>
          </cell>
          <cell r="D16">
            <v>26832</v>
          </cell>
          <cell r="E16">
            <v>3843</v>
          </cell>
          <cell r="F16">
            <v>4339</v>
          </cell>
          <cell r="G16">
            <v>8144</v>
          </cell>
          <cell r="H16">
            <v>43776</v>
          </cell>
          <cell r="I16">
            <v>5336</v>
          </cell>
          <cell r="J16">
            <v>8669</v>
          </cell>
          <cell r="K16">
            <v>17511</v>
          </cell>
          <cell r="L16">
            <v>3</v>
          </cell>
          <cell r="M16">
            <v>8669</v>
          </cell>
          <cell r="N16">
            <v>17511</v>
          </cell>
          <cell r="O16">
            <v>47.1</v>
          </cell>
          <cell r="P16">
            <v>27.7</v>
          </cell>
          <cell r="Q16">
            <v>348</v>
          </cell>
          <cell r="R16">
            <v>48915.0098120322</v>
          </cell>
          <cell r="S16">
            <v>69706754.684799299</v>
          </cell>
          <cell r="T16">
            <v>43776</v>
          </cell>
          <cell r="U16">
            <v>62.816000000000003</v>
          </cell>
          <cell r="V16">
            <v>47.945</v>
          </cell>
          <cell r="W16">
            <v>-0.23699999999999999</v>
          </cell>
          <cell r="X16">
            <v>24589</v>
          </cell>
          <cell r="Y16">
            <v>158</v>
          </cell>
          <cell r="Z16">
            <v>7206</v>
          </cell>
          <cell r="AA16">
            <v>2532</v>
          </cell>
          <cell r="AB16">
            <v>6432</v>
          </cell>
          <cell r="AC16">
            <v>1352</v>
          </cell>
          <cell r="AD16">
            <v>9729</v>
          </cell>
          <cell r="AE16">
            <v>41340</v>
          </cell>
          <cell r="AF16">
            <v>23164</v>
          </cell>
          <cell r="AG16">
            <v>22943.544000000002</v>
          </cell>
          <cell r="AH16">
            <v>5.9352271170000002</v>
          </cell>
          <cell r="AI16">
            <v>51069</v>
          </cell>
          <cell r="AJ16">
            <v>32893</v>
          </cell>
          <cell r="AK16">
            <v>11.3243404014046</v>
          </cell>
          <cell r="AL16">
            <v>5.9352271169271997</v>
          </cell>
          <cell r="AM16">
            <v>8.5090352892773105</v>
          </cell>
          <cell r="AN16">
            <v>54.583302837896703</v>
          </cell>
          <cell r="AO16">
            <v>1055.92</v>
          </cell>
          <cell r="AP16">
            <v>20</v>
          </cell>
          <cell r="AQ16">
            <v>747.15</v>
          </cell>
          <cell r="AR16">
            <v>20009.720136892502</v>
          </cell>
          <cell r="AS16">
            <v>14158.5180698151</v>
          </cell>
          <cell r="AT16">
            <v>0.54097464382648397</v>
          </cell>
          <cell r="AU16">
            <v>0.69576874226331697</v>
          </cell>
          <cell r="AV16">
            <v>0.87517938315868304</v>
          </cell>
          <cell r="AW16">
            <v>0.12867489177733599</v>
          </cell>
          <cell r="AX16">
            <v>0.24278368307277501</v>
          </cell>
          <cell r="AY16">
            <v>0.411890124343335</v>
          </cell>
          <cell r="AZ16">
            <v>5377.9456618615304</v>
          </cell>
          <cell r="BA16">
            <v>2165.0816516017198</v>
          </cell>
          <cell r="BB16">
            <v>1114.04419648053</v>
          </cell>
          <cell r="BC16">
            <v>988.03978447887596</v>
          </cell>
          <cell r="BD16">
            <v>758.31686829598596</v>
          </cell>
          <cell r="BE16">
            <v>3977.4827172638802</v>
          </cell>
          <cell r="BF16">
            <v>1711.3463333888601</v>
          </cell>
          <cell r="BG16">
            <v>878.57516151162599</v>
          </cell>
          <cell r="BH16">
            <v>753.87107599019498</v>
          </cell>
          <cell r="BI16">
            <v>591.44876019730702</v>
          </cell>
          <cell r="BJ16">
            <v>1860.4807524559401</v>
          </cell>
          <cell r="BK16">
            <v>1449.6414016194899</v>
          </cell>
          <cell r="BL16">
            <v>2154.33516114449</v>
          </cell>
          <cell r="BM16">
            <v>2078.8098044711101</v>
          </cell>
          <cell r="BN16">
            <v>1649.0149550461499</v>
          </cell>
          <cell r="BO16">
            <v>2456.4392399828698</v>
          </cell>
          <cell r="BP16">
            <v>2518.6333809443599</v>
          </cell>
          <cell r="BQ16">
            <v>2442.6571383059099</v>
          </cell>
          <cell r="BR16">
            <v>2772.2938734774002</v>
          </cell>
          <cell r="BS16">
            <v>2940.39380734113</v>
          </cell>
          <cell r="BT16">
            <v>1624.6583166415301</v>
          </cell>
          <cell r="BU16">
            <v>2411.7423231391299</v>
          </cell>
          <cell r="BV16">
            <v>4434.5049404121601</v>
          </cell>
          <cell r="BW16">
            <v>6267.1250173057697</v>
          </cell>
        </row>
        <row r="17">
          <cell r="C17">
            <v>3534.0988501863799</v>
          </cell>
          <cell r="D17">
            <v>57533</v>
          </cell>
          <cell r="E17">
            <v>4751</v>
          </cell>
          <cell r="F17">
            <v>11773</v>
          </cell>
          <cell r="G17">
            <v>1700</v>
          </cell>
          <cell r="H17">
            <v>75755</v>
          </cell>
          <cell r="I17">
            <v>9787</v>
          </cell>
          <cell r="J17">
            <v>20216</v>
          </cell>
          <cell r="K17">
            <v>48941</v>
          </cell>
          <cell r="L17">
            <v>8</v>
          </cell>
          <cell r="M17">
            <v>20216</v>
          </cell>
          <cell r="N17">
            <v>48941</v>
          </cell>
          <cell r="O17">
            <v>174.79999999999899</v>
          </cell>
          <cell r="P17">
            <v>79.899999904629993</v>
          </cell>
          <cell r="Q17">
            <v>936</v>
          </cell>
          <cell r="R17">
            <v>130152.146767827</v>
          </cell>
          <cell r="S17">
            <v>84358071.588284701</v>
          </cell>
          <cell r="T17">
            <v>75755</v>
          </cell>
          <cell r="U17">
            <v>133.90899999999999</v>
          </cell>
          <cell r="V17">
            <v>97.822000000000003</v>
          </cell>
          <cell r="W17">
            <v>-0.26900000000000002</v>
          </cell>
          <cell r="X17">
            <v>34909</v>
          </cell>
          <cell r="Y17">
            <v>12367</v>
          </cell>
          <cell r="Z17">
            <v>3084</v>
          </cell>
          <cell r="AA17">
            <v>4937</v>
          </cell>
          <cell r="AB17">
            <v>6100</v>
          </cell>
          <cell r="AC17">
            <v>1107</v>
          </cell>
          <cell r="AD17">
            <v>17237</v>
          </cell>
          <cell r="AE17">
            <v>62504</v>
          </cell>
          <cell r="AF17">
            <v>56327</v>
          </cell>
          <cell r="AG17">
            <v>48910.26225</v>
          </cell>
          <cell r="AH17">
            <v>13.839528639999999</v>
          </cell>
          <cell r="AI17">
            <v>79741</v>
          </cell>
          <cell r="AJ17">
            <v>73564</v>
          </cell>
          <cell r="AK17">
            <v>21.435450226867498</v>
          </cell>
          <cell r="AL17">
            <v>13.8395286389401</v>
          </cell>
          <cell r="AM17">
            <v>20.8154902051254</v>
          </cell>
          <cell r="AN17" t="str">
            <v>NA</v>
          </cell>
          <cell r="AO17" t="str">
            <v>NA</v>
          </cell>
          <cell r="AP17" t="str">
            <v>NA</v>
          </cell>
          <cell r="AQ17" t="str">
            <v>NA</v>
          </cell>
          <cell r="AR17" t="str">
            <v>NA</v>
          </cell>
          <cell r="AS17" t="str">
            <v>NA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B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F17" t="str">
            <v>NA</v>
          </cell>
          <cell r="BG17" t="str">
            <v>NA</v>
          </cell>
          <cell r="BH17" t="str">
            <v>NA</v>
          </cell>
          <cell r="BI17" t="str">
            <v>NA</v>
          </cell>
          <cell r="BJ17" t="str">
            <v>NA</v>
          </cell>
          <cell r="BK17" t="str">
            <v>NA</v>
          </cell>
          <cell r="BL17" t="str">
            <v>NA</v>
          </cell>
          <cell r="BM17" t="str">
            <v>NA</v>
          </cell>
          <cell r="BN17" t="str">
            <v>NA</v>
          </cell>
          <cell r="BO17" t="str">
            <v>NA</v>
          </cell>
          <cell r="BP17" t="str">
            <v>NA</v>
          </cell>
          <cell r="BQ17" t="str">
            <v>NA</v>
          </cell>
          <cell r="BR17" t="str">
            <v>NA</v>
          </cell>
          <cell r="BS17" t="str">
            <v>NA</v>
          </cell>
          <cell r="BT17" t="str">
            <v>NA</v>
          </cell>
          <cell r="BU17" t="str">
            <v>NA</v>
          </cell>
          <cell r="BV17" t="str">
            <v>NA</v>
          </cell>
          <cell r="BW17" t="str">
            <v>NA</v>
          </cell>
        </row>
        <row r="18">
          <cell r="C18">
            <v>194.972881445594</v>
          </cell>
          <cell r="D18">
            <v>4620</v>
          </cell>
          <cell r="E18">
            <v>196</v>
          </cell>
          <cell r="F18">
            <v>429</v>
          </cell>
          <cell r="G18">
            <v>33</v>
          </cell>
          <cell r="H18">
            <v>5277</v>
          </cell>
          <cell r="I18">
            <v>319</v>
          </cell>
          <cell r="J18">
            <v>0</v>
          </cell>
          <cell r="K18">
            <v>4650</v>
          </cell>
          <cell r="L18">
            <v>1</v>
          </cell>
          <cell r="M18">
            <v>0</v>
          </cell>
          <cell r="N18">
            <v>4650</v>
          </cell>
          <cell r="O18">
            <v>0</v>
          </cell>
          <cell r="P18">
            <v>-65.2</v>
          </cell>
          <cell r="Q18">
            <v>118</v>
          </cell>
          <cell r="R18">
            <v>10922.8074952693</v>
          </cell>
          <cell r="S18">
            <v>3528344.5804068898</v>
          </cell>
          <cell r="T18">
            <v>5277</v>
          </cell>
          <cell r="U18" t="str">
            <v>NA</v>
          </cell>
          <cell r="V18" t="str">
            <v>NA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A18" t="str">
            <v>NA</v>
          </cell>
          <cell r="AB18" t="str">
            <v>NA</v>
          </cell>
          <cell r="AC18" t="str">
            <v>NA</v>
          </cell>
          <cell r="AD18" t="str">
            <v>NA</v>
          </cell>
          <cell r="AE18" t="str">
            <v>NA</v>
          </cell>
          <cell r="AF18" t="str">
            <v>NA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27.065302419877799</v>
          </cell>
          <cell r="AL18">
            <v>0</v>
          </cell>
          <cell r="AM18">
            <v>0</v>
          </cell>
          <cell r="AN18" t="str">
            <v>NA</v>
          </cell>
          <cell r="AO18" t="str">
            <v>NA</v>
          </cell>
          <cell r="AP18" t="str">
            <v>NA</v>
          </cell>
          <cell r="AQ18" t="str">
            <v>NA</v>
          </cell>
          <cell r="AR18" t="str">
            <v>NA</v>
          </cell>
          <cell r="AS18" t="str">
            <v>NA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NA</v>
          </cell>
          <cell r="AY18" t="str">
            <v>NA</v>
          </cell>
          <cell r="AZ18" t="str">
            <v>NA</v>
          </cell>
          <cell r="BA18" t="str">
            <v>NA</v>
          </cell>
          <cell r="BB18" t="str">
            <v>NA</v>
          </cell>
          <cell r="BC18" t="str">
            <v>NA</v>
          </cell>
          <cell r="BD18" t="str">
            <v>NA</v>
          </cell>
          <cell r="BE18" t="str">
            <v>NA</v>
          </cell>
          <cell r="BF18" t="str">
            <v>NA</v>
          </cell>
          <cell r="BG18" t="str">
            <v>NA</v>
          </cell>
          <cell r="BH18" t="str">
            <v>NA</v>
          </cell>
          <cell r="BI18" t="str">
            <v>NA</v>
          </cell>
          <cell r="BJ18" t="str">
            <v>NA</v>
          </cell>
          <cell r="BK18" t="str">
            <v>NA</v>
          </cell>
          <cell r="BL18" t="str">
            <v>NA</v>
          </cell>
          <cell r="BM18" t="str">
            <v>NA</v>
          </cell>
          <cell r="BN18" t="str">
            <v>NA</v>
          </cell>
          <cell r="BO18" t="str">
            <v>NA</v>
          </cell>
          <cell r="BP18" t="str">
            <v>NA</v>
          </cell>
          <cell r="BQ18" t="str">
            <v>NA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</row>
        <row r="19">
          <cell r="C19">
            <v>331.93027460467101</v>
          </cell>
          <cell r="D19">
            <v>2358</v>
          </cell>
          <cell r="E19">
            <v>490</v>
          </cell>
          <cell r="F19">
            <v>1236</v>
          </cell>
          <cell r="G19">
            <v>101</v>
          </cell>
          <cell r="H19">
            <v>4186</v>
          </cell>
          <cell r="I19">
            <v>1324</v>
          </cell>
          <cell r="J19">
            <v>802</v>
          </cell>
          <cell r="K19">
            <v>1956</v>
          </cell>
          <cell r="L19">
            <v>1</v>
          </cell>
          <cell r="M19">
            <v>802</v>
          </cell>
          <cell r="N19">
            <v>1956</v>
          </cell>
          <cell r="O19">
            <v>86.2</v>
          </cell>
          <cell r="P19">
            <v>71.900000000000006</v>
          </cell>
          <cell r="Q19">
            <v>119</v>
          </cell>
          <cell r="R19">
            <v>14132.114987584901</v>
          </cell>
          <cell r="S19">
            <v>5935522.7823831802</v>
          </cell>
          <cell r="T19">
            <v>4186</v>
          </cell>
          <cell r="U19" t="str">
            <v>NA</v>
          </cell>
          <cell r="V19" t="str">
            <v>NA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A19" t="str">
            <v>NA</v>
          </cell>
          <cell r="AB19" t="str">
            <v>NA</v>
          </cell>
          <cell r="AC19" t="str">
            <v>NA</v>
          </cell>
          <cell r="AD19" t="str">
            <v>NA</v>
          </cell>
          <cell r="AE19" t="str">
            <v>NA</v>
          </cell>
          <cell r="AF19" t="str">
            <v>NA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12.6110822671584</v>
          </cell>
          <cell r="AL19">
            <v>0</v>
          </cell>
          <cell r="AM19">
            <v>0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NA</v>
          </cell>
          <cell r="AY19" t="str">
            <v>NA</v>
          </cell>
          <cell r="AZ19" t="str">
            <v>NA</v>
          </cell>
          <cell r="BA19" t="str">
            <v>NA</v>
          </cell>
          <cell r="BB19" t="str">
            <v>NA</v>
          </cell>
          <cell r="BC19" t="str">
            <v>NA</v>
          </cell>
          <cell r="BD19" t="str">
            <v>NA</v>
          </cell>
          <cell r="BE19" t="str">
            <v>NA</v>
          </cell>
          <cell r="BF19" t="str">
            <v>NA</v>
          </cell>
          <cell r="BG19" t="str">
            <v>NA</v>
          </cell>
          <cell r="BH19" t="str">
            <v>NA</v>
          </cell>
          <cell r="BI19" t="str">
            <v>NA</v>
          </cell>
          <cell r="BJ19" t="str">
            <v>NA</v>
          </cell>
          <cell r="BK19" t="str">
            <v>NA</v>
          </cell>
          <cell r="BL19" t="str">
            <v>NA</v>
          </cell>
          <cell r="BM19" t="str">
            <v>NA</v>
          </cell>
          <cell r="BN19" t="str">
            <v>NA</v>
          </cell>
          <cell r="BO19" t="str">
            <v>NA</v>
          </cell>
          <cell r="BP19" t="str">
            <v>NA</v>
          </cell>
          <cell r="BQ19" t="str">
            <v>NA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</row>
        <row r="20">
          <cell r="C20">
            <v>688.52720486422902</v>
          </cell>
          <cell r="D20">
            <v>2337</v>
          </cell>
          <cell r="E20">
            <v>324</v>
          </cell>
          <cell r="F20">
            <v>713</v>
          </cell>
          <cell r="G20">
            <v>1050</v>
          </cell>
          <cell r="H20">
            <v>5127</v>
          </cell>
          <cell r="I20">
            <v>609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120</v>
          </cell>
          <cell r="R20">
            <v>25709.829991211001</v>
          </cell>
          <cell r="S20">
            <v>14368080.8481372</v>
          </cell>
          <cell r="T20">
            <v>5127</v>
          </cell>
          <cell r="U20" t="str">
            <v>NA</v>
          </cell>
          <cell r="V20" t="str">
            <v>NA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A20" t="str">
            <v>NA</v>
          </cell>
          <cell r="AB20" t="str">
            <v>NA</v>
          </cell>
          <cell r="AC20" t="str">
            <v>NA</v>
          </cell>
          <cell r="AD20" t="str">
            <v>NA</v>
          </cell>
          <cell r="AE20" t="str">
            <v>NA</v>
          </cell>
          <cell r="AF20" t="str">
            <v>NA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7.4463288651186899</v>
          </cell>
          <cell r="AL20">
            <v>0</v>
          </cell>
          <cell r="AM20">
            <v>0</v>
          </cell>
          <cell r="AN20" t="str">
            <v>NA</v>
          </cell>
          <cell r="AO20" t="str">
            <v>NA</v>
          </cell>
          <cell r="AP20" t="str">
            <v>NA</v>
          </cell>
          <cell r="AQ20" t="str">
            <v>NA</v>
          </cell>
          <cell r="AR20" t="str">
            <v>NA</v>
          </cell>
          <cell r="AS20" t="str">
            <v>NA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NA</v>
          </cell>
          <cell r="AY20" t="str">
            <v>NA</v>
          </cell>
          <cell r="AZ20" t="str">
            <v>NA</v>
          </cell>
          <cell r="BA20" t="str">
            <v>NA</v>
          </cell>
          <cell r="BB20" t="str">
            <v>NA</v>
          </cell>
          <cell r="BC20" t="str">
            <v>NA</v>
          </cell>
          <cell r="BD20" t="str">
            <v>NA</v>
          </cell>
          <cell r="BE20" t="str">
            <v>NA</v>
          </cell>
          <cell r="BF20" t="str">
            <v>NA</v>
          </cell>
          <cell r="BG20" t="str">
            <v>NA</v>
          </cell>
          <cell r="BH20" t="str">
            <v>NA</v>
          </cell>
          <cell r="BI20" t="str">
            <v>NA</v>
          </cell>
          <cell r="BJ20" t="str">
            <v>NA</v>
          </cell>
          <cell r="BK20" t="str">
            <v>NA</v>
          </cell>
          <cell r="BL20" t="str">
            <v>NA</v>
          </cell>
          <cell r="BM20" t="str">
            <v>NA</v>
          </cell>
          <cell r="BN20" t="str">
            <v>NA</v>
          </cell>
          <cell r="BO20" t="str">
            <v>NA</v>
          </cell>
          <cell r="BP20" t="str">
            <v>NA</v>
          </cell>
          <cell r="BQ20" t="str">
            <v>NA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</row>
        <row r="21">
          <cell r="C21">
            <v>1099.5059152783599</v>
          </cell>
          <cell r="D21">
            <v>6047</v>
          </cell>
          <cell r="E21">
            <v>1809</v>
          </cell>
          <cell r="F21">
            <v>2514</v>
          </cell>
          <cell r="G21">
            <v>994</v>
          </cell>
          <cell r="H21">
            <v>11361</v>
          </cell>
          <cell r="I21">
            <v>1251</v>
          </cell>
          <cell r="J21">
            <v>4236</v>
          </cell>
          <cell r="K21">
            <v>7352</v>
          </cell>
          <cell r="L21">
            <v>3</v>
          </cell>
          <cell r="M21">
            <v>4236</v>
          </cell>
          <cell r="N21">
            <v>7352</v>
          </cell>
          <cell r="O21">
            <v>45</v>
          </cell>
          <cell r="P21">
            <v>30.1</v>
          </cell>
          <cell r="Q21">
            <v>363</v>
          </cell>
          <cell r="R21">
            <v>94697.597564455893</v>
          </cell>
          <cell r="S21">
            <v>29078372.469158199</v>
          </cell>
          <cell r="T21">
            <v>11361</v>
          </cell>
          <cell r="U21" t="str">
            <v>NA</v>
          </cell>
          <cell r="V21" t="str">
            <v>NA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A21" t="str">
            <v>NA</v>
          </cell>
          <cell r="AB21" t="str">
            <v>NA</v>
          </cell>
          <cell r="AC21" t="str">
            <v>NA</v>
          </cell>
          <cell r="AD21" t="str">
            <v>NA</v>
          </cell>
          <cell r="AE21" t="str">
            <v>NA</v>
          </cell>
          <cell r="AF21" t="str">
            <v>NA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10.332822990882899</v>
          </cell>
          <cell r="AL21">
            <v>0</v>
          </cell>
          <cell r="AM21">
            <v>0</v>
          </cell>
          <cell r="AN21" t="str">
            <v>NA</v>
          </cell>
          <cell r="AO21" t="str">
            <v>NA</v>
          </cell>
          <cell r="AP21" t="str">
            <v>NA</v>
          </cell>
          <cell r="AQ21" t="str">
            <v>NA</v>
          </cell>
          <cell r="AR21" t="str">
            <v>NA</v>
          </cell>
          <cell r="AS21" t="str">
            <v>NA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NA</v>
          </cell>
          <cell r="AY21" t="str">
            <v>NA</v>
          </cell>
          <cell r="AZ21" t="str">
            <v>NA</v>
          </cell>
          <cell r="BA21" t="str">
            <v>NA</v>
          </cell>
          <cell r="BB21" t="str">
            <v>NA</v>
          </cell>
          <cell r="BC21" t="str">
            <v>NA</v>
          </cell>
          <cell r="BD21" t="str">
            <v>NA</v>
          </cell>
          <cell r="BE21" t="str">
            <v>NA</v>
          </cell>
          <cell r="BF21" t="str">
            <v>NA</v>
          </cell>
          <cell r="BG21" t="str">
            <v>NA</v>
          </cell>
          <cell r="BH21" t="str">
            <v>NA</v>
          </cell>
          <cell r="BI21" t="str">
            <v>NA</v>
          </cell>
          <cell r="BJ21" t="str">
            <v>NA</v>
          </cell>
          <cell r="BK21" t="str">
            <v>NA</v>
          </cell>
          <cell r="BL21" t="str">
            <v>NA</v>
          </cell>
          <cell r="BM21" t="str">
            <v>NA</v>
          </cell>
          <cell r="BN21" t="str">
            <v>NA</v>
          </cell>
          <cell r="BO21" t="str">
            <v>NA</v>
          </cell>
          <cell r="BP21" t="str">
            <v>NA</v>
          </cell>
          <cell r="BQ21" t="str">
            <v>NA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</row>
        <row r="22">
          <cell r="C22">
            <v>629.73904350898897</v>
          </cell>
          <cell r="D22">
            <v>4515</v>
          </cell>
          <cell r="E22">
            <v>503</v>
          </cell>
          <cell r="F22">
            <v>1015</v>
          </cell>
          <cell r="G22">
            <v>1897</v>
          </cell>
          <cell r="H22">
            <v>7931</v>
          </cell>
          <cell r="I22">
            <v>961</v>
          </cell>
          <cell r="J22">
            <v>0</v>
          </cell>
          <cell r="K22">
            <v>16750</v>
          </cell>
          <cell r="L22">
            <v>1</v>
          </cell>
          <cell r="M22">
            <v>0</v>
          </cell>
          <cell r="N22">
            <v>16750</v>
          </cell>
          <cell r="O22">
            <v>0</v>
          </cell>
          <cell r="P22">
            <v>-261.8</v>
          </cell>
          <cell r="Q22">
            <v>122</v>
          </cell>
          <cell r="R22">
            <v>22246.684242900399</v>
          </cell>
          <cell r="S22">
            <v>18157877.9524449</v>
          </cell>
          <cell r="T22">
            <v>7931</v>
          </cell>
          <cell r="U22">
            <v>12.685</v>
          </cell>
          <cell r="V22">
            <v>45.89</v>
          </cell>
          <cell r="W22">
            <v>2.6179999999999999</v>
          </cell>
          <cell r="X22">
            <v>3916</v>
          </cell>
          <cell r="Y22">
            <v>1196</v>
          </cell>
          <cell r="Z22">
            <v>455</v>
          </cell>
          <cell r="AA22">
            <v>433</v>
          </cell>
          <cell r="AB22">
            <v>1040</v>
          </cell>
          <cell r="AC22">
            <v>381</v>
          </cell>
          <cell r="AD22">
            <v>5331</v>
          </cell>
          <cell r="AE22">
            <v>7421</v>
          </cell>
          <cell r="AF22">
            <v>5834</v>
          </cell>
          <cell r="AG22">
            <v>4633.19625</v>
          </cell>
          <cell r="AH22">
            <v>7.3573272889999997</v>
          </cell>
          <cell r="AI22">
            <v>12752</v>
          </cell>
          <cell r="AJ22">
            <v>11165</v>
          </cell>
          <cell r="AK22">
            <v>12.594105577140899</v>
          </cell>
          <cell r="AL22">
            <v>7.35732728938516</v>
          </cell>
          <cell r="AM22">
            <v>17.729566103742101</v>
          </cell>
          <cell r="AN22">
            <v>1.6761216653302899</v>
          </cell>
          <cell r="AO22">
            <v>0.69</v>
          </cell>
          <cell r="AP22">
            <v>2</v>
          </cell>
          <cell r="AQ22">
            <v>0.71</v>
          </cell>
          <cell r="AR22">
            <v>13.075523613963</v>
          </cell>
          <cell r="AS22">
            <v>13.454524298425699</v>
          </cell>
          <cell r="AT22">
            <v>0.73625195026397705</v>
          </cell>
          <cell r="AU22">
            <v>0.90669018030166604</v>
          </cell>
          <cell r="AV22">
            <v>1.1024689674377399</v>
          </cell>
          <cell r="AW22">
            <v>0.18310436978936101</v>
          </cell>
          <cell r="AX22">
            <v>0.35520058870315502</v>
          </cell>
          <cell r="AY22">
            <v>0.586187303066253</v>
          </cell>
          <cell r="AZ22">
            <v>4.4091577688622401</v>
          </cell>
          <cell r="BA22">
            <v>1.9085130274155699</v>
          </cell>
          <cell r="BB22">
            <v>1.88942789714141</v>
          </cell>
          <cell r="BC22">
            <v>1.18356528206088</v>
          </cell>
          <cell r="BD22">
            <v>0.74159373168674603</v>
          </cell>
          <cell r="BE22">
            <v>4.5346708905213999</v>
          </cell>
          <cell r="BF22">
            <v>1.95768344490975</v>
          </cell>
          <cell r="BG22">
            <v>1.9381066104606499</v>
          </cell>
          <cell r="BH22">
            <v>1.21402558749128</v>
          </cell>
          <cell r="BI22">
            <v>0.76069379339427701</v>
          </cell>
          <cell r="BJ22">
            <v>2.0615885678692498</v>
          </cell>
          <cell r="BK22">
            <v>3.6600657839989998</v>
          </cell>
          <cell r="BL22">
            <v>5.9830573729504399</v>
          </cell>
          <cell r="BM22">
            <v>2.37515297129708</v>
          </cell>
          <cell r="BN22">
            <v>4.14370987169724</v>
          </cell>
          <cell r="BO22">
            <v>6.8400313196693103</v>
          </cell>
          <cell r="BP22">
            <v>2.00428242781972</v>
          </cell>
          <cell r="BQ22">
            <v>3.54132196894294</v>
          </cell>
          <cell r="BR22">
            <v>5.8261061802802496</v>
          </cell>
          <cell r="BS22">
            <v>2.3079554560259101</v>
          </cell>
          <cell r="BT22">
            <v>4.1573267411151802</v>
          </cell>
          <cell r="BU22">
            <v>6.8650196645277104</v>
          </cell>
          <cell r="BV22">
            <v>5.2237023754634597</v>
          </cell>
          <cell r="BW22">
            <v>5.07655582967576</v>
          </cell>
        </row>
        <row r="23">
          <cell r="C23">
            <v>1918.0114797204401</v>
          </cell>
          <cell r="D23">
            <v>13556</v>
          </cell>
          <cell r="E23">
            <v>2258</v>
          </cell>
          <cell r="F23">
            <v>3607</v>
          </cell>
          <cell r="G23">
            <v>2729</v>
          </cell>
          <cell r="H23">
            <v>22536</v>
          </cell>
          <cell r="I23">
            <v>3574</v>
          </cell>
          <cell r="J23">
            <v>7118</v>
          </cell>
          <cell r="K23">
            <v>10334</v>
          </cell>
          <cell r="L23">
            <v>7</v>
          </cell>
          <cell r="M23">
            <v>7118</v>
          </cell>
          <cell r="N23">
            <v>10334</v>
          </cell>
          <cell r="O23">
            <v>250</v>
          </cell>
          <cell r="P23">
            <v>203.1</v>
          </cell>
          <cell r="Q23">
            <v>861</v>
          </cell>
          <cell r="R23">
            <v>99707.253555400006</v>
          </cell>
          <cell r="S23">
            <v>54513595.320070803</v>
          </cell>
          <cell r="T23">
            <v>22536</v>
          </cell>
          <cell r="U23" t="str">
            <v>NA</v>
          </cell>
          <cell r="V23" t="str">
            <v>NA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A23" t="str">
            <v>NA</v>
          </cell>
          <cell r="AB23" t="str">
            <v>NA</v>
          </cell>
          <cell r="AC23" t="str">
            <v>NA</v>
          </cell>
          <cell r="AD23" t="str">
            <v>NA</v>
          </cell>
          <cell r="AE23" t="str">
            <v>NA</v>
          </cell>
          <cell r="AF23" t="str">
            <v>NA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11.7496689870097</v>
          </cell>
          <cell r="AL23">
            <v>0</v>
          </cell>
          <cell r="AM23">
            <v>0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NA</v>
          </cell>
          <cell r="AY23" t="str">
            <v>NA</v>
          </cell>
          <cell r="AZ23" t="str">
            <v>NA</v>
          </cell>
          <cell r="BA23" t="str">
            <v>NA</v>
          </cell>
          <cell r="BB23" t="str">
            <v>NA</v>
          </cell>
          <cell r="BC23" t="str">
            <v>NA</v>
          </cell>
          <cell r="BD23" t="str">
            <v>NA</v>
          </cell>
          <cell r="BE23" t="str">
            <v>NA</v>
          </cell>
          <cell r="BF23" t="str">
            <v>NA</v>
          </cell>
          <cell r="BG23" t="str">
            <v>NA</v>
          </cell>
          <cell r="BH23" t="str">
            <v>NA</v>
          </cell>
          <cell r="BI23" t="str">
            <v>NA</v>
          </cell>
          <cell r="BJ23" t="str">
            <v>NA</v>
          </cell>
          <cell r="BK23" t="str">
            <v>NA</v>
          </cell>
          <cell r="BL23" t="str">
            <v>NA</v>
          </cell>
          <cell r="BM23" t="str">
            <v>NA</v>
          </cell>
          <cell r="BN23" t="str">
            <v>NA</v>
          </cell>
          <cell r="BO23" t="str">
            <v>NA</v>
          </cell>
          <cell r="BP23" t="str">
            <v>NA</v>
          </cell>
          <cell r="BQ23" t="str">
            <v>NA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</row>
        <row r="24">
          <cell r="C24">
            <v>162.41732979864</v>
          </cell>
          <cell r="D24">
            <v>1708</v>
          </cell>
          <cell r="E24">
            <v>212</v>
          </cell>
          <cell r="F24">
            <v>1019</v>
          </cell>
          <cell r="G24">
            <v>215</v>
          </cell>
          <cell r="H24">
            <v>3155</v>
          </cell>
          <cell r="I24">
            <v>382</v>
          </cell>
          <cell r="J24">
            <v>327</v>
          </cell>
          <cell r="K24">
            <v>557</v>
          </cell>
          <cell r="L24">
            <v>2</v>
          </cell>
          <cell r="M24">
            <v>317</v>
          </cell>
          <cell r="N24">
            <v>557</v>
          </cell>
          <cell r="O24">
            <v>82.2</v>
          </cell>
          <cell r="P24">
            <v>70.5</v>
          </cell>
          <cell r="Q24">
            <v>902</v>
          </cell>
          <cell r="R24">
            <v>57961.191556869402</v>
          </cell>
          <cell r="S24">
            <v>21473406.292872801</v>
          </cell>
          <cell r="T24">
            <v>3155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A24" t="str">
            <v>NA</v>
          </cell>
          <cell r="AB24" t="str">
            <v>NA</v>
          </cell>
          <cell r="AC24" t="str">
            <v>NA</v>
          </cell>
          <cell r="AD24" t="str">
            <v>NA</v>
          </cell>
          <cell r="AE24" t="str">
            <v>NA</v>
          </cell>
          <cell r="AF24" t="str">
            <v>NA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19.4252670199138</v>
          </cell>
          <cell r="AL24">
            <v>0</v>
          </cell>
          <cell r="AM24">
            <v>0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B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F24" t="str">
            <v>NA</v>
          </cell>
          <cell r="BG24" t="str">
            <v>NA</v>
          </cell>
          <cell r="BH24" t="str">
            <v>NA</v>
          </cell>
          <cell r="BI24" t="str">
            <v>NA</v>
          </cell>
          <cell r="BJ24" t="str">
            <v>NA</v>
          </cell>
          <cell r="BK24" t="str">
            <v>NA</v>
          </cell>
          <cell r="BL24" t="str">
            <v>NA</v>
          </cell>
          <cell r="BM24" t="str">
            <v>NA</v>
          </cell>
          <cell r="BN24" t="str">
            <v>NA</v>
          </cell>
          <cell r="BO24" t="str">
            <v>NA</v>
          </cell>
          <cell r="BP24" t="str">
            <v>NA</v>
          </cell>
          <cell r="BQ24" t="str">
            <v>NA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</row>
        <row r="25">
          <cell r="C25">
            <v>1062.1764393159599</v>
          </cell>
          <cell r="D25">
            <v>1743</v>
          </cell>
          <cell r="E25">
            <v>323</v>
          </cell>
          <cell r="F25">
            <v>709</v>
          </cell>
          <cell r="G25">
            <v>182</v>
          </cell>
          <cell r="H25">
            <v>3066</v>
          </cell>
          <cell r="I25">
            <v>776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125</v>
          </cell>
          <cell r="R25">
            <v>17874.771878203901</v>
          </cell>
          <cell r="S25">
            <v>19749373.689245299</v>
          </cell>
          <cell r="T25">
            <v>3066</v>
          </cell>
          <cell r="U25" t="str">
            <v>NA</v>
          </cell>
          <cell r="V25" t="str">
            <v>NA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A25" t="str">
            <v>NA</v>
          </cell>
          <cell r="AB25" t="str">
            <v>NA</v>
          </cell>
          <cell r="AC25" t="str">
            <v>NA</v>
          </cell>
          <cell r="AD25" t="str">
            <v>NA</v>
          </cell>
          <cell r="AE25" t="str">
            <v>NA</v>
          </cell>
          <cell r="AF25" t="str">
            <v>NA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2.88652608598106</v>
          </cell>
          <cell r="AL25">
            <v>0</v>
          </cell>
          <cell r="AM25">
            <v>0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NA</v>
          </cell>
          <cell r="AY25" t="str">
            <v>NA</v>
          </cell>
          <cell r="AZ25" t="str">
            <v>NA</v>
          </cell>
          <cell r="BA25" t="str">
            <v>NA</v>
          </cell>
          <cell r="BB25" t="str">
            <v>NA</v>
          </cell>
          <cell r="BC25" t="str">
            <v>NA</v>
          </cell>
          <cell r="BD25" t="str">
            <v>NA</v>
          </cell>
          <cell r="BE25" t="str">
            <v>NA</v>
          </cell>
          <cell r="BF25" t="str">
            <v>NA</v>
          </cell>
          <cell r="BG25" t="str">
            <v>NA</v>
          </cell>
          <cell r="BH25" t="str">
            <v>NA</v>
          </cell>
          <cell r="BI25" t="str">
            <v>NA</v>
          </cell>
          <cell r="BJ25" t="str">
            <v>NA</v>
          </cell>
          <cell r="BK25" t="str">
            <v>NA</v>
          </cell>
          <cell r="BL25" t="str">
            <v>NA</v>
          </cell>
          <cell r="BM25" t="str">
            <v>NA</v>
          </cell>
          <cell r="BN25" t="str">
            <v>NA</v>
          </cell>
          <cell r="BO25" t="str">
            <v>NA</v>
          </cell>
          <cell r="BP25" t="str">
            <v>NA</v>
          </cell>
          <cell r="BQ25" t="str">
            <v>NA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</row>
        <row r="26">
          <cell r="C26">
            <v>1127.4748309839899</v>
          </cell>
          <cell r="D26">
            <v>29886</v>
          </cell>
          <cell r="E26">
            <v>2965</v>
          </cell>
          <cell r="F26">
            <v>3424</v>
          </cell>
          <cell r="G26">
            <v>1388</v>
          </cell>
          <cell r="H26">
            <v>37577</v>
          </cell>
          <cell r="I26">
            <v>4701</v>
          </cell>
          <cell r="J26">
            <v>804</v>
          </cell>
          <cell r="K26">
            <v>4912</v>
          </cell>
          <cell r="L26">
            <v>4</v>
          </cell>
          <cell r="M26">
            <v>804</v>
          </cell>
          <cell r="N26">
            <v>4912</v>
          </cell>
          <cell r="O26">
            <v>384</v>
          </cell>
          <cell r="P26">
            <v>321.5</v>
          </cell>
          <cell r="Q26">
            <v>504</v>
          </cell>
          <cell r="R26">
            <v>65014.837557038103</v>
          </cell>
          <cell r="S26">
            <v>29074083.328665901</v>
          </cell>
          <cell r="T26">
            <v>37577</v>
          </cell>
          <cell r="U26">
            <v>67.022000000000006</v>
          </cell>
          <cell r="V26">
            <v>13.459</v>
          </cell>
          <cell r="W26">
            <v>-0.79900000000000004</v>
          </cell>
          <cell r="X26">
            <v>22821</v>
          </cell>
          <cell r="Y26">
            <v>145</v>
          </cell>
          <cell r="Z26">
            <v>1973</v>
          </cell>
          <cell r="AA26">
            <v>1881</v>
          </cell>
          <cell r="AB26">
            <v>1163</v>
          </cell>
          <cell r="AC26">
            <v>419</v>
          </cell>
          <cell r="AD26">
            <v>13272</v>
          </cell>
          <cell r="AE26">
            <v>28402</v>
          </cell>
          <cell r="AF26">
            <v>25221</v>
          </cell>
          <cell r="AG26">
            <v>24479.785500000002</v>
          </cell>
          <cell r="AH26">
            <v>21.712046090000001</v>
          </cell>
          <cell r="AI26">
            <v>41674</v>
          </cell>
          <cell r="AJ26">
            <v>38493</v>
          </cell>
          <cell r="AK26">
            <v>33.328460172547601</v>
          </cell>
          <cell r="AL26">
            <v>21.7120460938674</v>
          </cell>
          <cell r="AM26">
            <v>34.140895159855098</v>
          </cell>
          <cell r="AN26">
            <v>24.6431819896926</v>
          </cell>
          <cell r="AO26">
            <v>1038.1600000000001</v>
          </cell>
          <cell r="AP26">
            <v>4</v>
          </cell>
          <cell r="AQ26">
            <v>683.52</v>
          </cell>
          <cell r="AR26">
            <v>19673.167529089598</v>
          </cell>
          <cell r="AS26">
            <v>12952.727392197099</v>
          </cell>
          <cell r="AT26">
            <v>0.78026066720485598</v>
          </cell>
          <cell r="AU26">
            <v>0.97615422308444899</v>
          </cell>
          <cell r="AV26">
            <v>1.1734965145587899</v>
          </cell>
          <cell r="AW26">
            <v>9.3285359442233998E-2</v>
          </cell>
          <cell r="AX26">
            <v>0.22373002022504801</v>
          </cell>
          <cell r="AY26">
            <v>0.427516549825668</v>
          </cell>
          <cell r="AZ26">
            <v>6894.1157652059001</v>
          </cell>
          <cell r="BA26">
            <v>1438.44292973951</v>
          </cell>
          <cell r="BB26">
            <v>869.93458378147295</v>
          </cell>
          <cell r="BC26">
            <v>789.80413177036803</v>
          </cell>
          <cell r="BD26">
            <v>538.19390183526298</v>
          </cell>
          <cell r="BE26">
            <v>4629.6235197962696</v>
          </cell>
          <cell r="BF26">
            <v>1061.70606058198</v>
          </cell>
          <cell r="BG26">
            <v>614.07568029286494</v>
          </cell>
          <cell r="BH26">
            <v>568.17455381651496</v>
          </cell>
          <cell r="BI26">
            <v>394.09520848648498</v>
          </cell>
          <cell r="BJ26">
            <v>2219.90562370422</v>
          </cell>
          <cell r="BK26">
            <v>1513.2618312055499</v>
          </cell>
          <cell r="BL26">
            <v>2524.3398403656702</v>
          </cell>
          <cell r="BM26">
            <v>7117.8892541447403</v>
          </cell>
          <cell r="BN26">
            <v>3617.0404842662201</v>
          </cell>
          <cell r="BO26">
            <v>6565.8254415251204</v>
          </cell>
          <cell r="BP26">
            <v>3333.7914666265901</v>
          </cell>
          <cell r="BQ26">
            <v>2687.2973660612201</v>
          </cell>
          <cell r="BR26">
            <v>3662.24330896127</v>
          </cell>
          <cell r="BS26">
            <v>10905.4374145539</v>
          </cell>
          <cell r="BT26">
            <v>3288.1662983506899</v>
          </cell>
          <cell r="BU26">
            <v>5962.3077517797201</v>
          </cell>
          <cell r="BV26">
            <v>14840.617746080299</v>
          </cell>
          <cell r="BW26">
            <v>22540.5777728094</v>
          </cell>
        </row>
        <row r="27">
          <cell r="C27">
            <v>1276.51037162022</v>
          </cell>
          <cell r="D27">
            <v>8683</v>
          </cell>
          <cell r="E27">
            <v>1631</v>
          </cell>
          <cell r="F27">
            <v>1622</v>
          </cell>
          <cell r="G27">
            <v>459</v>
          </cell>
          <cell r="H27">
            <v>12396</v>
          </cell>
          <cell r="I27">
            <v>1456</v>
          </cell>
          <cell r="J27">
            <v>4363</v>
          </cell>
          <cell r="K27">
            <v>7024</v>
          </cell>
          <cell r="L27">
            <v>4</v>
          </cell>
          <cell r="M27">
            <v>4363</v>
          </cell>
          <cell r="N27">
            <v>7024</v>
          </cell>
          <cell r="O27">
            <v>80</v>
          </cell>
          <cell r="P27">
            <v>68.2</v>
          </cell>
          <cell r="Q27">
            <v>508</v>
          </cell>
          <cell r="R27">
            <v>77219.830101124899</v>
          </cell>
          <cell r="S27">
            <v>26982346.103947099</v>
          </cell>
          <cell r="T27">
            <v>12396</v>
          </cell>
          <cell r="U27">
            <v>29.302</v>
          </cell>
          <cell r="V27">
            <v>19.245000000000001</v>
          </cell>
          <cell r="W27">
            <v>-0.34300000000000003</v>
          </cell>
          <cell r="X27">
            <v>8466</v>
          </cell>
          <cell r="Y27">
            <v>0</v>
          </cell>
          <cell r="Z27">
            <v>1833</v>
          </cell>
          <cell r="AA27">
            <v>417</v>
          </cell>
          <cell r="AB27">
            <v>2347</v>
          </cell>
          <cell r="AC27">
            <v>558</v>
          </cell>
          <cell r="AD27">
            <v>4293</v>
          </cell>
          <cell r="AE27">
            <v>13620</v>
          </cell>
          <cell r="AF27">
            <v>12903</v>
          </cell>
          <cell r="AG27">
            <v>10702.5555</v>
          </cell>
          <cell r="AH27">
            <v>8.3842291749999998</v>
          </cell>
          <cell r="AI27">
            <v>17913</v>
          </cell>
          <cell r="AJ27">
            <v>17196</v>
          </cell>
          <cell r="AK27">
            <v>9.7108494185333001</v>
          </cell>
          <cell r="AL27">
            <v>8.38422917505609</v>
          </cell>
          <cell r="AM27">
            <v>13.4711008874716</v>
          </cell>
          <cell r="AN27">
            <v>8.5151095845836995</v>
          </cell>
          <cell r="AO27">
            <v>91.88</v>
          </cell>
          <cell r="AP27">
            <v>3</v>
          </cell>
          <cell r="AQ27">
            <v>91.91</v>
          </cell>
          <cell r="AR27">
            <v>1741.1291444216199</v>
          </cell>
          <cell r="AS27">
            <v>1741.6976454483199</v>
          </cell>
          <cell r="AT27">
            <v>0.56141992410024</v>
          </cell>
          <cell r="AU27">
            <v>0.649747828642527</v>
          </cell>
          <cell r="AV27">
            <v>0.76272467772165897</v>
          </cell>
          <cell r="AW27">
            <v>0.124664684136708</v>
          </cell>
          <cell r="AX27">
            <v>0.28057717283566702</v>
          </cell>
          <cell r="AY27">
            <v>0.49209020535151099</v>
          </cell>
          <cell r="AZ27">
            <v>411.94300665743799</v>
          </cell>
          <cell r="BA27">
            <v>178.052362618415</v>
          </cell>
          <cell r="BB27">
            <v>129.45207954358301</v>
          </cell>
          <cell r="BC27">
            <v>106.552060426173</v>
          </cell>
          <cell r="BD27">
            <v>68.445707984038904</v>
          </cell>
          <cell r="BE27">
            <v>412.07792354531603</v>
          </cell>
          <cell r="BF27">
            <v>178.11062306546799</v>
          </cell>
          <cell r="BG27">
            <v>129.496709234939</v>
          </cell>
          <cell r="BH27">
            <v>106.58632160786399</v>
          </cell>
          <cell r="BI27">
            <v>68.467986528614603</v>
          </cell>
          <cell r="BJ27">
            <v>193.87829746457501</v>
          </cell>
          <cell r="BK27">
            <v>213.492826185333</v>
          </cell>
          <cell r="BL27">
            <v>331.82225606792701</v>
          </cell>
          <cell r="BM27">
            <v>362.56484011092101</v>
          </cell>
          <cell r="BN27">
            <v>355.48818083357497</v>
          </cell>
          <cell r="BO27">
            <v>576.65361290363705</v>
          </cell>
          <cell r="BP27">
            <v>193.814731863481</v>
          </cell>
          <cell r="BQ27">
            <v>213.40662914763999</v>
          </cell>
          <cell r="BR27">
            <v>331.72823923957901</v>
          </cell>
          <cell r="BS27">
            <v>362.44632842559002</v>
          </cell>
          <cell r="BT27">
            <v>355.51093461484498</v>
          </cell>
          <cell r="BU27">
            <v>576.69536841408399</v>
          </cell>
          <cell r="BV27">
            <v>770.59450347940594</v>
          </cell>
          <cell r="BW27">
            <v>770.34297660415405</v>
          </cell>
        </row>
        <row r="28">
          <cell r="C28">
            <v>6012.28155545155</v>
          </cell>
          <cell r="D28">
            <v>53970</v>
          </cell>
          <cell r="E28">
            <v>10294</v>
          </cell>
          <cell r="F28">
            <v>10199</v>
          </cell>
          <cell r="G28">
            <v>12529</v>
          </cell>
          <cell r="H28">
            <v>87090</v>
          </cell>
          <cell r="I28">
            <v>10563</v>
          </cell>
          <cell r="J28">
            <v>15560</v>
          </cell>
          <cell r="K28">
            <v>29576</v>
          </cell>
          <cell r="L28">
            <v>20</v>
          </cell>
          <cell r="M28">
            <v>15560</v>
          </cell>
          <cell r="N28">
            <v>29576</v>
          </cell>
          <cell r="O28">
            <v>1030</v>
          </cell>
          <cell r="P28">
            <v>740.19999980930004</v>
          </cell>
          <cell r="Q28">
            <v>2560</v>
          </cell>
          <cell r="R28">
            <v>355306.48950253503</v>
          </cell>
          <cell r="S28">
            <v>204507956.261969</v>
          </cell>
          <cell r="T28">
            <v>87090</v>
          </cell>
          <cell r="U28">
            <v>127.203</v>
          </cell>
          <cell r="V28">
            <v>81.031999999999996</v>
          </cell>
          <cell r="W28">
            <v>-0.36299999999999999</v>
          </cell>
          <cell r="X28">
            <v>34290</v>
          </cell>
          <cell r="Y28">
            <v>0</v>
          </cell>
          <cell r="Z28">
            <v>7117</v>
          </cell>
          <cell r="AA28">
            <v>4074</v>
          </cell>
          <cell r="AB28">
            <v>33403</v>
          </cell>
          <cell r="AC28">
            <v>2283</v>
          </cell>
          <cell r="AD28">
            <v>14636</v>
          </cell>
          <cell r="AE28">
            <v>81167</v>
          </cell>
          <cell r="AF28">
            <v>78001</v>
          </cell>
          <cell r="AG28">
            <v>46460.895750000003</v>
          </cell>
          <cell r="AH28">
            <v>7.7276646680000001</v>
          </cell>
          <cell r="AI28">
            <v>95803</v>
          </cell>
          <cell r="AJ28">
            <v>92637</v>
          </cell>
          <cell r="AK28">
            <v>14.4853495626851</v>
          </cell>
          <cell r="AL28">
            <v>7.7276646679781997</v>
          </cell>
          <cell r="AM28">
            <v>15.4079610453377</v>
          </cell>
          <cell r="AN28">
            <v>7.1735894674135201</v>
          </cell>
          <cell r="AO28">
            <v>126.53</v>
          </cell>
          <cell r="AP28">
            <v>5</v>
          </cell>
          <cell r="AQ28">
            <v>126.58</v>
          </cell>
          <cell r="AR28">
            <v>2397.74783025325</v>
          </cell>
          <cell r="AS28">
            <v>2398.6953319643999</v>
          </cell>
          <cell r="AT28">
            <v>0.62037578821182204</v>
          </cell>
          <cell r="AU28">
            <v>0.84783275127410795</v>
          </cell>
          <cell r="AV28">
            <v>1.09958537817001</v>
          </cell>
          <cell r="AW28">
            <v>0.101374230533838</v>
          </cell>
          <cell r="AX28">
            <v>0.24923006594180999</v>
          </cell>
          <cell r="AY28">
            <v>0.48630784749984701</v>
          </cell>
          <cell r="AZ28">
            <v>699.65288310575295</v>
          </cell>
          <cell r="BA28">
            <v>261.66419436885701</v>
          </cell>
          <cell r="BB28">
            <v>164.50862465236801</v>
          </cell>
          <cell r="BC28">
            <v>151.04204260571501</v>
          </cell>
          <cell r="BD28">
            <v>99.508301870455995</v>
          </cell>
          <cell r="BE28">
            <v>699.94629682514994</v>
          </cell>
          <cell r="BF28">
            <v>261.75044666392802</v>
          </cell>
          <cell r="BG28">
            <v>164.57721363758699</v>
          </cell>
          <cell r="BH28">
            <v>151.09159945708799</v>
          </cell>
          <cell r="BI28">
            <v>99.541047756799998</v>
          </cell>
          <cell r="BJ28">
            <v>326.23562883927502</v>
          </cell>
          <cell r="BK28">
            <v>312.61296613587501</v>
          </cell>
          <cell r="BL28">
            <v>475.53678340133399</v>
          </cell>
          <cell r="BM28">
            <v>455.858400536033</v>
          </cell>
          <cell r="BN28">
            <v>406.18231108380297</v>
          </cell>
          <cell r="BO28">
            <v>632.82986659298695</v>
          </cell>
          <cell r="BP28">
            <v>326.09984323772699</v>
          </cell>
          <cell r="BQ28">
            <v>312.40098597595698</v>
          </cell>
          <cell r="BR28">
            <v>475.28729962935398</v>
          </cell>
          <cell r="BS28">
            <v>455.67950108366699</v>
          </cell>
          <cell r="BT28">
            <v>406.21746487632998</v>
          </cell>
          <cell r="BU28">
            <v>632.89437738939705</v>
          </cell>
          <cell r="BV28">
            <v>978.167793672681</v>
          </cell>
          <cell r="BW28">
            <v>977.78141043928201</v>
          </cell>
        </row>
        <row r="29">
          <cell r="C29">
            <v>19337.511051440299</v>
          </cell>
          <cell r="D29" t="str">
            <v>NA</v>
          </cell>
          <cell r="E29" t="str">
            <v>NA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NA</v>
          </cell>
          <cell r="K29" t="str">
            <v>NA</v>
          </cell>
          <cell r="L29" t="str">
            <v>NA</v>
          </cell>
          <cell r="M29" t="str">
            <v>NA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>
            <v>454.71</v>
          </cell>
          <cell r="V29">
            <v>420.95</v>
          </cell>
          <cell r="W29">
            <v>-7.3999999999999996E-2</v>
          </cell>
          <cell r="X29">
            <v>113728</v>
          </cell>
          <cell r="Y29">
            <v>18953</v>
          </cell>
          <cell r="Z29">
            <v>23256</v>
          </cell>
          <cell r="AA29">
            <v>19136</v>
          </cell>
          <cell r="AB29">
            <v>7946</v>
          </cell>
          <cell r="AC29">
            <v>69865</v>
          </cell>
          <cell r="AD29">
            <v>42925</v>
          </cell>
          <cell r="AE29">
            <v>252884</v>
          </cell>
          <cell r="AF29">
            <v>216935</v>
          </cell>
          <cell r="AG29">
            <v>166082.82750000001</v>
          </cell>
          <cell r="AH29">
            <v>8.5886351689999998</v>
          </cell>
          <cell r="AI29">
            <v>295809</v>
          </cell>
          <cell r="AJ29">
            <v>259860</v>
          </cell>
          <cell r="AK29" t="str">
            <v>NA</v>
          </cell>
          <cell r="AL29">
            <v>8.5886351691382306</v>
          </cell>
          <cell r="AM29">
            <v>13.438130652323199</v>
          </cell>
          <cell r="AN29">
            <v>366.97813508203097</v>
          </cell>
          <cell r="AO29">
            <v>14120.41</v>
          </cell>
          <cell r="AP29">
            <v>112</v>
          </cell>
          <cell r="AQ29">
            <v>6673.29</v>
          </cell>
          <cell r="AR29">
            <v>267582.252744695</v>
          </cell>
          <cell r="AS29">
            <v>126459.073880903</v>
          </cell>
          <cell r="AT29">
            <v>0.60133715399674004</v>
          </cell>
          <cell r="AU29">
            <v>0.70921995623835499</v>
          </cell>
          <cell r="AV29">
            <v>0.83703850076666897</v>
          </cell>
          <cell r="AW29">
            <v>0.14765938973453399</v>
          </cell>
          <cell r="AX29">
            <v>0.20269843859464901</v>
          </cell>
          <cell r="AY29">
            <v>0.28407422060679099</v>
          </cell>
          <cell r="AZ29">
            <v>72804.679088868303</v>
          </cell>
          <cell r="BA29">
            <v>21235.6863847889</v>
          </cell>
          <cell r="BB29">
            <v>8291.7572270606306</v>
          </cell>
          <cell r="BC29">
            <v>6539.2418194862603</v>
          </cell>
          <cell r="BD29">
            <v>5350.3819079914101</v>
          </cell>
          <cell r="BE29">
            <v>34239.546149212299</v>
          </cell>
          <cell r="BF29">
            <v>9942.7789245781205</v>
          </cell>
          <cell r="BG29">
            <v>4637.93572991368</v>
          </cell>
          <cell r="BH29">
            <v>4231.1956037112996</v>
          </cell>
          <cell r="BI29">
            <v>3170.06624007439</v>
          </cell>
          <cell r="BJ29">
            <v>16070.8757286528</v>
          </cell>
          <cell r="BK29">
            <v>9893.07738061282</v>
          </cell>
          <cell r="BL29">
            <v>16242.580686909299</v>
          </cell>
          <cell r="BM29">
            <v>26929.910193586798</v>
          </cell>
          <cell r="BN29">
            <v>16728.113239960199</v>
          </cell>
          <cell r="BO29">
            <v>25074.180070328799</v>
          </cell>
          <cell r="BP29">
            <v>34082.356519123401</v>
          </cell>
          <cell r="BQ29">
            <v>24612.1657459954</v>
          </cell>
          <cell r="BR29">
            <v>20628.9344616411</v>
          </cell>
          <cell r="BS29">
            <v>56822.538306525399</v>
          </cell>
          <cell r="BT29">
            <v>14259.193448345701</v>
          </cell>
          <cell r="BU29">
            <v>20543.4603221254</v>
          </cell>
          <cell r="BV29">
            <v>57314.453187858402</v>
          </cell>
          <cell r="BW29">
            <v>121275.049928651</v>
          </cell>
        </row>
        <row r="30">
          <cell r="C30">
            <v>1697.04929287447</v>
          </cell>
          <cell r="D30">
            <v>9636</v>
          </cell>
          <cell r="E30">
            <v>2493</v>
          </cell>
          <cell r="F30">
            <v>1893</v>
          </cell>
          <cell r="G30">
            <v>787</v>
          </cell>
          <cell r="H30">
            <v>14808</v>
          </cell>
          <cell r="I30">
            <v>1967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129</v>
          </cell>
          <cell r="R30">
            <v>35721.207565293102</v>
          </cell>
          <cell r="S30">
            <v>43812948.973533399</v>
          </cell>
          <cell r="T30">
            <v>14808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A30" t="str">
            <v>NA</v>
          </cell>
          <cell r="AB30" t="str">
            <v>NA</v>
          </cell>
          <cell r="AC30" t="str">
            <v>NA</v>
          </cell>
          <cell r="AD30" t="str">
            <v>NA</v>
          </cell>
          <cell r="AE30" t="str">
            <v>NA</v>
          </cell>
          <cell r="AF30" t="str">
            <v>NA</v>
          </cell>
          <cell r="AG30">
            <v>8884.7999999999993</v>
          </cell>
          <cell r="AH30" t="str">
            <v>NA</v>
          </cell>
          <cell r="AI30" t="str">
            <v>NA</v>
          </cell>
          <cell r="AJ30" t="str">
            <v>NA</v>
          </cell>
          <cell r="AK30">
            <v>8.7257335789687698</v>
          </cell>
          <cell r="AL30">
            <v>5.2354401473812597</v>
          </cell>
          <cell r="AM30" t="str">
            <v>NA</v>
          </cell>
          <cell r="AN30">
            <v>20.0930151278937</v>
          </cell>
          <cell r="AO30">
            <v>566.28</v>
          </cell>
          <cell r="AP30">
            <v>6</v>
          </cell>
          <cell r="AQ30">
            <v>559.26</v>
          </cell>
          <cell r="AR30">
            <v>10731.025379876701</v>
          </cell>
          <cell r="AS30">
            <v>10597.996139630301</v>
          </cell>
          <cell r="AT30">
            <v>0.55728436509768098</v>
          </cell>
          <cell r="AU30">
            <v>0.62911773721376996</v>
          </cell>
          <cell r="AV30">
            <v>0.70795876781145695</v>
          </cell>
          <cell r="AW30">
            <v>2.1747015416622099E-2</v>
          </cell>
          <cell r="AX30">
            <v>5.1526648302872902E-2</v>
          </cell>
          <cell r="AY30">
            <v>0.117572159816821</v>
          </cell>
          <cell r="AZ30">
            <v>2445.0194351601499</v>
          </cell>
          <cell r="BA30">
            <v>185.78609613081099</v>
          </cell>
          <cell r="BB30">
            <v>138.345907200119</v>
          </cell>
          <cell r="BC30">
            <v>108.901529741788</v>
          </cell>
          <cell r="BD30">
            <v>70.9578420970943</v>
          </cell>
          <cell r="BE30">
            <v>2414.8042276698102</v>
          </cell>
          <cell r="BF30">
            <v>183.52779048126001</v>
          </cell>
          <cell r="BG30">
            <v>136.42152051943199</v>
          </cell>
          <cell r="BH30">
            <v>107.563369955452</v>
          </cell>
          <cell r="BI30">
            <v>70.092651306101104</v>
          </cell>
          <cell r="BJ30">
            <v>1147.56269760758</v>
          </cell>
          <cell r="BK30">
            <v>885.940440642927</v>
          </cell>
          <cell r="BL30">
            <v>1298.9431307820601</v>
          </cell>
          <cell r="BM30">
            <v>1391.65511248404</v>
          </cell>
          <cell r="BN30">
            <v>1027.0185026418601</v>
          </cell>
          <cell r="BO30">
            <v>1525.4127699384201</v>
          </cell>
          <cell r="BP30">
            <v>1162.3489551370501</v>
          </cell>
          <cell r="BQ30">
            <v>901.52038823649104</v>
          </cell>
          <cell r="BR30">
            <v>1314.36393214138</v>
          </cell>
          <cell r="BS30">
            <v>1409.6421126704099</v>
          </cell>
          <cell r="BT30">
            <v>1023.72556829607</v>
          </cell>
          <cell r="BU30">
            <v>1519.3698994002</v>
          </cell>
          <cell r="BV30">
            <v>2927.9722568244401</v>
          </cell>
          <cell r="BW30">
            <v>2964.7250466590599</v>
          </cell>
        </row>
        <row r="31">
          <cell r="C31">
            <v>880.13844331285395</v>
          </cell>
          <cell r="D31">
            <v>4201</v>
          </cell>
          <cell r="E31">
            <v>423</v>
          </cell>
          <cell r="F31">
            <v>859</v>
          </cell>
          <cell r="G31">
            <v>328</v>
          </cell>
          <cell r="H31">
            <v>5812</v>
          </cell>
          <cell r="I31">
            <v>811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130</v>
          </cell>
          <cell r="R31">
            <v>23265.027145384502</v>
          </cell>
          <cell r="S31">
            <v>15804123.8494408</v>
          </cell>
          <cell r="T31">
            <v>5812</v>
          </cell>
          <cell r="U31" t="str">
            <v>NA</v>
          </cell>
          <cell r="V31" t="str">
            <v>NA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A31" t="str">
            <v>NA</v>
          </cell>
          <cell r="AB31" t="str">
            <v>NA</v>
          </cell>
          <cell r="AC31" t="str">
            <v>NA</v>
          </cell>
          <cell r="AD31" t="str">
            <v>NA</v>
          </cell>
          <cell r="AE31" t="str">
            <v>NA</v>
          </cell>
          <cell r="AF31" t="str">
            <v>NA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6.6035065780373596</v>
          </cell>
          <cell r="AL31">
            <v>0</v>
          </cell>
          <cell r="AM31">
            <v>0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NA</v>
          </cell>
          <cell r="AY31" t="str">
            <v>NA</v>
          </cell>
          <cell r="AZ31" t="str">
            <v>NA</v>
          </cell>
          <cell r="BA31" t="str">
            <v>NA</v>
          </cell>
          <cell r="BB31" t="str">
            <v>NA</v>
          </cell>
          <cell r="BC31" t="str">
            <v>NA</v>
          </cell>
          <cell r="BD31" t="str">
            <v>NA</v>
          </cell>
          <cell r="BE31" t="str">
            <v>NA</v>
          </cell>
          <cell r="BF31" t="str">
            <v>NA</v>
          </cell>
          <cell r="BG31" t="str">
            <v>NA</v>
          </cell>
          <cell r="BH31" t="str">
            <v>NA</v>
          </cell>
          <cell r="BI31" t="str">
            <v>NA</v>
          </cell>
          <cell r="BJ31" t="str">
            <v>NA</v>
          </cell>
          <cell r="BK31" t="str">
            <v>NA</v>
          </cell>
          <cell r="BL31" t="str">
            <v>NA</v>
          </cell>
          <cell r="BM31" t="str">
            <v>NA</v>
          </cell>
          <cell r="BN31" t="str">
            <v>NA</v>
          </cell>
          <cell r="BO31" t="str">
            <v>NA</v>
          </cell>
          <cell r="BP31" t="str">
            <v>NA</v>
          </cell>
          <cell r="BQ31" t="str">
            <v>NA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</row>
        <row r="32">
          <cell r="C32">
            <v>5300.3633572647504</v>
          </cell>
          <cell r="D32">
            <v>49047</v>
          </cell>
          <cell r="E32">
            <v>6738</v>
          </cell>
          <cell r="F32">
            <v>9433</v>
          </cell>
          <cell r="G32">
            <v>11217</v>
          </cell>
          <cell r="H32">
            <v>76652</v>
          </cell>
          <cell r="I32">
            <v>10069</v>
          </cell>
          <cell r="J32">
            <v>7403</v>
          </cell>
          <cell r="K32">
            <v>13851</v>
          </cell>
          <cell r="L32">
            <v>7</v>
          </cell>
          <cell r="M32">
            <v>7403</v>
          </cell>
          <cell r="N32">
            <v>13851</v>
          </cell>
          <cell r="O32">
            <v>317.5</v>
          </cell>
          <cell r="P32">
            <v>242.2</v>
          </cell>
          <cell r="Q32">
            <v>917</v>
          </cell>
          <cell r="R32">
            <v>125930.585197747</v>
          </cell>
          <cell r="S32">
            <v>128788471.02538</v>
          </cell>
          <cell r="T32">
            <v>76652</v>
          </cell>
          <cell r="U32">
            <v>69.11</v>
          </cell>
          <cell r="V32">
            <v>37.950000000000003</v>
          </cell>
          <cell r="W32">
            <v>-0.45100000000000001</v>
          </cell>
          <cell r="X32">
            <v>32300</v>
          </cell>
          <cell r="Y32">
            <v>227</v>
          </cell>
          <cell r="Z32">
            <v>3765</v>
          </cell>
          <cell r="AA32">
            <v>2668</v>
          </cell>
          <cell r="AB32">
            <v>7584</v>
          </cell>
          <cell r="AC32">
            <v>1971</v>
          </cell>
          <cell r="AD32">
            <v>9394</v>
          </cell>
          <cell r="AE32">
            <v>48513</v>
          </cell>
          <cell r="AF32">
            <v>31885</v>
          </cell>
          <cell r="AG32">
            <v>25242.427500000002</v>
          </cell>
          <cell r="AH32">
            <v>4.7623956700000001</v>
          </cell>
          <cell r="AI32">
            <v>57907</v>
          </cell>
          <cell r="AJ32">
            <v>41279</v>
          </cell>
          <cell r="AK32">
            <v>14.4616500479989</v>
          </cell>
          <cell r="AL32">
            <v>4.7623956696105196</v>
          </cell>
          <cell r="AM32">
            <v>7.78795663950517</v>
          </cell>
          <cell r="AN32">
            <v>15.767232126754999</v>
          </cell>
          <cell r="AO32">
            <v>491.4</v>
          </cell>
          <cell r="AP32">
            <v>12</v>
          </cell>
          <cell r="AQ32">
            <v>288.47000000000003</v>
          </cell>
          <cell r="AR32">
            <v>9312.0468172484598</v>
          </cell>
          <cell r="AS32">
            <v>5466.5163723476999</v>
          </cell>
          <cell r="AT32">
            <v>0.68161245187123598</v>
          </cell>
          <cell r="AU32">
            <v>0.75125287473201696</v>
          </cell>
          <cell r="AV32">
            <v>0.83538914720217305</v>
          </cell>
          <cell r="AW32">
            <v>0.115904236833254</v>
          </cell>
          <cell r="AX32">
            <v>0.22981649513045899</v>
          </cell>
          <cell r="AY32">
            <v>0.38621553281943</v>
          </cell>
          <cell r="AZ32">
            <v>2717.6707845011802</v>
          </cell>
          <cell r="BA32">
            <v>991.65338435153399</v>
          </cell>
          <cell r="BB32">
            <v>519.44373805356997</v>
          </cell>
          <cell r="BC32">
            <v>481.15031005738001</v>
          </cell>
          <cell r="BD32">
            <v>356.56263921586901</v>
          </cell>
          <cell r="BE32">
            <v>1568.3780396592299</v>
          </cell>
          <cell r="BF32">
            <v>601.25504762022695</v>
          </cell>
          <cell r="BG32">
            <v>300.634970560851</v>
          </cell>
          <cell r="BH32">
            <v>269.96667454416598</v>
          </cell>
          <cell r="BI32">
            <v>210.949773602509</v>
          </cell>
          <cell r="BJ32">
            <v>721.94120361796195</v>
          </cell>
          <cell r="BK32">
            <v>557.004301352212</v>
          </cell>
          <cell r="BL32">
            <v>816.64770698206803</v>
          </cell>
          <cell r="BM32">
            <v>632.60415733041702</v>
          </cell>
          <cell r="BN32">
            <v>528.31923728968604</v>
          </cell>
          <cell r="BO32">
            <v>742.80339369884996</v>
          </cell>
          <cell r="BP32">
            <v>1265.91661183154</v>
          </cell>
          <cell r="BQ32">
            <v>1282.98744325404</v>
          </cell>
          <cell r="BR32">
            <v>1410.2556829385201</v>
          </cell>
          <cell r="BS32">
            <v>1090.0067251094399</v>
          </cell>
          <cell r="BT32">
            <v>510.681346050066</v>
          </cell>
          <cell r="BU32">
            <v>710.43606348932599</v>
          </cell>
          <cell r="BV32">
            <v>1373.80827881254</v>
          </cell>
          <cell r="BW32">
            <v>2340.2412320466101</v>
          </cell>
        </row>
        <row r="33">
          <cell r="C33">
            <v>1652.86848108043</v>
          </cell>
          <cell r="D33">
            <v>12755</v>
          </cell>
          <cell r="E33">
            <v>448</v>
          </cell>
          <cell r="F33">
            <v>1904</v>
          </cell>
          <cell r="G33">
            <v>1033</v>
          </cell>
          <cell r="H33">
            <v>16383</v>
          </cell>
          <cell r="I33">
            <v>2531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132</v>
          </cell>
          <cell r="R33">
            <v>35081.3990108012</v>
          </cell>
          <cell r="S33">
            <v>56754575.905716501</v>
          </cell>
          <cell r="T33">
            <v>16383</v>
          </cell>
          <cell r="U33" t="str">
            <v>NA</v>
          </cell>
          <cell r="V33" t="str">
            <v>NA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D33" t="str">
            <v>NA</v>
          </cell>
          <cell r="AE33" t="str">
            <v>NA</v>
          </cell>
          <cell r="AF33" t="str">
            <v>NA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9.9118594053477604</v>
          </cell>
          <cell r="AL33">
            <v>0</v>
          </cell>
          <cell r="AM33">
            <v>0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  <cell r="BD33" t="str">
            <v>NA</v>
          </cell>
          <cell r="BE33" t="str">
            <v>NA</v>
          </cell>
          <cell r="BF33" t="str">
            <v>NA</v>
          </cell>
          <cell r="BG33" t="str">
            <v>NA</v>
          </cell>
          <cell r="BH33" t="str">
            <v>NA</v>
          </cell>
          <cell r="BI33" t="str">
            <v>NA</v>
          </cell>
          <cell r="BJ33" t="str">
            <v>NA</v>
          </cell>
          <cell r="BK33" t="str">
            <v>NA</v>
          </cell>
          <cell r="BL33" t="str">
            <v>NA</v>
          </cell>
          <cell r="BM33" t="str">
            <v>NA</v>
          </cell>
          <cell r="BN33" t="str">
            <v>NA</v>
          </cell>
          <cell r="BO33" t="str">
            <v>NA</v>
          </cell>
          <cell r="BP33" t="str">
            <v>NA</v>
          </cell>
          <cell r="BQ33" t="str">
            <v>NA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</row>
        <row r="34">
          <cell r="C34">
            <v>125.654640164078</v>
          </cell>
          <cell r="D34">
            <v>1072</v>
          </cell>
          <cell r="E34">
            <v>274</v>
          </cell>
          <cell r="F34">
            <v>171</v>
          </cell>
          <cell r="G34">
            <v>30</v>
          </cell>
          <cell r="H34">
            <v>1546</v>
          </cell>
          <cell r="I34">
            <v>171</v>
          </cell>
          <cell r="J34">
            <v>723</v>
          </cell>
          <cell r="K34">
            <v>967</v>
          </cell>
          <cell r="L34">
            <v>2</v>
          </cell>
          <cell r="M34">
            <v>723</v>
          </cell>
          <cell r="N34">
            <v>967</v>
          </cell>
          <cell r="O34">
            <v>46</v>
          </cell>
          <cell r="P34">
            <v>38</v>
          </cell>
          <cell r="Q34">
            <v>266</v>
          </cell>
          <cell r="R34">
            <v>10924.618619180899</v>
          </cell>
          <cell r="S34">
            <v>3022448.1933045699</v>
          </cell>
          <cell r="T34">
            <v>1546</v>
          </cell>
          <cell r="U34" t="str">
            <v>NA</v>
          </cell>
          <cell r="V34" t="str">
            <v>NA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D34" t="str">
            <v>NA</v>
          </cell>
          <cell r="AE34" t="str">
            <v>NA</v>
          </cell>
          <cell r="AF34" t="str">
            <v>NA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12.303564738884599</v>
          </cell>
          <cell r="AL34">
            <v>0</v>
          </cell>
          <cell r="AM34">
            <v>0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NA</v>
          </cell>
          <cell r="AY34" t="str">
            <v>NA</v>
          </cell>
          <cell r="AZ34" t="str">
            <v>NA</v>
          </cell>
          <cell r="BA34" t="str">
            <v>NA</v>
          </cell>
          <cell r="BB34" t="str">
            <v>NA</v>
          </cell>
          <cell r="BC34" t="str">
            <v>NA</v>
          </cell>
          <cell r="BD34" t="str">
            <v>NA</v>
          </cell>
          <cell r="BE34" t="str">
            <v>NA</v>
          </cell>
          <cell r="BF34" t="str">
            <v>NA</v>
          </cell>
          <cell r="BG34" t="str">
            <v>NA</v>
          </cell>
          <cell r="BH34" t="str">
            <v>NA</v>
          </cell>
          <cell r="BI34" t="str">
            <v>NA</v>
          </cell>
          <cell r="BJ34" t="str">
            <v>NA</v>
          </cell>
          <cell r="BK34" t="str">
            <v>NA</v>
          </cell>
          <cell r="BL34" t="str">
            <v>NA</v>
          </cell>
          <cell r="BM34" t="str">
            <v>NA</v>
          </cell>
          <cell r="BN34" t="str">
            <v>NA</v>
          </cell>
          <cell r="BO34" t="str">
            <v>NA</v>
          </cell>
          <cell r="BP34" t="str">
            <v>NA</v>
          </cell>
          <cell r="BQ34" t="str">
            <v>NA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</row>
        <row r="35">
          <cell r="C35">
            <v>568.15319837541301</v>
          </cell>
          <cell r="D35">
            <v>3386</v>
          </cell>
          <cell r="E35">
            <v>407</v>
          </cell>
          <cell r="F35">
            <v>653</v>
          </cell>
          <cell r="G35">
            <v>220</v>
          </cell>
          <cell r="H35">
            <v>4668</v>
          </cell>
          <cell r="I35">
            <v>738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134</v>
          </cell>
          <cell r="R35">
            <v>13670.0341886936</v>
          </cell>
          <cell r="S35">
            <v>10244131.0575174</v>
          </cell>
          <cell r="T35">
            <v>4668</v>
          </cell>
          <cell r="U35" t="str">
            <v>NA</v>
          </cell>
          <cell r="V35" t="str">
            <v>NA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A35" t="str">
            <v>NA</v>
          </cell>
          <cell r="AB35" t="str">
            <v>NA</v>
          </cell>
          <cell r="AC35" t="str">
            <v>NA</v>
          </cell>
          <cell r="AD35" t="str">
            <v>NA</v>
          </cell>
          <cell r="AE35" t="str">
            <v>NA</v>
          </cell>
          <cell r="AF35" t="str">
            <v>NA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8.2160938517071695</v>
          </cell>
          <cell r="AL35">
            <v>0</v>
          </cell>
          <cell r="AM35">
            <v>0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NA</v>
          </cell>
          <cell r="AY35" t="str">
            <v>NA</v>
          </cell>
          <cell r="AZ35" t="str">
            <v>NA</v>
          </cell>
          <cell r="BA35" t="str">
            <v>NA</v>
          </cell>
          <cell r="BB35" t="str">
            <v>NA</v>
          </cell>
          <cell r="BC35" t="str">
            <v>NA</v>
          </cell>
          <cell r="BD35" t="str">
            <v>NA</v>
          </cell>
          <cell r="BE35" t="str">
            <v>NA</v>
          </cell>
          <cell r="BF35" t="str">
            <v>NA</v>
          </cell>
          <cell r="BG35" t="str">
            <v>NA</v>
          </cell>
          <cell r="BH35" t="str">
            <v>NA</v>
          </cell>
          <cell r="BI35" t="str">
            <v>NA</v>
          </cell>
          <cell r="BJ35" t="str">
            <v>NA</v>
          </cell>
          <cell r="BK35" t="str">
            <v>NA</v>
          </cell>
          <cell r="BL35" t="str">
            <v>NA</v>
          </cell>
          <cell r="BM35" t="str">
            <v>NA</v>
          </cell>
          <cell r="BN35" t="str">
            <v>NA</v>
          </cell>
          <cell r="BO35" t="str">
            <v>NA</v>
          </cell>
          <cell r="BP35" t="str">
            <v>NA</v>
          </cell>
          <cell r="BQ35" t="str">
            <v>NA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</row>
        <row r="36">
          <cell r="C36">
            <v>507.34119053263998</v>
          </cell>
          <cell r="D36">
            <v>2165</v>
          </cell>
          <cell r="E36">
            <v>383</v>
          </cell>
          <cell r="F36">
            <v>711</v>
          </cell>
          <cell r="G36">
            <v>251</v>
          </cell>
          <cell r="H36">
            <v>3509</v>
          </cell>
          <cell r="I36">
            <v>470</v>
          </cell>
          <cell r="J36">
            <v>1044</v>
          </cell>
          <cell r="K36">
            <v>1610</v>
          </cell>
          <cell r="L36">
            <v>3</v>
          </cell>
          <cell r="M36">
            <v>1044</v>
          </cell>
          <cell r="N36">
            <v>1610</v>
          </cell>
          <cell r="O36">
            <v>73</v>
          </cell>
          <cell r="P36">
            <v>54.8</v>
          </cell>
          <cell r="Q36">
            <v>405</v>
          </cell>
          <cell r="R36">
            <v>47250.618534183101</v>
          </cell>
          <cell r="S36">
            <v>9414810.8343242891</v>
          </cell>
          <cell r="T36">
            <v>3509</v>
          </cell>
          <cell r="U36" t="str">
            <v>NA</v>
          </cell>
          <cell r="V36" t="str">
            <v>NA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D36" t="str">
            <v>NA</v>
          </cell>
          <cell r="AE36" t="str">
            <v>NA</v>
          </cell>
          <cell r="AF36" t="str">
            <v>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6.9164500448229296</v>
          </cell>
          <cell r="AL36">
            <v>0</v>
          </cell>
          <cell r="AM36">
            <v>0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NA</v>
          </cell>
          <cell r="AY36" t="str">
            <v>NA</v>
          </cell>
          <cell r="AZ36" t="str">
            <v>NA</v>
          </cell>
          <cell r="BA36" t="str">
            <v>NA</v>
          </cell>
          <cell r="BB36" t="str">
            <v>NA</v>
          </cell>
          <cell r="BC36" t="str">
            <v>NA</v>
          </cell>
          <cell r="BD36" t="str">
            <v>NA</v>
          </cell>
          <cell r="BE36" t="str">
            <v>NA</v>
          </cell>
          <cell r="BF36" t="str">
            <v>NA</v>
          </cell>
          <cell r="BG36" t="str">
            <v>NA</v>
          </cell>
          <cell r="BH36" t="str">
            <v>NA</v>
          </cell>
          <cell r="BI36" t="str">
            <v>NA</v>
          </cell>
          <cell r="BJ36" t="str">
            <v>NA</v>
          </cell>
          <cell r="BK36" t="str">
            <v>NA</v>
          </cell>
          <cell r="BL36" t="str">
            <v>NA</v>
          </cell>
          <cell r="BM36" t="str">
            <v>NA</v>
          </cell>
          <cell r="BN36" t="str">
            <v>NA</v>
          </cell>
          <cell r="BO36" t="str">
            <v>NA</v>
          </cell>
          <cell r="BP36" t="str">
            <v>NA</v>
          </cell>
          <cell r="BQ36" t="str">
            <v>NA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</row>
        <row r="37">
          <cell r="C37">
            <v>712.48653148448795</v>
          </cell>
          <cell r="D37">
            <v>6750</v>
          </cell>
          <cell r="E37">
            <v>561</v>
          </cell>
          <cell r="F37">
            <v>1021</v>
          </cell>
          <cell r="G37">
            <v>578</v>
          </cell>
          <cell r="H37">
            <v>8911</v>
          </cell>
          <cell r="I37">
            <v>1535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136</v>
          </cell>
          <cell r="R37">
            <v>17797.241375596699</v>
          </cell>
          <cell r="S37">
            <v>12796349.8406741</v>
          </cell>
          <cell r="T37">
            <v>8911</v>
          </cell>
          <cell r="U37" t="str">
            <v>NA</v>
          </cell>
          <cell r="V37" t="str">
            <v>NA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A37" t="str">
            <v>NA</v>
          </cell>
          <cell r="AB37" t="str">
            <v>NA</v>
          </cell>
          <cell r="AC37" t="str">
            <v>NA</v>
          </cell>
          <cell r="AD37" t="str">
            <v>NA</v>
          </cell>
          <cell r="AE37" t="str">
            <v>NA</v>
          </cell>
          <cell r="AF37" t="str">
            <v>NA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12.5069030869027</v>
          </cell>
          <cell r="AL37">
            <v>0</v>
          </cell>
          <cell r="AM37">
            <v>0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B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F37" t="str">
            <v>NA</v>
          </cell>
          <cell r="BG37" t="str">
            <v>NA</v>
          </cell>
          <cell r="BH37" t="str">
            <v>NA</v>
          </cell>
          <cell r="BI37" t="str">
            <v>NA</v>
          </cell>
          <cell r="BJ37" t="str">
            <v>NA</v>
          </cell>
          <cell r="BK37" t="str">
            <v>NA</v>
          </cell>
          <cell r="BL37" t="str">
            <v>NA</v>
          </cell>
          <cell r="BM37" t="str">
            <v>NA</v>
          </cell>
          <cell r="BN37" t="str">
            <v>NA</v>
          </cell>
          <cell r="BO37" t="str">
            <v>NA</v>
          </cell>
          <cell r="BP37" t="str">
            <v>NA</v>
          </cell>
          <cell r="BQ37" t="str">
            <v>NA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</row>
        <row r="38">
          <cell r="C38">
            <v>245.999581599897</v>
          </cell>
          <cell r="D38">
            <v>1889</v>
          </cell>
          <cell r="E38">
            <v>327</v>
          </cell>
          <cell r="F38">
            <v>592</v>
          </cell>
          <cell r="G38">
            <v>112</v>
          </cell>
          <cell r="H38">
            <v>2921</v>
          </cell>
          <cell r="I38">
            <v>450</v>
          </cell>
          <cell r="J38">
            <v>858</v>
          </cell>
          <cell r="K38">
            <v>1358</v>
          </cell>
          <cell r="L38">
            <v>2</v>
          </cell>
          <cell r="M38">
            <v>858</v>
          </cell>
          <cell r="N38">
            <v>1358</v>
          </cell>
          <cell r="O38">
            <v>78.8</v>
          </cell>
          <cell r="P38">
            <v>67</v>
          </cell>
          <cell r="Q38">
            <v>274</v>
          </cell>
          <cell r="R38">
            <v>17834.410959365301</v>
          </cell>
          <cell r="S38">
            <v>4484874.5418034298</v>
          </cell>
          <cell r="T38">
            <v>2921</v>
          </cell>
          <cell r="U38" t="str">
            <v>NA</v>
          </cell>
          <cell r="V38" t="str">
            <v>NA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A38" t="str">
            <v>NA</v>
          </cell>
          <cell r="AB38" t="str">
            <v>NA</v>
          </cell>
          <cell r="AC38" t="str">
            <v>NA</v>
          </cell>
          <cell r="AD38" t="str">
            <v>NA</v>
          </cell>
          <cell r="AE38" t="str">
            <v>NA</v>
          </cell>
          <cell r="AF38" t="str">
            <v>NA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11.874003935302699</v>
          </cell>
          <cell r="AL38">
            <v>0</v>
          </cell>
          <cell r="AM38">
            <v>0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NA</v>
          </cell>
          <cell r="AY38" t="str">
            <v>NA</v>
          </cell>
          <cell r="AZ38" t="str">
            <v>NA</v>
          </cell>
          <cell r="BA38" t="str">
            <v>NA</v>
          </cell>
          <cell r="BB38" t="str">
            <v>NA</v>
          </cell>
          <cell r="BC38" t="str">
            <v>NA</v>
          </cell>
          <cell r="BD38" t="str">
            <v>NA</v>
          </cell>
          <cell r="BE38" t="str">
            <v>NA</v>
          </cell>
          <cell r="BF38" t="str">
            <v>NA</v>
          </cell>
          <cell r="BG38" t="str">
            <v>NA</v>
          </cell>
          <cell r="BH38" t="str">
            <v>NA</v>
          </cell>
          <cell r="BI38" t="str">
            <v>NA</v>
          </cell>
          <cell r="BJ38" t="str">
            <v>NA</v>
          </cell>
          <cell r="BK38" t="str">
            <v>NA</v>
          </cell>
          <cell r="BL38" t="str">
            <v>NA</v>
          </cell>
          <cell r="BM38" t="str">
            <v>NA</v>
          </cell>
          <cell r="BN38" t="str">
            <v>NA</v>
          </cell>
          <cell r="BO38" t="str">
            <v>NA</v>
          </cell>
          <cell r="BP38" t="str">
            <v>NA</v>
          </cell>
          <cell r="BQ38" t="str">
            <v>NA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</row>
        <row r="39">
          <cell r="C39">
            <v>28.6351422526966</v>
          </cell>
          <cell r="D39">
            <v>115</v>
          </cell>
          <cell r="E39">
            <v>5</v>
          </cell>
          <cell r="F39">
            <v>12</v>
          </cell>
          <cell r="G39">
            <v>2</v>
          </cell>
          <cell r="H39">
            <v>135</v>
          </cell>
          <cell r="I39">
            <v>18</v>
          </cell>
          <cell r="J39">
            <v>0</v>
          </cell>
          <cell r="K39">
            <v>34</v>
          </cell>
          <cell r="L39">
            <v>1</v>
          </cell>
          <cell r="M39">
            <v>0</v>
          </cell>
          <cell r="N39">
            <v>34</v>
          </cell>
          <cell r="O39">
            <v>100</v>
          </cell>
          <cell r="P39">
            <v>79.099999999999994</v>
          </cell>
          <cell r="Q39">
            <v>138</v>
          </cell>
          <cell r="R39">
            <v>3107.0439374591301</v>
          </cell>
          <cell r="S39">
            <v>516844.21327564301</v>
          </cell>
          <cell r="T39">
            <v>135</v>
          </cell>
          <cell r="U39" t="str">
            <v>NA</v>
          </cell>
          <cell r="V39" t="str">
            <v>NA</v>
          </cell>
          <cell r="W39" t="str">
            <v>NA</v>
          </cell>
          <cell r="X39" t="str">
            <v>NA</v>
          </cell>
          <cell r="Y39" t="str">
            <v>NA</v>
          </cell>
          <cell r="Z39" t="str">
            <v>NA</v>
          </cell>
          <cell r="AA39" t="str">
            <v>NA</v>
          </cell>
          <cell r="AB39" t="str">
            <v>NA</v>
          </cell>
          <cell r="AC39" t="str">
            <v>NA</v>
          </cell>
          <cell r="AD39" t="str">
            <v>NA</v>
          </cell>
          <cell r="AE39" t="str">
            <v>NA</v>
          </cell>
          <cell r="AF39" t="str">
            <v>NA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4.71448679418683</v>
          </cell>
          <cell r="AL39">
            <v>0</v>
          </cell>
          <cell r="AM39">
            <v>0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NA</v>
          </cell>
          <cell r="AY39" t="str">
            <v>NA</v>
          </cell>
          <cell r="AZ39" t="str">
            <v>NA</v>
          </cell>
          <cell r="BA39" t="str">
            <v>NA</v>
          </cell>
          <cell r="BB39" t="str">
            <v>NA</v>
          </cell>
          <cell r="BC39" t="str">
            <v>NA</v>
          </cell>
          <cell r="BD39" t="str">
            <v>NA</v>
          </cell>
          <cell r="BE39" t="str">
            <v>NA</v>
          </cell>
          <cell r="BF39" t="str">
            <v>NA</v>
          </cell>
          <cell r="BG39" t="str">
            <v>NA</v>
          </cell>
          <cell r="BH39" t="str">
            <v>NA</v>
          </cell>
          <cell r="BI39" t="str">
            <v>NA</v>
          </cell>
          <cell r="BJ39" t="str">
            <v>NA</v>
          </cell>
          <cell r="BK39" t="str">
            <v>NA</v>
          </cell>
          <cell r="BL39" t="str">
            <v>NA</v>
          </cell>
          <cell r="BM39" t="str">
            <v>NA</v>
          </cell>
          <cell r="BN39" t="str">
            <v>NA</v>
          </cell>
          <cell r="BO39" t="str">
            <v>NA</v>
          </cell>
          <cell r="BP39" t="str">
            <v>NA</v>
          </cell>
          <cell r="BQ39" t="str">
            <v>NA</v>
          </cell>
          <cell r="BR39" t="str">
            <v>NA</v>
          </cell>
          <cell r="BS39" t="str">
            <v>NA</v>
          </cell>
          <cell r="BT39" t="str">
            <v>NA</v>
          </cell>
          <cell r="BU39" t="str">
            <v>NA</v>
          </cell>
          <cell r="BV39" t="str">
            <v>NA</v>
          </cell>
          <cell r="BW39" t="str">
            <v>NA</v>
          </cell>
        </row>
        <row r="40">
          <cell r="C40">
            <v>190.27735865033199</v>
          </cell>
          <cell r="D40">
            <v>2490</v>
          </cell>
          <cell r="E40">
            <v>350</v>
          </cell>
          <cell r="F40">
            <v>890</v>
          </cell>
          <cell r="G40">
            <v>1022</v>
          </cell>
          <cell r="H40">
            <v>5455</v>
          </cell>
          <cell r="I40">
            <v>671</v>
          </cell>
          <cell r="J40">
            <v>0</v>
          </cell>
          <cell r="K40">
            <v>466</v>
          </cell>
          <cell r="L40">
            <v>1</v>
          </cell>
          <cell r="M40">
            <v>0</v>
          </cell>
          <cell r="N40">
            <v>466</v>
          </cell>
          <cell r="O40">
            <v>100</v>
          </cell>
          <cell r="P40">
            <v>73.099999999999994</v>
          </cell>
          <cell r="Q40">
            <v>139</v>
          </cell>
          <cell r="R40">
            <v>34452.080392042801</v>
          </cell>
          <cell r="S40">
            <v>14168114.521837199</v>
          </cell>
          <cell r="T40">
            <v>5455</v>
          </cell>
          <cell r="U40" t="str">
            <v>NA</v>
          </cell>
          <cell r="V40" t="str">
            <v>NA</v>
          </cell>
          <cell r="W40" t="str">
            <v>NA</v>
          </cell>
          <cell r="X40" t="str">
            <v>NA</v>
          </cell>
          <cell r="Y40" t="str">
            <v>NA</v>
          </cell>
          <cell r="Z40" t="str">
            <v>NA</v>
          </cell>
          <cell r="AA40" t="str">
            <v>NA</v>
          </cell>
          <cell r="AB40" t="str">
            <v>NA</v>
          </cell>
          <cell r="AC40" t="str">
            <v>NA</v>
          </cell>
          <cell r="AD40" t="str">
            <v>NA</v>
          </cell>
          <cell r="AE40" t="str">
            <v>NA</v>
          </cell>
          <cell r="AF40" t="str">
            <v>NA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28.668676287568701</v>
          </cell>
          <cell r="AL40">
            <v>0</v>
          </cell>
          <cell r="AM40">
            <v>0</v>
          </cell>
          <cell r="AN40" t="str">
            <v>NA</v>
          </cell>
          <cell r="AO40" t="str">
            <v>NA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B40" t="str">
            <v>NA</v>
          </cell>
          <cell r="BC40" t="str">
            <v>NA</v>
          </cell>
          <cell r="BD40" t="str">
            <v>NA</v>
          </cell>
          <cell r="BE40" t="str">
            <v>NA</v>
          </cell>
          <cell r="BF40" t="str">
            <v>NA</v>
          </cell>
          <cell r="BG40" t="str">
            <v>NA</v>
          </cell>
          <cell r="BH40" t="str">
            <v>NA</v>
          </cell>
          <cell r="BI40" t="str">
            <v>NA</v>
          </cell>
          <cell r="BJ40" t="str">
            <v>NA</v>
          </cell>
          <cell r="BK40" t="str">
            <v>NA</v>
          </cell>
          <cell r="BL40" t="str">
            <v>NA</v>
          </cell>
          <cell r="BM40" t="str">
            <v>NA</v>
          </cell>
          <cell r="BN40" t="str">
            <v>NA</v>
          </cell>
          <cell r="BO40" t="str">
            <v>NA</v>
          </cell>
          <cell r="BP40" t="str">
            <v>NA</v>
          </cell>
          <cell r="BQ40" t="str">
            <v>NA</v>
          </cell>
          <cell r="BR40" t="str">
            <v>NA</v>
          </cell>
          <cell r="BS40" t="str">
            <v>NA</v>
          </cell>
          <cell r="BT40" t="str">
            <v>NA</v>
          </cell>
          <cell r="BU40" t="str">
            <v>NA</v>
          </cell>
          <cell r="BV40" t="str">
            <v>NA</v>
          </cell>
          <cell r="BW40" t="str">
            <v>NA</v>
          </cell>
        </row>
        <row r="41">
          <cell r="C41">
            <v>2768.84443917407</v>
          </cell>
          <cell r="D41">
            <v>12545</v>
          </cell>
          <cell r="E41">
            <v>3770</v>
          </cell>
          <cell r="F41">
            <v>2081</v>
          </cell>
          <cell r="G41">
            <v>1108</v>
          </cell>
          <cell r="H41">
            <v>19676</v>
          </cell>
          <cell r="I41">
            <v>1954</v>
          </cell>
          <cell r="J41">
            <v>30312</v>
          </cell>
          <cell r="K41">
            <v>34947</v>
          </cell>
          <cell r="L41">
            <v>3</v>
          </cell>
          <cell r="M41">
            <v>30312</v>
          </cell>
          <cell r="N41">
            <v>34947</v>
          </cell>
          <cell r="O41">
            <v>-600</v>
          </cell>
          <cell r="P41">
            <v>-403.4</v>
          </cell>
          <cell r="Q41">
            <v>420</v>
          </cell>
          <cell r="R41">
            <v>73043.267135187401</v>
          </cell>
          <cell r="S41">
            <v>49785570.199228004</v>
          </cell>
          <cell r="T41">
            <v>19676</v>
          </cell>
          <cell r="U41">
            <v>40.381</v>
          </cell>
          <cell r="V41">
            <v>95.745000000000005</v>
          </cell>
          <cell r="W41">
            <v>1.371</v>
          </cell>
          <cell r="X41">
            <v>10552</v>
          </cell>
          <cell r="Y41">
            <v>242</v>
          </cell>
          <cell r="Z41">
            <v>2121</v>
          </cell>
          <cell r="AA41">
            <v>1290</v>
          </cell>
          <cell r="AB41">
            <v>564</v>
          </cell>
          <cell r="AC41">
            <v>1246</v>
          </cell>
          <cell r="AD41">
            <v>4092</v>
          </cell>
          <cell r="AE41">
            <v>16016</v>
          </cell>
          <cell r="AF41">
            <v>15072</v>
          </cell>
          <cell r="AG41">
            <v>14749.160250000001</v>
          </cell>
          <cell r="AH41">
            <v>5.3268287809999997</v>
          </cell>
          <cell r="AI41">
            <v>20108</v>
          </cell>
          <cell r="AJ41">
            <v>19164</v>
          </cell>
          <cell r="AK41">
            <v>7.1062135964089004</v>
          </cell>
          <cell r="AL41">
            <v>5.3268287814679596</v>
          </cell>
          <cell r="AM41">
            <v>6.9212989104279403</v>
          </cell>
          <cell r="AN41">
            <v>3.6769419409427999</v>
          </cell>
          <cell r="AO41">
            <v>6.76</v>
          </cell>
          <cell r="AP41">
            <v>2</v>
          </cell>
          <cell r="AQ41">
            <v>6.78</v>
          </cell>
          <cell r="AR41">
            <v>128.102231348391</v>
          </cell>
          <cell r="AS41">
            <v>128.481232032854</v>
          </cell>
          <cell r="AT41">
            <v>0.46919687092304202</v>
          </cell>
          <cell r="AU41">
            <v>0.55746516585350003</v>
          </cell>
          <cell r="AV41">
            <v>0.666319400072097</v>
          </cell>
          <cell r="AW41">
            <v>5.2144303917884799E-2</v>
          </cell>
          <cell r="AX41">
            <v>0.134720973670482</v>
          </cell>
          <cell r="AY41">
            <v>0.293417587876319</v>
          </cell>
          <cell r="AZ41">
            <v>26.073294496818701</v>
          </cell>
          <cell r="BA41">
            <v>6.3070970405706701</v>
          </cell>
          <cell r="BB41">
            <v>6.2440260701649697</v>
          </cell>
          <cell r="BC41">
            <v>3.9132346692046802</v>
          </cell>
          <cell r="BD41">
            <v>2.4511124789681902</v>
          </cell>
          <cell r="BE41">
            <v>26.150464399727799</v>
          </cell>
          <cell r="BF41">
            <v>6.3257464649558797</v>
          </cell>
          <cell r="BG41">
            <v>6.2624890003063198</v>
          </cell>
          <cell r="BH41">
            <v>3.92477987666273</v>
          </cell>
          <cell r="BI41">
            <v>2.45835530908789</v>
          </cell>
          <cell r="BJ41">
            <v>12.2375306345275</v>
          </cell>
          <cell r="BK41">
            <v>18.940848914090498</v>
          </cell>
          <cell r="BL41">
            <v>30.486250671270501</v>
          </cell>
          <cell r="BM41">
            <v>16.901289895856699</v>
          </cell>
          <cell r="BN41">
            <v>25.094788299723302</v>
          </cell>
          <cell r="BO41">
            <v>41.048688574004899</v>
          </cell>
          <cell r="BP41">
            <v>12.201678069890299</v>
          </cell>
          <cell r="BQ41">
            <v>18.878186151089999</v>
          </cell>
          <cell r="BR41">
            <v>30.410069042604601</v>
          </cell>
          <cell r="BS41">
            <v>16.8517928466004</v>
          </cell>
          <cell r="BT41">
            <v>25.104440368026602</v>
          </cell>
          <cell r="BU41">
            <v>41.066401104246403</v>
          </cell>
          <cell r="BV41">
            <v>36.115899138352802</v>
          </cell>
          <cell r="BW41">
            <v>36.009362562723403</v>
          </cell>
        </row>
        <row r="42">
          <cell r="C42">
            <v>713.25120549181202</v>
          </cell>
          <cell r="D42">
            <v>9245</v>
          </cell>
          <cell r="E42">
            <v>1688</v>
          </cell>
          <cell r="F42">
            <v>1228</v>
          </cell>
          <cell r="G42">
            <v>443</v>
          </cell>
          <cell r="H42">
            <v>12604</v>
          </cell>
          <cell r="I42">
            <v>1425</v>
          </cell>
          <cell r="J42">
            <v>1927</v>
          </cell>
          <cell r="K42">
            <v>3386</v>
          </cell>
          <cell r="L42">
            <v>1</v>
          </cell>
          <cell r="M42">
            <v>1927</v>
          </cell>
          <cell r="N42">
            <v>3386</v>
          </cell>
          <cell r="O42">
            <v>60.1</v>
          </cell>
          <cell r="P42">
            <v>46.2</v>
          </cell>
          <cell r="Q42">
            <v>141</v>
          </cell>
          <cell r="R42">
            <v>20383.238992229599</v>
          </cell>
          <cell r="S42">
            <v>14016508.2142756</v>
          </cell>
          <cell r="T42">
            <v>12604</v>
          </cell>
          <cell r="U42">
            <v>17.242999999999999</v>
          </cell>
          <cell r="V42">
            <v>9.2769999999999992</v>
          </cell>
          <cell r="W42">
            <v>-0.46200000000000002</v>
          </cell>
          <cell r="X42">
            <v>8039</v>
          </cell>
          <cell r="Y42">
            <v>0</v>
          </cell>
          <cell r="Z42">
            <v>2254</v>
          </cell>
          <cell r="AA42">
            <v>679</v>
          </cell>
          <cell r="AB42">
            <v>181</v>
          </cell>
          <cell r="AC42">
            <v>273</v>
          </cell>
          <cell r="AD42">
            <v>1378</v>
          </cell>
          <cell r="AE42">
            <v>10583</v>
          </cell>
          <cell r="AF42">
            <v>6349</v>
          </cell>
          <cell r="AG42">
            <v>6298.0057500000003</v>
          </cell>
          <cell r="AH42">
            <v>8.8299966429999994</v>
          </cell>
          <cell r="AI42">
            <v>11961</v>
          </cell>
          <cell r="AJ42">
            <v>7727</v>
          </cell>
          <cell r="AK42">
            <v>17.6711934069695</v>
          </cell>
          <cell r="AL42">
            <v>8.8299966428480108</v>
          </cell>
          <cell r="AM42">
            <v>10.833490277344699</v>
          </cell>
          <cell r="AN42">
            <v>14.127144267534799</v>
          </cell>
          <cell r="AO42">
            <v>1034.98</v>
          </cell>
          <cell r="AP42">
            <v>2</v>
          </cell>
          <cell r="AQ42">
            <v>548.5</v>
          </cell>
          <cell r="AR42">
            <v>19612.906420259998</v>
          </cell>
          <cell r="AS42">
            <v>10394.0937713894</v>
          </cell>
          <cell r="AT42">
            <v>0.99344202876091003</v>
          </cell>
          <cell r="AU42">
            <v>1.1504353880882201</v>
          </cell>
          <cell r="AV42">
            <v>1.3311099410056999</v>
          </cell>
          <cell r="AW42">
            <v>0.48589162528514801</v>
          </cell>
          <cell r="AX42">
            <v>0.64759811758995001</v>
          </cell>
          <cell r="AY42">
            <v>0.84026613831520003</v>
          </cell>
          <cell r="AZ42">
            <v>8260.2197320881805</v>
          </cell>
          <cell r="BA42">
            <v>4659.2863416910704</v>
          </cell>
          <cell r="BB42">
            <v>2087.1898183629201</v>
          </cell>
          <cell r="BC42">
            <v>2072.9737960471598</v>
          </cell>
          <cell r="BD42">
            <v>1638.48484173513</v>
          </cell>
          <cell r="BE42">
            <v>4269.1922687291999</v>
          </cell>
          <cell r="BF42">
            <v>2353.9748217515798</v>
          </cell>
          <cell r="BG42">
            <v>1083.07223935193</v>
          </cell>
          <cell r="BH42">
            <v>1146.8387915466501</v>
          </cell>
          <cell r="BI42">
            <v>850.14338889626197</v>
          </cell>
          <cell r="BJ42">
            <v>2071.04307685091</v>
          </cell>
          <cell r="BK42">
            <v>1285.20333424465</v>
          </cell>
          <cell r="BL42">
            <v>2279.3473771710201</v>
          </cell>
          <cell r="BM42">
            <v>2349.52452417226</v>
          </cell>
          <cell r="BN42">
            <v>1529.9296110347</v>
          </cell>
          <cell r="BO42">
            <v>2519.3580523414798</v>
          </cell>
          <cell r="BP42">
            <v>4007.4413283414301</v>
          </cell>
          <cell r="BQ42">
            <v>3248.88721628333</v>
          </cell>
          <cell r="BR42">
            <v>3895.61180036721</v>
          </cell>
          <cell r="BS42">
            <v>4433.7054893123404</v>
          </cell>
          <cell r="BT42">
            <v>1403.3398956641799</v>
          </cell>
          <cell r="BU42">
            <v>2287.0530073186801</v>
          </cell>
          <cell r="BV42">
            <v>4843.2531586021296</v>
          </cell>
          <cell r="BW42">
            <v>9138.8699254148396</v>
          </cell>
        </row>
        <row r="43">
          <cell r="C43">
            <v>2837.17497040833</v>
          </cell>
          <cell r="D43">
            <v>18590</v>
          </cell>
          <cell r="E43">
            <v>3090</v>
          </cell>
          <cell r="F43">
            <v>3236</v>
          </cell>
          <cell r="G43">
            <v>2058</v>
          </cell>
          <cell r="H43">
            <v>26974</v>
          </cell>
          <cell r="I43">
            <v>3108</v>
          </cell>
          <cell r="J43">
            <v>53794</v>
          </cell>
          <cell r="K43">
            <v>57696</v>
          </cell>
          <cell r="L43">
            <v>3</v>
          </cell>
          <cell r="M43">
            <v>53794</v>
          </cell>
          <cell r="N43">
            <v>57696</v>
          </cell>
          <cell r="O43">
            <v>-568.9</v>
          </cell>
          <cell r="P43">
            <v>-970.599999999999</v>
          </cell>
          <cell r="Q43">
            <v>426</v>
          </cell>
          <cell r="R43">
            <v>70954.271961511695</v>
          </cell>
          <cell r="S43">
            <v>56209921.262685999</v>
          </cell>
          <cell r="T43">
            <v>26974</v>
          </cell>
          <cell r="U43">
            <v>39.74</v>
          </cell>
          <cell r="V43">
            <v>158.071</v>
          </cell>
          <cell r="W43">
            <v>2.9780000000000002</v>
          </cell>
          <cell r="X43">
            <v>13325</v>
          </cell>
          <cell r="Y43">
            <v>98</v>
          </cell>
          <cell r="Z43">
            <v>2370</v>
          </cell>
          <cell r="AA43">
            <v>1480</v>
          </cell>
          <cell r="AB43">
            <v>977</v>
          </cell>
          <cell r="AC43">
            <v>1086</v>
          </cell>
          <cell r="AD43">
            <v>6166</v>
          </cell>
          <cell r="AE43">
            <v>19239</v>
          </cell>
          <cell r="AF43">
            <v>14650</v>
          </cell>
          <cell r="AG43">
            <v>14515.035</v>
          </cell>
          <cell r="AH43">
            <v>5.1160168659999998</v>
          </cell>
          <cell r="AI43">
            <v>25405</v>
          </cell>
          <cell r="AJ43">
            <v>20816</v>
          </cell>
          <cell r="AK43">
            <v>9.5073445527110998</v>
          </cell>
          <cell r="AL43">
            <v>5.1160168658582696</v>
          </cell>
          <cell r="AM43">
            <v>7.3368756657979697</v>
          </cell>
          <cell r="AN43">
            <v>22.7758819837122</v>
          </cell>
          <cell r="AO43">
            <v>636.86</v>
          </cell>
          <cell r="AP43">
            <v>7</v>
          </cell>
          <cell r="AQ43">
            <v>632.24</v>
          </cell>
          <cell r="AR43">
            <v>12068.518795345601</v>
          </cell>
          <cell r="AS43">
            <v>11980.969637234701</v>
          </cell>
          <cell r="AT43">
            <v>0.51410701019423299</v>
          </cell>
          <cell r="AU43">
            <v>0.618619348321642</v>
          </cell>
          <cell r="AV43">
            <v>0.76473699297223696</v>
          </cell>
          <cell r="AW43">
            <v>5.6831951652254298E-2</v>
          </cell>
          <cell r="AX43">
            <v>0.156734434621674</v>
          </cell>
          <cell r="AY43">
            <v>0.34332255806241702</v>
          </cell>
          <cell r="AZ43">
            <v>2813.1940214740398</v>
          </cell>
          <cell r="BA43">
            <v>719.63020668884599</v>
          </cell>
          <cell r="BB43">
            <v>435.92168902215298</v>
          </cell>
          <cell r="BC43">
            <v>401.002523020767</v>
          </cell>
          <cell r="BD43">
            <v>270.68807787816098</v>
          </cell>
          <cell r="BE43">
            <v>2794.8853432749202</v>
          </cell>
          <cell r="BF43">
            <v>715.24208275020499</v>
          </cell>
          <cell r="BG43">
            <v>432.59708719890398</v>
          </cell>
          <cell r="BH43">
            <v>398.38698222952002</v>
          </cell>
          <cell r="BI43">
            <v>269.00299785183898</v>
          </cell>
          <cell r="BJ43">
            <v>1315.3541024103599</v>
          </cell>
          <cell r="BK43">
            <v>1064.2689251432701</v>
          </cell>
          <cell r="BL43">
            <v>1547.8990350823001</v>
          </cell>
          <cell r="BM43">
            <v>1523.9947126153199</v>
          </cell>
          <cell r="BN43">
            <v>1201.5601994020799</v>
          </cell>
          <cell r="BO43">
            <v>1771.62383436962</v>
          </cell>
          <cell r="BP43">
            <v>1324.2677635228499</v>
          </cell>
          <cell r="BQ43">
            <v>1074.3364229824699</v>
          </cell>
          <cell r="BR43">
            <v>1558.1761695551199</v>
          </cell>
          <cell r="BS43">
            <v>1535.5013769853799</v>
          </cell>
          <cell r="BT43">
            <v>1199.4508640321101</v>
          </cell>
          <cell r="BU43">
            <v>1767.75298872743</v>
          </cell>
          <cell r="BV43">
            <v>3234.5505032702299</v>
          </cell>
          <cell r="BW43">
            <v>3258.1865011905002</v>
          </cell>
        </row>
        <row r="44">
          <cell r="C44">
            <v>665.39807944466997</v>
          </cell>
          <cell r="D44">
            <v>9919</v>
          </cell>
          <cell r="E44">
            <v>1181</v>
          </cell>
          <cell r="F44">
            <v>1317</v>
          </cell>
          <cell r="G44">
            <v>447</v>
          </cell>
          <cell r="H44">
            <v>12864</v>
          </cell>
          <cell r="I44">
            <v>1559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143</v>
          </cell>
          <cell r="R44">
            <v>15520.415437196199</v>
          </cell>
          <cell r="S44">
            <v>12173802.8529504</v>
          </cell>
          <cell r="T44">
            <v>12864</v>
          </cell>
          <cell r="U44" t="str">
            <v>NA</v>
          </cell>
          <cell r="V44" t="str">
            <v>NA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A44" t="str">
            <v>NA</v>
          </cell>
          <cell r="AB44" t="str">
            <v>NA</v>
          </cell>
          <cell r="AC44" t="str">
            <v>NA</v>
          </cell>
          <cell r="AD44" t="str">
            <v>NA</v>
          </cell>
          <cell r="AE44" t="str">
            <v>NA</v>
          </cell>
          <cell r="AF44" t="str">
            <v>NA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19.332787991717701</v>
          </cell>
          <cell r="AL44">
            <v>0</v>
          </cell>
          <cell r="AM44">
            <v>0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NA</v>
          </cell>
          <cell r="AY44" t="str">
            <v>NA</v>
          </cell>
          <cell r="AZ44" t="str">
            <v>NA</v>
          </cell>
          <cell r="BA44" t="str">
            <v>NA</v>
          </cell>
          <cell r="BB44" t="str">
            <v>NA</v>
          </cell>
          <cell r="BC44" t="str">
            <v>NA</v>
          </cell>
          <cell r="BD44" t="str">
            <v>NA</v>
          </cell>
          <cell r="BE44" t="str">
            <v>NA</v>
          </cell>
          <cell r="BF44" t="str">
            <v>NA</v>
          </cell>
          <cell r="BG44" t="str">
            <v>NA</v>
          </cell>
          <cell r="BH44" t="str">
            <v>NA</v>
          </cell>
          <cell r="BI44" t="str">
            <v>NA</v>
          </cell>
          <cell r="BJ44" t="str">
            <v>NA</v>
          </cell>
          <cell r="BK44" t="str">
            <v>NA</v>
          </cell>
          <cell r="BL44" t="str">
            <v>NA</v>
          </cell>
          <cell r="BM44" t="str">
            <v>NA</v>
          </cell>
          <cell r="BN44" t="str">
            <v>NA</v>
          </cell>
          <cell r="BO44" t="str">
            <v>NA</v>
          </cell>
          <cell r="BP44" t="str">
            <v>NA</v>
          </cell>
          <cell r="BQ44" t="str">
            <v>NA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</row>
        <row r="45">
          <cell r="C45">
            <v>1021.1072363282</v>
          </cell>
          <cell r="D45">
            <v>8891</v>
          </cell>
          <cell r="E45">
            <v>1276</v>
          </cell>
          <cell r="F45">
            <v>1774</v>
          </cell>
          <cell r="G45">
            <v>642</v>
          </cell>
          <cell r="H45">
            <v>12585</v>
          </cell>
          <cell r="I45">
            <v>2070</v>
          </cell>
          <cell r="J45">
            <v>1711</v>
          </cell>
          <cell r="K45">
            <v>3764</v>
          </cell>
          <cell r="L45">
            <v>6</v>
          </cell>
          <cell r="M45">
            <v>1711</v>
          </cell>
          <cell r="N45">
            <v>3764</v>
          </cell>
          <cell r="O45">
            <v>458</v>
          </cell>
          <cell r="P45">
            <v>384</v>
          </cell>
          <cell r="Q45">
            <v>864</v>
          </cell>
          <cell r="R45">
            <v>57984.013540441098</v>
          </cell>
          <cell r="S45">
            <v>21050422.1082693</v>
          </cell>
          <cell r="T45">
            <v>12585</v>
          </cell>
          <cell r="U45">
            <v>28.876999999999999</v>
          </cell>
          <cell r="V45">
            <v>10.39</v>
          </cell>
          <cell r="W45">
            <v>-0.64</v>
          </cell>
          <cell r="X45">
            <v>8346</v>
          </cell>
          <cell r="Y45">
            <v>0</v>
          </cell>
          <cell r="Z45">
            <v>836</v>
          </cell>
          <cell r="AA45">
            <v>712</v>
          </cell>
          <cell r="AB45">
            <v>3095</v>
          </cell>
          <cell r="AC45">
            <v>574</v>
          </cell>
          <cell r="AD45">
            <v>2814</v>
          </cell>
          <cell r="AE45">
            <v>13590</v>
          </cell>
          <cell r="AF45">
            <v>13357</v>
          </cell>
          <cell r="AG45">
            <v>10547.32425</v>
          </cell>
          <cell r="AH45">
            <v>10.32930125</v>
          </cell>
          <cell r="AI45">
            <v>16404</v>
          </cell>
          <cell r="AJ45">
            <v>16171</v>
          </cell>
          <cell r="AK45">
            <v>12.3248563444269</v>
          </cell>
          <cell r="AL45">
            <v>10.3293012474645</v>
          </cell>
          <cell r="AM45">
            <v>15.836730389013001</v>
          </cell>
          <cell r="AN45">
            <v>1.7764690145664901</v>
          </cell>
          <cell r="AO45">
            <v>0.91</v>
          </cell>
          <cell r="AP45">
            <v>1</v>
          </cell>
          <cell r="AQ45">
            <v>0.92</v>
          </cell>
          <cell r="AR45">
            <v>17.244531143052701</v>
          </cell>
          <cell r="AS45">
            <v>17.434031485283999</v>
          </cell>
          <cell r="AT45">
            <v>0.59709990024566595</v>
          </cell>
          <cell r="AU45">
            <v>0.84349435567855802</v>
          </cell>
          <cell r="AV45">
            <v>1.1185432672500599</v>
          </cell>
          <cell r="AW45">
            <v>7.26604908704757E-2</v>
          </cell>
          <cell r="AX45">
            <v>0.21101406216621399</v>
          </cell>
          <cell r="AY45">
            <v>0.46283957362174899</v>
          </cell>
          <cell r="AZ45">
            <v>5.3128040263745104</v>
          </cell>
          <cell r="BA45">
            <v>1.32908578646793</v>
          </cell>
          <cell r="BB45">
            <v>1.31579492860326</v>
          </cell>
          <cell r="BC45">
            <v>0.82551529326605899</v>
          </cell>
          <cell r="BD45">
            <v>0.51668573487675296</v>
          </cell>
          <cell r="BE45">
            <v>5.3711864882028104</v>
          </cell>
          <cell r="BF45">
            <v>1.3436911247807699</v>
          </cell>
          <cell r="BG45">
            <v>1.33025421353296</v>
          </cell>
          <cell r="BH45">
            <v>0.83458002832126099</v>
          </cell>
          <cell r="BI45">
            <v>0.52236231170439396</v>
          </cell>
          <cell r="BJ45">
            <v>2.5076460325326999</v>
          </cell>
          <cell r="BK45">
            <v>4.3349811368303897</v>
          </cell>
          <cell r="BL45">
            <v>7.22470363399884</v>
          </cell>
          <cell r="BM45">
            <v>4.4366459516935999</v>
          </cell>
          <cell r="BN45">
            <v>7.1698892382703798</v>
          </cell>
          <cell r="BO45">
            <v>12.291115485510201</v>
          </cell>
          <cell r="BP45">
            <v>2.48038901043995</v>
          </cell>
          <cell r="BQ45">
            <v>4.2826103615730302</v>
          </cell>
          <cell r="BR45">
            <v>7.15581112919301</v>
          </cell>
          <cell r="BS45">
            <v>4.38842153917519</v>
          </cell>
          <cell r="BT45">
            <v>7.17928238964</v>
          </cell>
          <cell r="BU45">
            <v>12.308352876758301</v>
          </cell>
          <cell r="BV45">
            <v>9.5029571476673702</v>
          </cell>
          <cell r="BW45">
            <v>9.3996641351927206</v>
          </cell>
        </row>
        <row r="46">
          <cell r="C46">
            <v>464.500666000303</v>
          </cell>
          <cell r="D46">
            <v>8371</v>
          </cell>
          <cell r="E46">
            <v>966</v>
          </cell>
          <cell r="F46">
            <v>1322</v>
          </cell>
          <cell r="G46">
            <v>841</v>
          </cell>
          <cell r="H46">
            <v>11708</v>
          </cell>
          <cell r="I46">
            <v>1738</v>
          </cell>
          <cell r="J46">
            <v>4019</v>
          </cell>
          <cell r="K46">
            <v>6242</v>
          </cell>
          <cell r="L46">
            <v>3</v>
          </cell>
          <cell r="M46">
            <v>4019</v>
          </cell>
          <cell r="N46">
            <v>6242</v>
          </cell>
          <cell r="O46">
            <v>106</v>
          </cell>
          <cell r="P46">
            <v>92</v>
          </cell>
          <cell r="Q46">
            <v>435</v>
          </cell>
          <cell r="R46">
            <v>56000.862242510702</v>
          </cell>
          <cell r="S46">
            <v>14862237.2077142</v>
          </cell>
          <cell r="T46">
            <v>11708</v>
          </cell>
          <cell r="U46">
            <v>24.523</v>
          </cell>
          <cell r="V46">
            <v>10.44</v>
          </cell>
          <cell r="W46">
            <v>-0.57399999999999995</v>
          </cell>
          <cell r="X46">
            <v>5345</v>
          </cell>
          <cell r="Y46">
            <v>1170</v>
          </cell>
          <cell r="Z46">
            <v>670</v>
          </cell>
          <cell r="AA46">
            <v>387</v>
          </cell>
          <cell r="AB46">
            <v>340</v>
          </cell>
          <cell r="AC46">
            <v>203</v>
          </cell>
          <cell r="AD46">
            <v>1685</v>
          </cell>
          <cell r="AE46">
            <v>8115</v>
          </cell>
          <cell r="AF46">
            <v>7983</v>
          </cell>
          <cell r="AG46">
            <v>8957.0257500000007</v>
          </cell>
          <cell r="AH46">
            <v>19.2831279</v>
          </cell>
          <cell r="AI46">
            <v>9800</v>
          </cell>
          <cell r="AJ46">
            <v>9668</v>
          </cell>
          <cell r="AK46">
            <v>25.2055612768321</v>
          </cell>
          <cell r="AL46">
            <v>19.283127895438</v>
          </cell>
          <cell r="AM46">
            <v>20.813748413427799</v>
          </cell>
          <cell r="AN46">
            <v>5.4808256918302201</v>
          </cell>
          <cell r="AO46">
            <v>25.71</v>
          </cell>
          <cell r="AP46">
            <v>1</v>
          </cell>
          <cell r="AQ46">
            <v>25.72</v>
          </cell>
          <cell r="AR46">
            <v>487.20537987679597</v>
          </cell>
          <cell r="AS46">
            <v>487.39488021902798</v>
          </cell>
          <cell r="AT46">
            <v>0.66674488782882602</v>
          </cell>
          <cell r="AU46">
            <v>0.94014710187911898</v>
          </cell>
          <cell r="AV46">
            <v>1.2645728588104199</v>
          </cell>
          <cell r="AW46">
            <v>0.10584072768688201</v>
          </cell>
          <cell r="AX46">
            <v>0.30263015627861001</v>
          </cell>
          <cell r="AY46">
            <v>0.60416090488433805</v>
          </cell>
          <cell r="AZ46">
            <v>167.300836139024</v>
          </cell>
          <cell r="BA46">
            <v>53.853570452004497</v>
          </cell>
          <cell r="BB46">
            <v>45.689047586054997</v>
          </cell>
          <cell r="BC46">
            <v>33.147000709300201</v>
          </cell>
          <cell r="BD46">
            <v>20.8787862183062</v>
          </cell>
          <cell r="BE46">
            <v>167.36590842068</v>
          </cell>
          <cell r="BF46">
            <v>53.874516998271297</v>
          </cell>
          <cell r="BG46">
            <v>45.706818510825897</v>
          </cell>
          <cell r="BH46">
            <v>33.159766628556497</v>
          </cell>
          <cell r="BI46">
            <v>20.886883152183302</v>
          </cell>
          <cell r="BJ46">
            <v>80.630226651391098</v>
          </cell>
          <cell r="BK46">
            <v>95.001546543306304</v>
          </cell>
          <cell r="BL46">
            <v>159.188775021282</v>
          </cell>
          <cell r="BM46">
            <v>238.934755809367</v>
          </cell>
          <cell r="BN46">
            <v>232.77689529428599</v>
          </cell>
          <cell r="BO46">
            <v>422.92334925082901</v>
          </cell>
          <cell r="BP46">
            <v>80.598877418633904</v>
          </cell>
          <cell r="BQ46">
            <v>94.958725593898194</v>
          </cell>
          <cell r="BR46">
            <v>159.13767997485701</v>
          </cell>
          <cell r="BS46">
            <v>238.84185738175799</v>
          </cell>
          <cell r="BT46">
            <v>232.794338698476</v>
          </cell>
          <cell r="BU46">
            <v>422.95535967745701</v>
          </cell>
          <cell r="BV46">
            <v>495.96204947066599</v>
          </cell>
          <cell r="BW46">
            <v>495.76921819171099</v>
          </cell>
        </row>
        <row r="47">
          <cell r="C47">
            <v>842.18229420125999</v>
          </cell>
          <cell r="D47">
            <v>14916</v>
          </cell>
          <cell r="E47">
            <v>1218</v>
          </cell>
          <cell r="F47">
            <v>2305</v>
          </cell>
          <cell r="G47">
            <v>749</v>
          </cell>
          <cell r="H47">
            <v>19586</v>
          </cell>
          <cell r="I47">
            <v>2956</v>
          </cell>
          <cell r="J47">
            <v>0</v>
          </cell>
          <cell r="K47">
            <v>3915</v>
          </cell>
          <cell r="L47">
            <v>3</v>
          </cell>
          <cell r="M47">
            <v>0</v>
          </cell>
          <cell r="N47">
            <v>3915</v>
          </cell>
          <cell r="O47">
            <v>300</v>
          </cell>
          <cell r="P47">
            <v>230</v>
          </cell>
          <cell r="Q47">
            <v>438</v>
          </cell>
          <cell r="R47">
            <v>49993.321007042599</v>
          </cell>
          <cell r="S47">
            <v>24485079.965087101</v>
          </cell>
          <cell r="T47">
            <v>19586</v>
          </cell>
          <cell r="U47" t="str">
            <v>NA</v>
          </cell>
          <cell r="V47" t="str">
            <v>NA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D47" t="str">
            <v>NA</v>
          </cell>
          <cell r="AE47" t="str">
            <v>NA</v>
          </cell>
          <cell r="AF47" t="str">
            <v>NA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23.256247649537301</v>
          </cell>
          <cell r="AL47">
            <v>0</v>
          </cell>
          <cell r="AM47">
            <v>0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NA</v>
          </cell>
          <cell r="AY47" t="str">
            <v>NA</v>
          </cell>
          <cell r="AZ47" t="str">
            <v>NA</v>
          </cell>
          <cell r="BA47" t="str">
            <v>NA</v>
          </cell>
          <cell r="BB47" t="str">
            <v>NA</v>
          </cell>
          <cell r="BC47" t="str">
            <v>NA</v>
          </cell>
          <cell r="BD47" t="str">
            <v>NA</v>
          </cell>
          <cell r="BE47" t="str">
            <v>NA</v>
          </cell>
          <cell r="BF47" t="str">
            <v>NA</v>
          </cell>
          <cell r="BG47" t="str">
            <v>NA</v>
          </cell>
          <cell r="BH47" t="str">
            <v>NA</v>
          </cell>
          <cell r="BI47" t="str">
            <v>NA</v>
          </cell>
          <cell r="BJ47" t="str">
            <v>NA</v>
          </cell>
          <cell r="BK47" t="str">
            <v>NA</v>
          </cell>
          <cell r="BL47" t="str">
            <v>NA</v>
          </cell>
          <cell r="BM47" t="str">
            <v>NA</v>
          </cell>
          <cell r="BN47" t="str">
            <v>NA</v>
          </cell>
          <cell r="BO47" t="str">
            <v>NA</v>
          </cell>
          <cell r="BP47" t="str">
            <v>NA</v>
          </cell>
          <cell r="BQ47" t="str">
            <v>NA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</row>
        <row r="48">
          <cell r="C48">
            <v>257.82588911729403</v>
          </cell>
          <cell r="D48">
            <v>4529</v>
          </cell>
          <cell r="E48">
            <v>447</v>
          </cell>
          <cell r="F48">
            <v>804</v>
          </cell>
          <cell r="G48">
            <v>299</v>
          </cell>
          <cell r="H48">
            <v>6080</v>
          </cell>
          <cell r="I48">
            <v>1091</v>
          </cell>
          <cell r="J48">
            <v>1843</v>
          </cell>
          <cell r="K48">
            <v>2570</v>
          </cell>
          <cell r="L48">
            <v>2</v>
          </cell>
          <cell r="M48">
            <v>1843</v>
          </cell>
          <cell r="N48">
            <v>2570</v>
          </cell>
          <cell r="O48">
            <v>119</v>
          </cell>
          <cell r="P48">
            <v>102</v>
          </cell>
          <cell r="Q48">
            <v>294</v>
          </cell>
          <cell r="R48">
            <v>33644.053392672802</v>
          </cell>
          <cell r="S48">
            <v>8089375.4113682602</v>
          </cell>
          <cell r="T48">
            <v>6080</v>
          </cell>
          <cell r="U48">
            <v>10.778</v>
          </cell>
          <cell r="V48">
            <v>7.04</v>
          </cell>
          <cell r="W48">
            <v>-0.34699999999999998</v>
          </cell>
          <cell r="X48">
            <v>3263</v>
          </cell>
          <cell r="Y48" t="str">
            <v>NA</v>
          </cell>
          <cell r="Z48">
            <v>362</v>
          </cell>
          <cell r="AA48">
            <v>264</v>
          </cell>
          <cell r="AB48">
            <v>208</v>
          </cell>
          <cell r="AC48">
            <v>134</v>
          </cell>
          <cell r="AD48">
            <v>1306</v>
          </cell>
          <cell r="AE48">
            <v>4232</v>
          </cell>
          <cell r="AF48">
            <v>4028</v>
          </cell>
          <cell r="AG48">
            <v>3936.6644999999999</v>
          </cell>
          <cell r="AH48">
            <v>15.26869359</v>
          </cell>
          <cell r="AI48">
            <v>5538</v>
          </cell>
          <cell r="AJ48">
            <v>5334</v>
          </cell>
          <cell r="AK48">
            <v>23.581805616246601</v>
          </cell>
          <cell r="AL48">
            <v>15.268693588055701</v>
          </cell>
          <cell r="AM48">
            <v>20.688380124516399</v>
          </cell>
          <cell r="AN48" t="str">
            <v>NA</v>
          </cell>
          <cell r="AO48" t="str">
            <v>NA</v>
          </cell>
          <cell r="AP48" t="str">
            <v>NA</v>
          </cell>
          <cell r="AQ48" t="str">
            <v>NA</v>
          </cell>
          <cell r="AR48" t="str">
            <v>NA</v>
          </cell>
          <cell r="AS48" t="str">
            <v>NA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B48" t="str">
            <v>NA</v>
          </cell>
          <cell r="BC48" t="str">
            <v>NA</v>
          </cell>
          <cell r="BD48" t="str">
            <v>NA</v>
          </cell>
          <cell r="BE48" t="str">
            <v>NA</v>
          </cell>
          <cell r="BF48" t="str">
            <v>NA</v>
          </cell>
          <cell r="BG48" t="str">
            <v>NA</v>
          </cell>
          <cell r="BH48" t="str">
            <v>NA</v>
          </cell>
          <cell r="BI48" t="str">
            <v>NA</v>
          </cell>
          <cell r="BJ48" t="str">
            <v>NA</v>
          </cell>
          <cell r="BK48" t="str">
            <v>NA</v>
          </cell>
          <cell r="BL48" t="str">
            <v>NA</v>
          </cell>
          <cell r="BM48" t="str">
            <v>NA</v>
          </cell>
          <cell r="BN48" t="str">
            <v>NA</v>
          </cell>
          <cell r="BO48" t="str">
            <v>NA</v>
          </cell>
          <cell r="BP48" t="str">
            <v>NA</v>
          </cell>
          <cell r="BQ48" t="str">
            <v>NA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</row>
        <row r="49">
          <cell r="C49">
            <v>5028.3203347819799</v>
          </cell>
          <cell r="D49">
            <v>61552</v>
          </cell>
          <cell r="E49">
            <v>9451</v>
          </cell>
          <cell r="F49">
            <v>8256</v>
          </cell>
          <cell r="G49">
            <v>6062</v>
          </cell>
          <cell r="H49">
            <v>86332</v>
          </cell>
          <cell r="I49">
            <v>8463</v>
          </cell>
          <cell r="J49">
            <v>14486</v>
          </cell>
          <cell r="K49">
            <v>25643</v>
          </cell>
          <cell r="L49">
            <v>7</v>
          </cell>
          <cell r="M49">
            <v>14486</v>
          </cell>
          <cell r="N49">
            <v>25643</v>
          </cell>
          <cell r="O49">
            <v>400.2</v>
          </cell>
          <cell r="P49">
            <v>322.8</v>
          </cell>
          <cell r="Q49">
            <v>1036</v>
          </cell>
          <cell r="R49">
            <v>178970.31786832199</v>
          </cell>
          <cell r="S49">
            <v>107023118.792293</v>
          </cell>
          <cell r="T49">
            <v>86332</v>
          </cell>
          <cell r="U49">
            <v>130.75899999999999</v>
          </cell>
          <cell r="V49">
            <v>70.254000000000005</v>
          </cell>
          <cell r="W49">
            <v>-0.46300000000000002</v>
          </cell>
          <cell r="X49">
            <v>53584</v>
          </cell>
          <cell r="Y49">
            <v>39</v>
          </cell>
          <cell r="Z49">
            <v>7920</v>
          </cell>
          <cell r="AA49">
            <v>2828</v>
          </cell>
          <cell r="AB49">
            <v>8555</v>
          </cell>
          <cell r="AC49">
            <v>1641</v>
          </cell>
          <cell r="AD49">
            <v>10372</v>
          </cell>
          <cell r="AE49">
            <v>74567</v>
          </cell>
          <cell r="AF49">
            <v>54657</v>
          </cell>
          <cell r="AG49">
            <v>47759.724750000001</v>
          </cell>
          <cell r="AH49">
            <v>9.4981468109999998</v>
          </cell>
          <cell r="AI49">
            <v>84939</v>
          </cell>
          <cell r="AJ49">
            <v>65029</v>
          </cell>
          <cell r="AK49">
            <v>17.169152769130999</v>
          </cell>
          <cell r="AL49">
            <v>9.49814681050362</v>
          </cell>
          <cell r="AM49">
            <v>12.932549175552699</v>
          </cell>
          <cell r="AN49">
            <v>67.150064000663804</v>
          </cell>
          <cell r="AO49">
            <v>2925.45</v>
          </cell>
          <cell r="AP49">
            <v>23</v>
          </cell>
          <cell r="AQ49">
            <v>1441.8799999999901</v>
          </cell>
          <cell r="AR49">
            <v>55437.377618069797</v>
          </cell>
          <cell r="AS49">
            <v>27323.675345653599</v>
          </cell>
          <cell r="AT49">
            <v>0.57477320795473796</v>
          </cell>
          <cell r="AU49">
            <v>0.70612543562184205</v>
          </cell>
          <cell r="AV49">
            <v>0.81313737060712699</v>
          </cell>
          <cell r="AW49">
            <v>4.7409433709538498E-2</v>
          </cell>
          <cell r="AX49">
            <v>0.12336101050933999</v>
          </cell>
          <cell r="AY49">
            <v>0.26657862621157002</v>
          </cell>
          <cell r="AZ49">
            <v>14079.08063352</v>
          </cell>
          <cell r="BA49">
            <v>2686.0666365858301</v>
          </cell>
          <cell r="BB49">
            <v>1628.38514843543</v>
          </cell>
          <cell r="BC49">
            <v>1505.56495650583</v>
          </cell>
          <cell r="BD49">
            <v>1012.18301541557</v>
          </cell>
          <cell r="BE49">
            <v>6967.0185441581598</v>
          </cell>
          <cell r="BF49">
            <v>1325.08127353176</v>
          </cell>
          <cell r="BG49">
            <v>821.67159299291404</v>
          </cell>
          <cell r="BH49">
            <v>776.77165578220502</v>
          </cell>
          <cell r="BI49">
            <v>506.20636922069798</v>
          </cell>
          <cell r="BJ49">
            <v>3337.0410652915102</v>
          </cell>
          <cell r="BK49">
            <v>2459.9874536853899</v>
          </cell>
          <cell r="BL49">
            <v>4289.1465623051699</v>
          </cell>
          <cell r="BM49">
            <v>6560.5814578684704</v>
          </cell>
          <cell r="BN49">
            <v>4638.3473807666296</v>
          </cell>
          <cell r="BO49">
            <v>7574.7733526248803</v>
          </cell>
          <cell r="BP49">
            <v>6764.4889503079103</v>
          </cell>
          <cell r="BQ49">
            <v>5992.3787862464696</v>
          </cell>
          <cell r="BR49">
            <v>7094.55934725315</v>
          </cell>
          <cell r="BS49">
            <v>13351.486008742701</v>
          </cell>
          <cell r="BT49">
            <v>3983.1962062181601</v>
          </cell>
          <cell r="BU49">
            <v>6372.5040951677902</v>
          </cell>
          <cell r="BV49">
            <v>13695.1879231289</v>
          </cell>
          <cell r="BW49">
            <v>27786.353586787802</v>
          </cell>
        </row>
        <row r="50">
          <cell r="C50">
            <v>5562.1631537970798</v>
          </cell>
          <cell r="D50">
            <v>36327</v>
          </cell>
          <cell r="E50">
            <v>12414</v>
          </cell>
          <cell r="F50">
            <v>9124</v>
          </cell>
          <cell r="G50">
            <v>9139</v>
          </cell>
          <cell r="H50">
            <v>67005</v>
          </cell>
          <cell r="I50">
            <v>8505</v>
          </cell>
          <cell r="J50">
            <v>5685</v>
          </cell>
          <cell r="K50">
            <v>15440</v>
          </cell>
          <cell r="L50">
            <v>10</v>
          </cell>
          <cell r="M50">
            <v>5685</v>
          </cell>
          <cell r="N50">
            <v>15440</v>
          </cell>
          <cell r="O50">
            <v>680</v>
          </cell>
          <cell r="P50">
            <v>478</v>
          </cell>
          <cell r="Q50">
            <v>1490</v>
          </cell>
          <cell r="R50">
            <v>203297.03735375899</v>
          </cell>
          <cell r="S50">
            <v>149790023.59567401</v>
          </cell>
          <cell r="T50">
            <v>67005</v>
          </cell>
          <cell r="U50">
            <v>90.866</v>
          </cell>
          <cell r="V50">
            <v>42.3</v>
          </cell>
          <cell r="W50">
            <v>-0.53400000000000003</v>
          </cell>
          <cell r="X50">
            <v>27063</v>
          </cell>
          <cell r="Y50">
            <v>164</v>
          </cell>
          <cell r="Z50">
            <v>4184</v>
          </cell>
          <cell r="AA50">
            <v>4575</v>
          </cell>
          <cell r="AB50">
            <v>10230</v>
          </cell>
          <cell r="AC50">
            <v>2102</v>
          </cell>
          <cell r="AD50">
            <v>19845</v>
          </cell>
          <cell r="AE50">
            <v>48319</v>
          </cell>
          <cell r="AF50">
            <v>40233</v>
          </cell>
          <cell r="AG50">
            <v>33188.806499999999</v>
          </cell>
          <cell r="AH50">
            <v>5.9668883460000002</v>
          </cell>
          <cell r="AI50">
            <v>68164</v>
          </cell>
          <cell r="AJ50">
            <v>60078</v>
          </cell>
          <cell r="AK50">
            <v>12.046572196333001</v>
          </cell>
          <cell r="AL50">
            <v>5.9668883458305597</v>
          </cell>
          <cell r="AM50">
            <v>10.8011934096156</v>
          </cell>
          <cell r="AN50">
            <v>17.088560953221599</v>
          </cell>
          <cell r="AO50">
            <v>5664.47</v>
          </cell>
          <cell r="AP50">
            <v>7</v>
          </cell>
          <cell r="AQ50">
            <v>1388.37</v>
          </cell>
          <cell r="AR50">
            <v>107341.90035592001</v>
          </cell>
          <cell r="AS50">
            <v>26309.659014373701</v>
          </cell>
          <cell r="AT50">
            <v>0.63019045761653303</v>
          </cell>
          <cell r="AU50">
            <v>0.70656925439834595</v>
          </cell>
          <cell r="AV50">
            <v>0.79232035364423403</v>
          </cell>
          <cell r="AW50">
            <v>0.105648781039885</v>
          </cell>
          <cell r="AX50">
            <v>0.209527609603745</v>
          </cell>
          <cell r="AY50">
            <v>0.39360308221408202</v>
          </cell>
          <cell r="AZ50">
            <v>27508.7697892756</v>
          </cell>
          <cell r="BA50">
            <v>7492.2142482892896</v>
          </cell>
          <cell r="BB50">
            <v>2901.5729811605402</v>
          </cell>
          <cell r="BC50">
            <v>2498.8593448946199</v>
          </cell>
          <cell r="BD50">
            <v>2388.2867790893702</v>
          </cell>
          <cell r="BE50">
            <v>6659.2417307837004</v>
          </cell>
          <cell r="BF50">
            <v>1659.11793212766</v>
          </cell>
          <cell r="BG50">
            <v>697.14145732959196</v>
          </cell>
          <cell r="BH50">
            <v>787.91845167957501</v>
          </cell>
          <cell r="BI50">
            <v>593.41349039884096</v>
          </cell>
          <cell r="BJ50">
            <v>3131.1039662296398</v>
          </cell>
          <cell r="BK50">
            <v>1504.0670561361701</v>
          </cell>
          <cell r="BL50">
            <v>2314.3102711185102</v>
          </cell>
          <cell r="BM50">
            <v>3894.9805587910801</v>
          </cell>
          <cell r="BN50">
            <v>2024.33417262785</v>
          </cell>
          <cell r="BO50">
            <v>2682.11747602696</v>
          </cell>
          <cell r="BP50">
            <v>12978.428652926499</v>
          </cell>
          <cell r="BQ50">
            <v>13630.2301908796</v>
          </cell>
          <cell r="BR50">
            <v>6829.7281365131203</v>
          </cell>
          <cell r="BS50">
            <v>15945.2745054797</v>
          </cell>
          <cell r="BT50">
            <v>1700.46226469724</v>
          </cell>
          <cell r="BU50">
            <v>2087.7794768204199</v>
          </cell>
          <cell r="BV50">
            <v>8284.2487727007792</v>
          </cell>
          <cell r="BW50">
            <v>33799.260028306802</v>
          </cell>
        </row>
        <row r="51">
          <cell r="C51">
            <v>11077.5731120075</v>
          </cell>
          <cell r="D51" t="str">
            <v>NA</v>
          </cell>
          <cell r="E51" t="str">
            <v>NA</v>
          </cell>
          <cell r="F51" t="str">
            <v>NA</v>
          </cell>
          <cell r="G51" t="str">
            <v>NA</v>
          </cell>
          <cell r="H51" t="str">
            <v>NA</v>
          </cell>
          <cell r="I51" t="str">
            <v>NA</v>
          </cell>
          <cell r="J51" t="str">
            <v>NA</v>
          </cell>
          <cell r="K51" t="str">
            <v>NA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 t="str">
            <v>NA</v>
          </cell>
          <cell r="U51">
            <v>129.47999999999999</v>
          </cell>
          <cell r="V51">
            <v>80.58</v>
          </cell>
          <cell r="W51">
            <v>-0.378</v>
          </cell>
          <cell r="X51">
            <v>18199</v>
          </cell>
          <cell r="Y51">
            <v>8242</v>
          </cell>
          <cell r="Z51">
            <v>10870</v>
          </cell>
          <cell r="AA51">
            <v>4683</v>
          </cell>
          <cell r="AB51">
            <v>8836</v>
          </cell>
          <cell r="AC51">
            <v>4125</v>
          </cell>
          <cell r="AD51">
            <v>21694</v>
          </cell>
          <cell r="AE51">
            <v>54954</v>
          </cell>
          <cell r="AF51">
            <v>51489</v>
          </cell>
          <cell r="AG51">
            <v>47292.57</v>
          </cell>
          <cell r="AH51">
            <v>4.2692175910000003</v>
          </cell>
          <cell r="AI51">
            <v>76648</v>
          </cell>
          <cell r="AJ51">
            <v>73183</v>
          </cell>
          <cell r="AK51" t="str">
            <v>NA</v>
          </cell>
          <cell r="AL51">
            <v>4.2692175914178403</v>
          </cell>
          <cell r="AM51">
            <v>6.6064109223231497</v>
          </cell>
          <cell r="AN51">
            <v>596.75255233815199</v>
          </cell>
          <cell r="AO51">
            <v>17068.810000000001</v>
          </cell>
          <cell r="AP51">
            <v>95</v>
          </cell>
          <cell r="AQ51">
            <v>7145.17</v>
          </cell>
          <cell r="AR51">
            <v>323454.53364818601</v>
          </cell>
          <cell r="AS51">
            <v>135401.21603011599</v>
          </cell>
          <cell r="AT51">
            <v>0.51293338505845298</v>
          </cell>
          <cell r="AU51">
            <v>0.592261812247728</v>
          </cell>
          <cell r="AV51">
            <v>0.68966294527053795</v>
          </cell>
          <cell r="AW51">
            <v>4.0486326862714701E-2</v>
          </cell>
          <cell r="AX51">
            <v>8.3578828918306397E-2</v>
          </cell>
          <cell r="AY51">
            <v>0.20781999583307001</v>
          </cell>
          <cell r="AZ51">
            <v>67906.954937104194</v>
          </cell>
          <cell r="BA51">
            <v>8697.0379832574308</v>
          </cell>
          <cell r="BB51">
            <v>5880.16283631852</v>
          </cell>
          <cell r="BC51">
            <v>4904.6446116348197</v>
          </cell>
          <cell r="BD51">
            <v>3275.2900063785501</v>
          </cell>
          <cell r="BE51">
            <v>28334.6748627985</v>
          </cell>
          <cell r="BF51">
            <v>3739.6606030707399</v>
          </cell>
          <cell r="BG51">
            <v>2763.5577093614002</v>
          </cell>
          <cell r="BH51">
            <v>2231.33255019634</v>
          </cell>
          <cell r="BI51">
            <v>1435.6198722186</v>
          </cell>
          <cell r="BJ51">
            <v>13805.4571468511</v>
          </cell>
          <cell r="BK51">
            <v>10763.0800229956</v>
          </cell>
          <cell r="BL51">
            <v>18660.2008308974</v>
          </cell>
          <cell r="BM51">
            <v>14854.485792461501</v>
          </cell>
          <cell r="BN51">
            <v>12485.1845674591</v>
          </cell>
          <cell r="BO51">
            <v>19549.274417721401</v>
          </cell>
          <cell r="BP51">
            <v>32918.0390232188</v>
          </cell>
          <cell r="BQ51">
            <v>32938.440165649401</v>
          </cell>
          <cell r="BR51">
            <v>33493.670244565597</v>
          </cell>
          <cell r="BS51">
            <v>35313.317522691599</v>
          </cell>
          <cell r="BT51">
            <v>11226.2022688627</v>
          </cell>
          <cell r="BU51">
            <v>17238.913432215501</v>
          </cell>
          <cell r="BV51">
            <v>30504.285457671001</v>
          </cell>
          <cell r="BW51">
            <v>72870.4639165689</v>
          </cell>
        </row>
        <row r="52">
          <cell r="C52">
            <v>4495.8012948836003</v>
          </cell>
          <cell r="D52">
            <v>15346</v>
          </cell>
          <cell r="E52">
            <v>1610</v>
          </cell>
          <cell r="F52">
            <v>4774</v>
          </cell>
          <cell r="G52">
            <v>2772</v>
          </cell>
          <cell r="H52">
            <v>24623</v>
          </cell>
          <cell r="I52">
            <v>5055</v>
          </cell>
          <cell r="J52">
            <v>10140</v>
          </cell>
          <cell r="K52">
            <v>19210</v>
          </cell>
          <cell r="L52">
            <v>7</v>
          </cell>
          <cell r="M52">
            <v>10140</v>
          </cell>
          <cell r="N52">
            <v>19210</v>
          </cell>
          <cell r="O52">
            <v>370.1</v>
          </cell>
          <cell r="P52">
            <v>290.89999999999998</v>
          </cell>
          <cell r="Q52">
            <v>1050</v>
          </cell>
          <cell r="R52">
            <v>154374.932149453</v>
          </cell>
          <cell r="S52">
            <v>130216485.797327</v>
          </cell>
          <cell r="T52">
            <v>24623</v>
          </cell>
          <cell r="U52" t="str">
            <v>NA</v>
          </cell>
          <cell r="V52" t="str">
            <v>NA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A52" t="str">
            <v>NA</v>
          </cell>
          <cell r="AB52" t="str">
            <v>NA</v>
          </cell>
          <cell r="AC52" t="str">
            <v>NA</v>
          </cell>
          <cell r="AD52" t="str">
            <v>NA</v>
          </cell>
          <cell r="AE52" t="str">
            <v>NA</v>
          </cell>
          <cell r="AF52" t="str">
            <v>NA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5.4768879638924304</v>
          </cell>
          <cell r="AL52">
            <v>0</v>
          </cell>
          <cell r="AM52">
            <v>0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NA</v>
          </cell>
          <cell r="AY52" t="str">
            <v>NA</v>
          </cell>
          <cell r="AZ52" t="str">
            <v>NA</v>
          </cell>
          <cell r="BA52" t="str">
            <v>NA</v>
          </cell>
          <cell r="BB52" t="str">
            <v>NA</v>
          </cell>
          <cell r="BC52" t="str">
            <v>NA</v>
          </cell>
          <cell r="BD52" t="str">
            <v>NA</v>
          </cell>
          <cell r="BE52" t="str">
            <v>NA</v>
          </cell>
          <cell r="BF52" t="str">
            <v>NA</v>
          </cell>
          <cell r="BG52" t="str">
            <v>NA</v>
          </cell>
          <cell r="BH52" t="str">
            <v>NA</v>
          </cell>
          <cell r="BI52" t="str">
            <v>NA</v>
          </cell>
          <cell r="BJ52" t="str">
            <v>NA</v>
          </cell>
          <cell r="BK52" t="str">
            <v>NA</v>
          </cell>
          <cell r="BL52" t="str">
            <v>NA</v>
          </cell>
          <cell r="BM52" t="str">
            <v>NA</v>
          </cell>
          <cell r="BN52" t="str">
            <v>NA</v>
          </cell>
          <cell r="BO52" t="str">
            <v>NA</v>
          </cell>
          <cell r="BP52" t="str">
            <v>NA</v>
          </cell>
          <cell r="BQ52" t="str">
            <v>NA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</row>
        <row r="53">
          <cell r="C53">
            <v>685.32708042688898</v>
          </cell>
          <cell r="D53">
            <v>9222</v>
          </cell>
          <cell r="E53">
            <v>438</v>
          </cell>
          <cell r="F53">
            <v>955</v>
          </cell>
          <cell r="G53">
            <v>196</v>
          </cell>
          <cell r="H53">
            <v>10812</v>
          </cell>
          <cell r="I53">
            <v>873</v>
          </cell>
          <cell r="J53">
            <v>2096</v>
          </cell>
          <cell r="K53">
            <v>6763</v>
          </cell>
          <cell r="L53">
            <v>6</v>
          </cell>
          <cell r="M53">
            <v>2096</v>
          </cell>
          <cell r="N53">
            <v>6763</v>
          </cell>
          <cell r="O53">
            <v>275</v>
          </cell>
          <cell r="P53">
            <v>284</v>
          </cell>
          <cell r="Q53">
            <v>906</v>
          </cell>
          <cell r="R53">
            <v>73623.203380539198</v>
          </cell>
          <cell r="S53">
            <v>13623201.4403094</v>
          </cell>
          <cell r="T53">
            <v>10812</v>
          </cell>
          <cell r="U53" t="str">
            <v>NA</v>
          </cell>
          <cell r="V53" t="str">
            <v>NA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D53" t="str">
            <v>NA</v>
          </cell>
          <cell r="AE53" t="str">
            <v>NA</v>
          </cell>
          <cell r="AF53" t="str">
            <v>NA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15.7764085336671</v>
          </cell>
          <cell r="AL53">
            <v>0</v>
          </cell>
          <cell r="AM53">
            <v>0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B53" t="str">
            <v>NA</v>
          </cell>
          <cell r="BC53" t="str">
            <v>NA</v>
          </cell>
          <cell r="BD53" t="str">
            <v>NA</v>
          </cell>
          <cell r="BE53" t="str">
            <v>NA</v>
          </cell>
          <cell r="BF53" t="str">
            <v>NA</v>
          </cell>
          <cell r="BG53" t="str">
            <v>NA</v>
          </cell>
          <cell r="BH53" t="str">
            <v>NA</v>
          </cell>
          <cell r="BI53" t="str">
            <v>NA</v>
          </cell>
          <cell r="BJ53" t="str">
            <v>NA</v>
          </cell>
          <cell r="BK53" t="str">
            <v>NA</v>
          </cell>
          <cell r="BL53" t="str">
            <v>NA</v>
          </cell>
          <cell r="BM53" t="str">
            <v>NA</v>
          </cell>
          <cell r="BN53" t="str">
            <v>NA</v>
          </cell>
          <cell r="BO53" t="str">
            <v>NA</v>
          </cell>
          <cell r="BP53" t="str">
            <v>NA</v>
          </cell>
          <cell r="BQ53" t="str">
            <v>NA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</row>
        <row r="54">
          <cell r="A54">
            <v>53</v>
          </cell>
          <cell r="B54" t="str">
            <v>WildHarbor</v>
          </cell>
          <cell r="C54">
            <v>862.21743388623304</v>
          </cell>
          <cell r="D54">
            <v>9720</v>
          </cell>
          <cell r="E54">
            <v>2110</v>
          </cell>
          <cell r="F54">
            <v>1474</v>
          </cell>
          <cell r="G54">
            <v>298</v>
          </cell>
          <cell r="H54">
            <v>13613</v>
          </cell>
          <cell r="I54">
            <v>1716</v>
          </cell>
          <cell r="J54">
            <v>3587</v>
          </cell>
          <cell r="K54">
            <v>5885</v>
          </cell>
          <cell r="L54">
            <v>2</v>
          </cell>
          <cell r="M54">
            <v>3587</v>
          </cell>
          <cell r="N54">
            <v>5885</v>
          </cell>
          <cell r="O54">
            <v>94.899999618500004</v>
          </cell>
          <cell r="P54">
            <v>69.199999809299996</v>
          </cell>
          <cell r="Q54">
            <v>304</v>
          </cell>
          <cell r="R54">
            <v>54050.621428380997</v>
          </cell>
          <cell r="S54">
            <v>16099678.24093</v>
          </cell>
          <cell r="T54">
            <v>13613</v>
          </cell>
          <cell r="U54">
            <v>23.658000000000001</v>
          </cell>
          <cell r="V54">
            <v>16.120999999999999</v>
          </cell>
          <cell r="W54">
            <v>-0.31900000000000001</v>
          </cell>
          <cell r="X54">
            <v>6782</v>
          </cell>
          <cell r="Y54">
            <v>0</v>
          </cell>
          <cell r="Z54">
            <v>1905</v>
          </cell>
          <cell r="AA54">
            <v>764</v>
          </cell>
          <cell r="AB54">
            <v>642</v>
          </cell>
          <cell r="AC54">
            <v>276</v>
          </cell>
          <cell r="AD54">
            <v>567</v>
          </cell>
          <cell r="AE54">
            <v>10370</v>
          </cell>
          <cell r="AF54">
            <v>9178</v>
          </cell>
          <cell r="AG54">
            <v>8641.0845000000008</v>
          </cell>
          <cell r="AH54">
            <v>10.02193201</v>
          </cell>
          <cell r="AI54">
            <v>10937</v>
          </cell>
          <cell r="AJ54">
            <v>9745</v>
          </cell>
          <cell r="AK54">
            <v>15.7883608762615</v>
          </cell>
          <cell r="AL54">
            <v>10.0219320097164</v>
          </cell>
          <cell r="AM54">
            <v>11.302253488516</v>
          </cell>
          <cell r="AN54">
            <v>4.57083754723081</v>
          </cell>
          <cell r="AO54">
            <v>159.38</v>
          </cell>
          <cell r="AP54">
            <v>1</v>
          </cell>
          <cell r="AQ54">
            <v>159.38999999999999</v>
          </cell>
          <cell r="AR54">
            <v>3020.2564544832298</v>
          </cell>
          <cell r="AS54">
            <v>3020.4459548254599</v>
          </cell>
          <cell r="AT54">
            <v>0.71357369422912598</v>
          </cell>
          <cell r="AU54">
            <v>0.78299278020858698</v>
          </cell>
          <cell r="AV54">
            <v>0.85858929157257002</v>
          </cell>
          <cell r="AW54">
            <v>0.195373490452766</v>
          </cell>
          <cell r="AX54">
            <v>0.31799224019050598</v>
          </cell>
          <cell r="AY54">
            <v>0.46480718255043002</v>
          </cell>
          <cell r="AZ54">
            <v>863.75744410670495</v>
          </cell>
          <cell r="BA54">
            <v>350.79271683647698</v>
          </cell>
          <cell r="BB54">
            <v>215.62711206300801</v>
          </cell>
          <cell r="BC54">
            <v>201.9376556181</v>
          </cell>
          <cell r="BD54">
            <v>133.29762618563799</v>
          </cell>
          <cell r="BE54">
            <v>863.81163895198802</v>
          </cell>
          <cell r="BF54">
            <v>350.81472666938203</v>
          </cell>
          <cell r="BG54">
            <v>215.640641182851</v>
          </cell>
          <cell r="BH54">
            <v>201.94935337489201</v>
          </cell>
          <cell r="BI54">
            <v>133.305797124576</v>
          </cell>
          <cell r="BJ54">
            <v>414.06367117275897</v>
          </cell>
          <cell r="BK54">
            <v>351.98370538615399</v>
          </cell>
          <cell r="BL54">
            <v>550.927628156624</v>
          </cell>
          <cell r="BM54">
            <v>765.70344256609997</v>
          </cell>
          <cell r="BN54">
            <v>562.07614712969303</v>
          </cell>
          <cell r="BO54">
            <v>929.83542615267299</v>
          </cell>
          <cell r="BP54">
            <v>414.03769315210701</v>
          </cell>
          <cell r="BQ54">
            <v>351.956720885469</v>
          </cell>
          <cell r="BR54">
            <v>550.90205783691397</v>
          </cell>
          <cell r="BS54">
            <v>765.65540294990296</v>
          </cell>
          <cell r="BT54">
            <v>562.08521143233497</v>
          </cell>
          <cell r="BU54">
            <v>929.85206007295005</v>
          </cell>
          <cell r="BV54">
            <v>1597.3957430287001</v>
          </cell>
          <cell r="BW54">
            <v>1597.2955237086001</v>
          </cell>
        </row>
        <row r="55">
          <cell r="A55">
            <v>54</v>
          </cell>
          <cell r="B55" t="str">
            <v>WychmereHarbor</v>
          </cell>
          <cell r="C55">
            <v>43.314647061709401</v>
          </cell>
          <cell r="D55">
            <v>1063</v>
          </cell>
          <cell r="E55">
            <v>155</v>
          </cell>
          <cell r="F55">
            <v>118</v>
          </cell>
          <cell r="G55">
            <v>4</v>
          </cell>
          <cell r="H55">
            <v>1340</v>
          </cell>
          <cell r="I55">
            <v>152</v>
          </cell>
          <cell r="J55">
            <v>0</v>
          </cell>
          <cell r="K55">
            <v>241</v>
          </cell>
          <cell r="L55">
            <v>1</v>
          </cell>
          <cell r="M55">
            <v>0</v>
          </cell>
          <cell r="N55">
            <v>241</v>
          </cell>
          <cell r="O55">
            <v>100</v>
          </cell>
          <cell r="P55">
            <v>83</v>
          </cell>
          <cell r="Q55">
            <v>153</v>
          </cell>
          <cell r="R55">
            <v>4078.7518271285999</v>
          </cell>
          <cell r="S55">
            <v>876187.76873502799</v>
          </cell>
          <cell r="T55">
            <v>1340</v>
          </cell>
          <cell r="U55">
            <v>3.8660000000000001</v>
          </cell>
          <cell r="V55">
            <v>0.66</v>
          </cell>
          <cell r="W55">
            <v>-0.82899999999999996</v>
          </cell>
          <cell r="X55">
            <v>2281</v>
          </cell>
          <cell r="Y55">
            <v>0</v>
          </cell>
          <cell r="Z55">
            <v>223</v>
          </cell>
          <cell r="AA55">
            <v>98</v>
          </cell>
          <cell r="AB55">
            <v>0</v>
          </cell>
          <cell r="AC55">
            <v>22</v>
          </cell>
          <cell r="AD55">
            <v>253</v>
          </cell>
          <cell r="AE55">
            <v>958</v>
          </cell>
          <cell r="AF55">
            <v>671</v>
          </cell>
          <cell r="AG55">
            <v>1412.0564999999999</v>
          </cell>
          <cell r="AH55">
            <v>32.59997705</v>
          </cell>
          <cell r="AI55">
            <v>1211</v>
          </cell>
          <cell r="AJ55">
            <v>924</v>
          </cell>
          <cell r="AK55">
            <v>30.936417376111301</v>
          </cell>
          <cell r="AL55">
            <v>32.599977046754397</v>
          </cell>
          <cell r="AM55">
            <v>21.3322758623335</v>
          </cell>
          <cell r="AN55">
            <v>2.8409199447482001</v>
          </cell>
          <cell r="AO55">
            <v>6.99</v>
          </cell>
          <cell r="AP55">
            <v>1</v>
          </cell>
          <cell r="AQ55">
            <v>7</v>
          </cell>
          <cell r="AR55">
            <v>132.460739219712</v>
          </cell>
          <cell r="AS55">
            <v>132.65023956194301</v>
          </cell>
          <cell r="AT55">
            <v>0.86683547496795599</v>
          </cell>
          <cell r="AU55">
            <v>1.08986473083496</v>
          </cell>
          <cell r="AV55">
            <v>1.35913527011871</v>
          </cell>
          <cell r="AW55">
            <v>0.33934947848320002</v>
          </cell>
          <cell r="AX55">
            <v>0.56832903623580899</v>
          </cell>
          <cell r="AY55">
            <v>0.849986672401428</v>
          </cell>
          <cell r="AZ55">
            <v>52.729056153974497</v>
          </cell>
          <cell r="BA55">
            <v>27.496489075900001</v>
          </cell>
          <cell r="BB55">
            <v>23.3750104457161</v>
          </cell>
          <cell r="BC55">
            <v>16.926643922170602</v>
          </cell>
          <cell r="BD55">
            <v>10.660735124393099</v>
          </cell>
          <cell r="BE55">
            <v>52.804491141319197</v>
          </cell>
          <cell r="BF55">
            <v>27.535825970143001</v>
          </cell>
          <cell r="BG55">
            <v>23.408451090130502</v>
          </cell>
          <cell r="BH55">
            <v>16.950624726625801</v>
          </cell>
          <cell r="BI55">
            <v>10.6759421861964</v>
          </cell>
          <cell r="BJ55">
            <v>24.978990165457201</v>
          </cell>
          <cell r="BK55">
            <v>33.253254372819299</v>
          </cell>
          <cell r="BL55">
            <v>55.727777883880101</v>
          </cell>
          <cell r="BM55">
            <v>107.94918044110599</v>
          </cell>
          <cell r="BN55">
            <v>113.47023925381799</v>
          </cell>
          <cell r="BO55">
            <v>210.576305699199</v>
          </cell>
          <cell r="BP55">
            <v>24.943305893792299</v>
          </cell>
          <cell r="BQ55">
            <v>33.198932121247097</v>
          </cell>
          <cell r="BR55">
            <v>55.660677768820101</v>
          </cell>
          <cell r="BS55">
            <v>107.79496732619</v>
          </cell>
          <cell r="BT55">
            <v>113.49974434837701</v>
          </cell>
          <cell r="BU55">
            <v>210.63045055843901</v>
          </cell>
          <cell r="BV55">
            <v>228.19983932728101</v>
          </cell>
          <cell r="BW55">
            <v>227.87383955681301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iegman, Adrian - REE-ARS" id="{6157A704-4C6F-4D7F-8F31-F9BF2DEE85DD}" userId="S::Adrian.Wiegman@usda.gov::3c961684-4d95-44a1-aa61-c33de9e59ad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3-05T18:52:36.96" personId="{6157A704-4C6F-4D7F-8F31-F9BF2DEE85DD}" id="{E4126A16-711E-4671-8E52-F94E68859D58}">
    <text>Double Check that estuary surface is not in contributing area</text>
  </threadedComment>
  <threadedComment ref="F1" dT="2024-03-11T15:06:04.48" personId="{6157A704-4C6F-4D7F-8F31-F9BF2DEE85DD}" id="{A6D1A594-C938-4D66-9116-2E5102546B52}">
    <text>Most of these include the estuary surface</text>
  </threadedComment>
  <threadedComment ref="Q1" dT="2024-03-19T16:49:20.48" personId="{6157A704-4C6F-4D7F-8F31-F9BF2DEE85DD}" id="{B93A0ADE-145F-435C-A103-D175C628F2E8}">
    <text>(100% Restoration with 50% Reduction Efficiency)</text>
  </threadedComment>
  <threadedComment ref="S1" dT="2024-03-19T16:51:00.01" personId="{6157A704-4C6F-4D7F-8F31-F9BF2DEE85DD}" id="{17653EE5-A1BB-4FB8-8A39-D221FF732564}">
    <text>Marginal HLR Method Load Reduction on Embayment Load TMDL</text>
  </threadedComment>
  <threadedComment ref="AB1" dT="2024-03-05T16:33:23.55" personId="{6157A704-4C6F-4D7F-8F31-F9BF2DEE85DD}" id="{A6682985-8080-4C1F-B988-8A3B5CADB598}">
    <text>estimated from removal efficiency * marginal TN load, where removal efficiency is calculated from a statistical model that takes inputs of marginal HLR, bog surface area, TN concentration
Marginal HLR is lower than absolute HLR, thus higher removal efficiency for marginal TN load estimates</text>
  </threadedComment>
  <threadedComment ref="AD1" dT="2024-03-19T16:39:40.96" personId="{6157A704-4C6F-4D7F-8F31-F9BF2DEE85DD}" id="{250B85F1-EEF3-4AE0-8749-1F6EFE614B45}">
    <text>This includes overlaping contributing areas</text>
  </threadedComment>
  <threadedComment ref="F29" dT="2024-02-27T21:43:57.33" personId="{6157A704-4C6F-4D7F-8F31-F9BF2DEE85DD}" id="{75EF7597-34F8-48A6-9C32-A9962E582766}">
    <text>System total from Table VIII-3 in MEP Report</text>
  </threadedComment>
  <threadedComment ref="F51" dT="2024-02-27T21:44:33.98" personId="{6157A704-4C6F-4D7F-8F31-F9BF2DEE85DD}" id="{0D4DD4AD-3093-44CB-A16B-3AD8179A4FFA}">
    <text>Present total load  from table VIII-3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7" dT="2024-03-15T17:12:41.92" personId="{6157A704-4C6F-4D7F-8F31-F9BF2DEE85DD}" id="{DD3AF10F-61BA-418F-8464-3F9BEF7DC5C8}">
    <text>Report says 5610 kg yr</text>
  </threadedComment>
  <threadedComment ref="E28" dT="2024-03-13T19:33:39.60" personId="{6157A704-4C6F-4D7F-8F31-F9BF2DEE85DD}" id="{F9507E54-12B2-41B2-BD2E-F0F018D04D39}">
    <text>chatham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AFF6-EFDB-43C4-AE1C-D89372FBC4C4}">
  <dimension ref="A1:BU25"/>
  <sheetViews>
    <sheetView topLeftCell="BD1" workbookViewId="0">
      <selection activeCell="C33" sqref="C29:F33"/>
    </sheetView>
  </sheetViews>
  <sheetFormatPr defaultRowHeight="13.2" x14ac:dyDescent="0.25"/>
  <sheetData>
    <row r="1" spans="1:73" x14ac:dyDescent="0.25">
      <c r="A1" t="s">
        <v>82</v>
      </c>
      <c r="B1" t="s">
        <v>0</v>
      </c>
      <c r="C1" t="s">
        <v>83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</v>
      </c>
      <c r="AO1" t="s">
        <v>2</v>
      </c>
      <c r="AP1" t="s">
        <v>151</v>
      </c>
      <c r="AQ1" t="s">
        <v>84</v>
      </c>
      <c r="AR1" t="s">
        <v>3</v>
      </c>
      <c r="AS1" t="s">
        <v>90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</row>
    <row r="2" spans="1:73" x14ac:dyDescent="0.25">
      <c r="A2">
        <v>2</v>
      </c>
      <c r="B2" t="s">
        <v>27</v>
      </c>
      <c r="C2">
        <v>8771.0984718469208</v>
      </c>
      <c r="D2">
        <v>65741</v>
      </c>
      <c r="E2">
        <v>9732</v>
      </c>
      <c r="F2">
        <v>10770</v>
      </c>
      <c r="G2">
        <v>11421</v>
      </c>
      <c r="H2">
        <v>97666</v>
      </c>
      <c r="I2">
        <v>10971</v>
      </c>
      <c r="J2">
        <v>75572</v>
      </c>
      <c r="K2">
        <v>92434</v>
      </c>
      <c r="L2">
        <v>7</v>
      </c>
      <c r="M2">
        <v>75572</v>
      </c>
      <c r="N2">
        <v>92434</v>
      </c>
      <c r="O2">
        <v>-283.89999999999998</v>
      </c>
      <c r="P2">
        <v>-211.9</v>
      </c>
      <c r="Q2">
        <v>714</v>
      </c>
      <c r="R2">
        <v>220441.72698879999</v>
      </c>
      <c r="S2">
        <v>219380593.603257</v>
      </c>
      <c r="T2">
        <v>97666</v>
      </c>
      <c r="U2">
        <v>181.42699999999999</v>
      </c>
      <c r="V2">
        <v>253.24199999999999</v>
      </c>
      <c r="W2" s="32">
        <v>0.39600000000000002</v>
      </c>
      <c r="X2">
        <v>53984</v>
      </c>
      <c r="Y2">
        <v>274</v>
      </c>
      <c r="Z2">
        <v>4813</v>
      </c>
      <c r="AA2">
        <v>5247</v>
      </c>
      <c r="AB2">
        <v>1903</v>
      </c>
      <c r="AC2">
        <v>3842</v>
      </c>
      <c r="AD2">
        <v>16326</v>
      </c>
      <c r="AE2">
        <v>73613</v>
      </c>
      <c r="AF2">
        <v>66221</v>
      </c>
      <c r="AG2">
        <v>66266.211750000002</v>
      </c>
      <c r="AH2">
        <v>7.5550641650000001</v>
      </c>
      <c r="AI2">
        <v>89939</v>
      </c>
      <c r="AJ2">
        <v>82547</v>
      </c>
      <c r="AK2">
        <v>11.134979308861199</v>
      </c>
      <c r="AL2">
        <v>7.5550641647335599</v>
      </c>
      <c r="AM2">
        <v>9.4112499437733597</v>
      </c>
      <c r="AN2">
        <v>20.642489180431301</v>
      </c>
      <c r="AO2">
        <v>539.17999999999995</v>
      </c>
      <c r="AP2">
        <v>10</v>
      </c>
      <c r="AQ2">
        <v>362.14</v>
      </c>
      <c r="AR2">
        <v>10217.479452429799</v>
      </c>
      <c r="AS2">
        <v>6862.5653935660503</v>
      </c>
      <c r="AT2">
        <v>0.69815157651901205</v>
      </c>
      <c r="AU2">
        <v>0.85505750179290696</v>
      </c>
      <c r="AV2">
        <v>1.0101203620433801</v>
      </c>
      <c r="AW2">
        <v>7.1831099316477701E-2</v>
      </c>
      <c r="AX2">
        <v>0.18241350054740901</v>
      </c>
      <c r="AY2">
        <v>0.36887261569499902</v>
      </c>
      <c r="AZ2">
        <v>3174.5978669218598</v>
      </c>
      <c r="BA2">
        <v>697.487605707125</v>
      </c>
      <c r="BB2">
        <v>452.73657820685003</v>
      </c>
      <c r="BC2">
        <v>403.75889870347697</v>
      </c>
      <c r="BD2">
        <v>265.44938659226102</v>
      </c>
      <c r="BE2">
        <v>2125.3873158361898</v>
      </c>
      <c r="BF2">
        <v>466.72746678198303</v>
      </c>
      <c r="BG2">
        <v>313.01144630148002</v>
      </c>
      <c r="BH2">
        <v>274.52180154778</v>
      </c>
      <c r="BI2">
        <v>178.48221742658001</v>
      </c>
      <c r="BJ2">
        <v>999.71743342692798</v>
      </c>
      <c r="BK2">
        <v>948.16417091583401</v>
      </c>
      <c r="BL2">
        <v>1100.98026854306</v>
      </c>
      <c r="BM2">
        <v>1286.0245396804401</v>
      </c>
      <c r="BN2">
        <v>1189.69799157237</v>
      </c>
      <c r="BO2">
        <v>1489.72623522257</v>
      </c>
      <c r="BP2">
        <v>1622.98323998568</v>
      </c>
      <c r="BQ2">
        <v>1547.0014666750301</v>
      </c>
      <c r="BR2">
        <v>1910.4488153668201</v>
      </c>
      <c r="BS2">
        <v>1162.9092253740801</v>
      </c>
      <c r="BT2">
        <v>2735.9909366166098</v>
      </c>
      <c r="BU2">
        <v>4073.5394963410399</v>
      </c>
    </row>
    <row r="3" spans="1:73" x14ac:dyDescent="0.25">
      <c r="A3">
        <v>3</v>
      </c>
      <c r="B3" t="s">
        <v>28</v>
      </c>
      <c r="C3">
        <v>4779.4871016583602</v>
      </c>
      <c r="D3">
        <v>91114</v>
      </c>
      <c r="E3">
        <v>8662</v>
      </c>
      <c r="F3">
        <v>11748</v>
      </c>
      <c r="G3">
        <v>2606</v>
      </c>
      <c r="H3">
        <v>114651</v>
      </c>
      <c r="I3">
        <v>14474</v>
      </c>
      <c r="J3">
        <v>25618</v>
      </c>
      <c r="K3">
        <v>41792</v>
      </c>
      <c r="L3">
        <v>7</v>
      </c>
      <c r="M3">
        <v>25618</v>
      </c>
      <c r="N3">
        <v>41792</v>
      </c>
      <c r="O3">
        <v>464.6</v>
      </c>
      <c r="P3">
        <v>366.3</v>
      </c>
      <c r="Q3">
        <v>721</v>
      </c>
      <c r="R3">
        <v>167259.645980576</v>
      </c>
      <c r="S3">
        <v>105354810.547314</v>
      </c>
      <c r="T3">
        <v>114651</v>
      </c>
      <c r="U3">
        <v>217.81899999999999</v>
      </c>
      <c r="V3">
        <v>114.48699999999999</v>
      </c>
      <c r="W3" s="32">
        <v>-0.47399999999999998</v>
      </c>
      <c r="X3">
        <v>72512</v>
      </c>
      <c r="Y3">
        <v>1795</v>
      </c>
      <c r="Z3">
        <v>7293</v>
      </c>
      <c r="AA3">
        <v>7292</v>
      </c>
      <c r="AB3">
        <v>5594</v>
      </c>
      <c r="AC3">
        <v>1453</v>
      </c>
      <c r="AD3">
        <v>8247</v>
      </c>
      <c r="AE3">
        <v>95939</v>
      </c>
      <c r="AF3">
        <v>84068</v>
      </c>
      <c r="AG3">
        <v>79558.389750000002</v>
      </c>
      <c r="AH3">
        <v>16.645800699999999</v>
      </c>
      <c r="AI3">
        <v>104186</v>
      </c>
      <c r="AJ3">
        <v>92315</v>
      </c>
      <c r="AK3">
        <v>23.988138802638201</v>
      </c>
      <c r="AL3">
        <v>16.645800701584701</v>
      </c>
      <c r="AM3">
        <v>19.314834005508398</v>
      </c>
      <c r="AN3">
        <v>28.827715157135799</v>
      </c>
      <c r="AO3">
        <v>301.45</v>
      </c>
      <c r="AP3">
        <v>6</v>
      </c>
      <c r="AQ3">
        <v>251.75</v>
      </c>
      <c r="AR3">
        <v>5712.4878165639902</v>
      </c>
      <c r="AS3">
        <v>4770.6711156741903</v>
      </c>
      <c r="AT3">
        <v>0.65906627972920695</v>
      </c>
      <c r="AU3">
        <v>0.837442547082901</v>
      </c>
      <c r="AV3">
        <v>1.0769569873809799</v>
      </c>
      <c r="AW3">
        <v>0.10434123749534201</v>
      </c>
      <c r="AX3">
        <v>0.24387641747792499</v>
      </c>
      <c r="AY3">
        <v>0.46645802259445102</v>
      </c>
      <c r="AZ3">
        <v>1842.02334406708</v>
      </c>
      <c r="BA3">
        <v>541.23098697410296</v>
      </c>
      <c r="BB3">
        <v>399.65615910883798</v>
      </c>
      <c r="BC3">
        <v>324.44698452997301</v>
      </c>
      <c r="BD3">
        <v>208.156112968933</v>
      </c>
      <c r="BE3">
        <v>1615.9004455733</v>
      </c>
      <c r="BF3">
        <v>473.77996842116801</v>
      </c>
      <c r="BG3">
        <v>353.237251059301</v>
      </c>
      <c r="BH3">
        <v>285.65400195666899</v>
      </c>
      <c r="BI3">
        <v>182.539926614748</v>
      </c>
      <c r="BJ3">
        <v>780.27898926605599</v>
      </c>
      <c r="BK3">
        <v>816.23106276391104</v>
      </c>
      <c r="BL3">
        <v>988.41001120529597</v>
      </c>
      <c r="BM3">
        <v>2021.29044547789</v>
      </c>
      <c r="BN3">
        <v>1850.71957276957</v>
      </c>
      <c r="BO3">
        <v>884.86370294085395</v>
      </c>
      <c r="BP3">
        <v>958.43892358474397</v>
      </c>
      <c r="BQ3">
        <v>1101.61463358591</v>
      </c>
      <c r="BR3">
        <v>2403.85639905261</v>
      </c>
      <c r="BS3">
        <v>1819.34095057177</v>
      </c>
      <c r="BT3">
        <v>4190.58032662395</v>
      </c>
      <c r="BU3">
        <v>5017.87662149271</v>
      </c>
    </row>
    <row r="4" spans="1:73" x14ac:dyDescent="0.25">
      <c r="A4">
        <v>5</v>
      </c>
      <c r="B4" t="s">
        <v>29</v>
      </c>
      <c r="C4">
        <v>604.46743013583</v>
      </c>
      <c r="D4">
        <v>7632</v>
      </c>
      <c r="E4">
        <v>2776</v>
      </c>
      <c r="F4">
        <v>1690</v>
      </c>
      <c r="G4">
        <v>1226</v>
      </c>
      <c r="H4">
        <v>13323</v>
      </c>
      <c r="I4">
        <v>1529</v>
      </c>
      <c r="J4">
        <v>394</v>
      </c>
      <c r="K4">
        <v>1296</v>
      </c>
      <c r="L4">
        <v>2</v>
      </c>
      <c r="M4">
        <v>394</v>
      </c>
      <c r="N4">
        <v>1296</v>
      </c>
      <c r="O4">
        <v>189.9</v>
      </c>
      <c r="P4">
        <v>161.39999999999901</v>
      </c>
      <c r="Q4">
        <v>210</v>
      </c>
      <c r="R4">
        <v>53819.509686867801</v>
      </c>
      <c r="S4">
        <v>21196487.363198999</v>
      </c>
      <c r="T4">
        <v>13323</v>
      </c>
      <c r="U4">
        <v>14.95</v>
      </c>
      <c r="V4" t="s">
        <v>41</v>
      </c>
      <c r="W4" s="32">
        <v>-1</v>
      </c>
      <c r="X4">
        <v>5573</v>
      </c>
      <c r="Y4">
        <v>1</v>
      </c>
      <c r="Z4">
        <v>485</v>
      </c>
      <c r="AA4">
        <v>502</v>
      </c>
      <c r="AB4">
        <v>723</v>
      </c>
      <c r="AC4">
        <v>242</v>
      </c>
      <c r="AD4">
        <v>1261</v>
      </c>
      <c r="AE4">
        <v>7526</v>
      </c>
      <c r="AF4">
        <v>6711</v>
      </c>
      <c r="AG4">
        <v>5460.4875000000002</v>
      </c>
      <c r="AH4">
        <v>9.0335512349999991</v>
      </c>
      <c r="AI4">
        <v>8787</v>
      </c>
      <c r="AJ4">
        <v>7972</v>
      </c>
      <c r="AK4">
        <v>22.040889774666802</v>
      </c>
      <c r="AL4">
        <v>9.0335512349655698</v>
      </c>
      <c r="AM4">
        <v>13.188469059794601</v>
      </c>
      <c r="AN4">
        <v>9.7840167558699793</v>
      </c>
      <c r="AO4">
        <v>334.59</v>
      </c>
      <c r="AP4">
        <v>1</v>
      </c>
      <c r="AQ4">
        <v>325.74</v>
      </c>
      <c r="AR4">
        <v>6340.4919507186796</v>
      </c>
      <c r="AS4">
        <v>6172.7841478439404</v>
      </c>
      <c r="AT4">
        <v>0.71839791536331099</v>
      </c>
      <c r="AU4">
        <v>0.79271847009658802</v>
      </c>
      <c r="AV4">
        <v>0.87305343151092496</v>
      </c>
      <c r="AW4">
        <v>0.26225915551185602</v>
      </c>
      <c r="AX4">
        <v>0.375510513782501</v>
      </c>
      <c r="AY4">
        <v>0.50875735282897905</v>
      </c>
      <c r="AZ4">
        <v>1835.82871004391</v>
      </c>
      <c r="BA4">
        <v>869.63153771509997</v>
      </c>
      <c r="BB4">
        <v>520.03250584364503</v>
      </c>
      <c r="BC4">
        <v>494.57364671566302</v>
      </c>
      <c r="BD4">
        <v>329.25002236813799</v>
      </c>
      <c r="BE4">
        <v>1787.27052216057</v>
      </c>
      <c r="BF4">
        <v>846.62953792796202</v>
      </c>
      <c r="BG4">
        <v>506.27749918858598</v>
      </c>
      <c r="BH4">
        <v>482.625342512136</v>
      </c>
      <c r="BI4">
        <v>320.767421585612</v>
      </c>
      <c r="BJ4">
        <v>874.88365070978</v>
      </c>
      <c r="BK4">
        <v>748.96574337074003</v>
      </c>
      <c r="BL4">
        <v>871.18761559881705</v>
      </c>
      <c r="BM4">
        <v>1440.4215572339299</v>
      </c>
      <c r="BN4">
        <v>1128.8863256587899</v>
      </c>
      <c r="BO4">
        <v>898.65328387973602</v>
      </c>
      <c r="BP4">
        <v>773.00876256999595</v>
      </c>
      <c r="BQ4">
        <v>889.68170493830598</v>
      </c>
      <c r="BR4">
        <v>1479.5562375971599</v>
      </c>
      <c r="BS4">
        <v>1122.9646334096999</v>
      </c>
      <c r="BT4">
        <v>2942.5889792776802</v>
      </c>
      <c r="BU4">
        <v>3022.5359077071298</v>
      </c>
    </row>
    <row r="5" spans="1:73" x14ac:dyDescent="0.25">
      <c r="A5">
        <v>7</v>
      </c>
      <c r="B5" t="s">
        <v>31</v>
      </c>
      <c r="C5">
        <v>2778.9380343889502</v>
      </c>
      <c r="D5">
        <v>48278</v>
      </c>
      <c r="E5">
        <v>5008</v>
      </c>
      <c r="F5">
        <v>6413</v>
      </c>
      <c r="G5">
        <v>4548</v>
      </c>
      <c r="H5">
        <v>63166</v>
      </c>
      <c r="I5">
        <v>7996</v>
      </c>
      <c r="J5">
        <v>25847</v>
      </c>
      <c r="K5">
        <v>34833</v>
      </c>
      <c r="L5">
        <v>4</v>
      </c>
      <c r="M5">
        <v>25847</v>
      </c>
      <c r="N5">
        <v>34833</v>
      </c>
      <c r="O5">
        <v>73.099999999999994</v>
      </c>
      <c r="P5">
        <v>59.8</v>
      </c>
      <c r="Q5">
        <v>428</v>
      </c>
      <c r="R5">
        <v>77848.769648449001</v>
      </c>
      <c r="S5">
        <v>54096623.891136803</v>
      </c>
      <c r="T5">
        <v>63166</v>
      </c>
      <c r="U5">
        <v>123.55800000000001</v>
      </c>
      <c r="V5">
        <v>92.113</v>
      </c>
      <c r="W5" s="32">
        <v>-0.254</v>
      </c>
      <c r="X5">
        <v>48493</v>
      </c>
      <c r="Y5">
        <v>47</v>
      </c>
      <c r="Z5">
        <v>3155</v>
      </c>
      <c r="AA5">
        <v>3972</v>
      </c>
      <c r="AB5">
        <v>5156</v>
      </c>
      <c r="AC5">
        <v>921</v>
      </c>
      <c r="AD5">
        <v>3107</v>
      </c>
      <c r="AE5">
        <v>61745</v>
      </c>
      <c r="AF5">
        <v>48277</v>
      </c>
      <c r="AG5">
        <v>45129.559500000003</v>
      </c>
      <c r="AH5">
        <v>16.23985815</v>
      </c>
      <c r="AI5">
        <v>64852</v>
      </c>
      <c r="AJ5">
        <v>51384</v>
      </c>
      <c r="AK5">
        <v>22.730265741204001</v>
      </c>
      <c r="AL5">
        <v>16.239858154996</v>
      </c>
      <c r="AM5">
        <v>18.490516652091699</v>
      </c>
      <c r="AN5">
        <v>13.559104377606401</v>
      </c>
      <c r="AO5">
        <v>191.56</v>
      </c>
      <c r="AP5">
        <v>7</v>
      </c>
      <c r="AQ5">
        <v>191.63</v>
      </c>
      <c r="AR5">
        <v>3630.0685557837</v>
      </c>
      <c r="AS5">
        <v>3631.3950581793201</v>
      </c>
      <c r="AT5">
        <v>1.2017858113561299</v>
      </c>
      <c r="AU5">
        <v>1.49954763480595</v>
      </c>
      <c r="AV5">
        <v>1.86752617359161</v>
      </c>
      <c r="AW5">
        <v>0.72781871472086201</v>
      </c>
      <c r="AX5">
        <v>1.0025040464741799</v>
      </c>
      <c r="AY5">
        <v>1.3476825526782401</v>
      </c>
      <c r="AZ5">
        <v>2139.03580274569</v>
      </c>
      <c r="BA5">
        <v>1531.3086940752901</v>
      </c>
      <c r="BB5">
        <v>805.79259957590898</v>
      </c>
      <c r="BC5">
        <v>774.487987862512</v>
      </c>
      <c r="BD5">
        <v>558.72510356605096</v>
      </c>
      <c r="BE5">
        <v>2139.76234107249</v>
      </c>
      <c r="BF5">
        <v>1531.7944122983199</v>
      </c>
      <c r="BG5">
        <v>806.06729822351394</v>
      </c>
      <c r="BH5">
        <v>774.69305014747999</v>
      </c>
      <c r="BI5">
        <v>558.89266278437401</v>
      </c>
      <c r="BJ5">
        <v>1003.92943504261</v>
      </c>
      <c r="BK5">
        <v>958.43105428151296</v>
      </c>
      <c r="BL5">
        <v>1135.3034080239399</v>
      </c>
      <c r="BM5">
        <v>1459.9200773555899</v>
      </c>
      <c r="BN5">
        <v>1317.64494366483</v>
      </c>
      <c r="BO5">
        <v>1003.59256602705</v>
      </c>
      <c r="BP5">
        <v>958.020250252854</v>
      </c>
      <c r="BQ5">
        <v>1134.95758122848</v>
      </c>
      <c r="BR5">
        <v>1459.3929783920501</v>
      </c>
      <c r="BS5">
        <v>1317.73034203732</v>
      </c>
      <c r="BT5">
        <v>3112.0440182418802</v>
      </c>
      <c r="BU5">
        <v>3110.9072281710301</v>
      </c>
    </row>
    <row r="6" spans="1:73" x14ac:dyDescent="0.25">
      <c r="A6">
        <v>10</v>
      </c>
      <c r="B6" t="s">
        <v>32</v>
      </c>
      <c r="C6">
        <v>3334.8527068854501</v>
      </c>
      <c r="D6">
        <v>25721</v>
      </c>
      <c r="E6">
        <v>5758</v>
      </c>
      <c r="F6">
        <v>5128</v>
      </c>
      <c r="G6">
        <v>4099</v>
      </c>
      <c r="H6">
        <v>40705</v>
      </c>
      <c r="I6">
        <v>6013</v>
      </c>
      <c r="J6">
        <v>3207</v>
      </c>
      <c r="K6">
        <v>7195</v>
      </c>
      <c r="L6">
        <v>2</v>
      </c>
      <c r="M6">
        <v>3207</v>
      </c>
      <c r="N6">
        <v>7195</v>
      </c>
      <c r="O6">
        <v>179.3</v>
      </c>
      <c r="P6">
        <v>143.69999999999999</v>
      </c>
      <c r="Q6">
        <v>222</v>
      </c>
      <c r="R6">
        <v>86735.187340863995</v>
      </c>
      <c r="S6">
        <v>75112671.442953795</v>
      </c>
      <c r="T6">
        <v>40705</v>
      </c>
      <c r="U6">
        <v>53.01</v>
      </c>
      <c r="V6" t="s">
        <v>41</v>
      </c>
      <c r="W6" s="32">
        <v>-1</v>
      </c>
      <c r="X6">
        <v>21202</v>
      </c>
      <c r="Y6">
        <v>539</v>
      </c>
      <c r="Z6">
        <v>1700</v>
      </c>
      <c r="AA6">
        <v>2319</v>
      </c>
      <c r="AB6">
        <v>3128</v>
      </c>
      <c r="AC6">
        <v>1302</v>
      </c>
      <c r="AD6">
        <v>4781</v>
      </c>
      <c r="AE6">
        <v>30196</v>
      </c>
      <c r="AF6">
        <v>21833</v>
      </c>
      <c r="AG6">
        <v>19361.9025</v>
      </c>
      <c r="AH6">
        <v>5.8059243399999998</v>
      </c>
      <c r="AI6">
        <v>34977</v>
      </c>
      <c r="AJ6">
        <v>26614</v>
      </c>
      <c r="AK6">
        <v>12.205936386922399</v>
      </c>
      <c r="AL6">
        <v>5.8059243396338296</v>
      </c>
      <c r="AM6">
        <v>7.9805623633842098</v>
      </c>
      <c r="AN6">
        <v>27.441627011149201</v>
      </c>
      <c r="AO6">
        <v>4872.33</v>
      </c>
      <c r="AP6">
        <v>10</v>
      </c>
      <c r="AQ6">
        <v>1309.6199999999999</v>
      </c>
      <c r="AR6">
        <v>92330.820246406496</v>
      </c>
      <c r="AS6">
        <v>24817.343819301801</v>
      </c>
      <c r="AT6">
        <v>0.67500210404395999</v>
      </c>
      <c r="AU6">
        <v>0.74832302331924405</v>
      </c>
      <c r="AV6">
        <v>0.824779152870178</v>
      </c>
      <c r="AW6">
        <v>0.113219859451055</v>
      </c>
      <c r="AX6">
        <v>0.18727314248681001</v>
      </c>
      <c r="AY6">
        <v>0.29337969869375202</v>
      </c>
      <c r="AZ6">
        <v>25493.9083724058</v>
      </c>
      <c r="BA6">
        <v>5792.6767366450504</v>
      </c>
      <c r="BB6">
        <v>2607.22533019412</v>
      </c>
      <c r="BC6">
        <v>2451.2048557777998</v>
      </c>
      <c r="BD6">
        <v>1986.3541636318901</v>
      </c>
      <c r="BE6">
        <v>6658.76702815504</v>
      </c>
      <c r="BF6">
        <v>1367.4279025936501</v>
      </c>
      <c r="BG6">
        <v>661.39236299456502</v>
      </c>
      <c r="BH6">
        <v>757.22573647199101</v>
      </c>
      <c r="BI6">
        <v>513.405597437545</v>
      </c>
      <c r="BJ6">
        <v>3181.4044475629498</v>
      </c>
      <c r="BK6">
        <v>2108.0432964038901</v>
      </c>
      <c r="BL6">
        <v>2669.4556844355998</v>
      </c>
      <c r="BM6">
        <v>3631.9881607192801</v>
      </c>
      <c r="BN6">
        <v>2724.1998976601999</v>
      </c>
      <c r="BO6">
        <v>12100.339476789901</v>
      </c>
      <c r="BP6">
        <v>11264.704877541901</v>
      </c>
      <c r="BQ6">
        <v>7204.2470291528798</v>
      </c>
      <c r="BR6">
        <v>13406.370916919401</v>
      </c>
      <c r="BS6">
        <v>2335.1340154068598</v>
      </c>
      <c r="BT6">
        <v>7603.5546336712496</v>
      </c>
      <c r="BU6">
        <v>28288.379337728002</v>
      </c>
    </row>
    <row r="7" spans="1:73" x14ac:dyDescent="0.25">
      <c r="A7">
        <v>12</v>
      </c>
      <c r="B7" t="s">
        <v>33</v>
      </c>
      <c r="C7">
        <v>641.49203142067302</v>
      </c>
      <c r="D7">
        <v>9152</v>
      </c>
      <c r="E7">
        <v>3662</v>
      </c>
      <c r="F7">
        <v>1849</v>
      </c>
      <c r="G7">
        <v>1268</v>
      </c>
      <c r="H7">
        <v>15932</v>
      </c>
      <c r="I7">
        <v>1767</v>
      </c>
      <c r="J7">
        <v>2376</v>
      </c>
      <c r="K7">
        <v>3708</v>
      </c>
      <c r="L7">
        <v>1</v>
      </c>
      <c r="M7">
        <v>2376</v>
      </c>
      <c r="N7">
        <v>3708</v>
      </c>
      <c r="O7">
        <v>65.2</v>
      </c>
      <c r="P7">
        <v>54.6</v>
      </c>
      <c r="Q7">
        <v>113</v>
      </c>
      <c r="R7">
        <v>49536.9680977358</v>
      </c>
      <c r="S7">
        <v>21861270.175905999</v>
      </c>
      <c r="T7">
        <v>15932</v>
      </c>
      <c r="U7">
        <v>22.36</v>
      </c>
      <c r="V7" t="s">
        <v>41</v>
      </c>
      <c r="W7" s="32">
        <v>-1</v>
      </c>
      <c r="X7">
        <v>8458</v>
      </c>
      <c r="Y7">
        <v>499</v>
      </c>
      <c r="Z7">
        <v>909</v>
      </c>
      <c r="AA7">
        <v>688</v>
      </c>
      <c r="AB7">
        <v>763</v>
      </c>
      <c r="AC7">
        <v>281</v>
      </c>
      <c r="AD7">
        <v>949</v>
      </c>
      <c r="AE7">
        <v>11598</v>
      </c>
      <c r="AF7">
        <v>8941</v>
      </c>
      <c r="AG7">
        <v>8166.99</v>
      </c>
      <c r="AH7">
        <v>12.731241539999999</v>
      </c>
      <c r="AI7">
        <v>12547</v>
      </c>
      <c r="AJ7">
        <v>9890</v>
      </c>
      <c r="AK7">
        <v>24.835850204898598</v>
      </c>
      <c r="AL7">
        <v>12.7312415431148</v>
      </c>
      <c r="AM7">
        <v>15.4171829353783</v>
      </c>
      <c r="AN7">
        <v>25.142688125447702</v>
      </c>
      <c r="AO7">
        <v>376.74</v>
      </c>
      <c r="AP7">
        <v>1</v>
      </c>
      <c r="AQ7">
        <v>376.75</v>
      </c>
      <c r="AR7">
        <v>7139.2358932238103</v>
      </c>
      <c r="AS7">
        <v>7139.4253935660499</v>
      </c>
      <c r="AT7">
        <v>0.72746527194976796</v>
      </c>
      <c r="AU7">
        <v>0.79363292455673196</v>
      </c>
      <c r="AV7">
        <v>0.865023553371429</v>
      </c>
      <c r="AW7">
        <v>0.199897661805152</v>
      </c>
      <c r="AX7">
        <v>0.29035162925720198</v>
      </c>
      <c r="AY7">
        <v>0.394722580909729</v>
      </c>
      <c r="AZ7">
        <v>2069.4819044447099</v>
      </c>
      <c r="BA7">
        <v>757.12262442920905</v>
      </c>
      <c r="BB7">
        <v>545.92801063926595</v>
      </c>
      <c r="BC7">
        <v>456.65196587238398</v>
      </c>
      <c r="BD7">
        <v>291.751959182338</v>
      </c>
      <c r="BE7">
        <v>2069.53683574759</v>
      </c>
      <c r="BF7">
        <v>757.14272111722801</v>
      </c>
      <c r="BG7">
        <v>545.94250148203901</v>
      </c>
      <c r="BH7">
        <v>456.66372200208002</v>
      </c>
      <c r="BI7">
        <v>291.75963334033997</v>
      </c>
      <c r="BJ7">
        <v>1039.42488379613</v>
      </c>
      <c r="BK7">
        <v>945.269910452359</v>
      </c>
      <c r="BL7">
        <v>1141.4294860443799</v>
      </c>
      <c r="BM7">
        <v>2409.0397586382701</v>
      </c>
      <c r="BN7">
        <v>1888.1392381964999</v>
      </c>
      <c r="BO7">
        <v>1039.39729454904</v>
      </c>
      <c r="BP7">
        <v>945.24069659388897</v>
      </c>
      <c r="BQ7">
        <v>1141.4049658086601</v>
      </c>
      <c r="BR7">
        <v>2408.97581597713</v>
      </c>
      <c r="BS7">
        <v>1888.1487959209901</v>
      </c>
      <c r="BT7">
        <v>4796.4952513685002</v>
      </c>
      <c r="BU7">
        <v>4796.3679389530698</v>
      </c>
    </row>
    <row r="8" spans="1:73" x14ac:dyDescent="0.25">
      <c r="A8">
        <v>15</v>
      </c>
      <c r="B8" t="s">
        <v>34</v>
      </c>
      <c r="C8">
        <v>3865.6556098022302</v>
      </c>
      <c r="D8">
        <v>26832</v>
      </c>
      <c r="E8">
        <v>3843</v>
      </c>
      <c r="F8">
        <v>4339</v>
      </c>
      <c r="G8">
        <v>8144</v>
      </c>
      <c r="H8">
        <v>43776</v>
      </c>
      <c r="I8">
        <v>5336</v>
      </c>
      <c r="J8">
        <v>8669</v>
      </c>
      <c r="K8">
        <v>17511</v>
      </c>
      <c r="L8">
        <v>3</v>
      </c>
      <c r="M8">
        <v>8669</v>
      </c>
      <c r="N8">
        <v>17511</v>
      </c>
      <c r="O8">
        <v>47.1</v>
      </c>
      <c r="P8">
        <v>27.7</v>
      </c>
      <c r="Q8">
        <v>348</v>
      </c>
      <c r="R8">
        <v>48915.0098120322</v>
      </c>
      <c r="S8">
        <v>69706754.684799299</v>
      </c>
      <c r="T8">
        <v>43776</v>
      </c>
      <c r="U8">
        <v>62.816000000000003</v>
      </c>
      <c r="V8">
        <v>47.945</v>
      </c>
      <c r="W8" s="32">
        <v>-0.23699999999999999</v>
      </c>
      <c r="X8">
        <v>24589</v>
      </c>
      <c r="Y8">
        <v>158</v>
      </c>
      <c r="Z8">
        <v>7206</v>
      </c>
      <c r="AA8">
        <v>2532</v>
      </c>
      <c r="AB8">
        <v>6432</v>
      </c>
      <c r="AC8">
        <v>1352</v>
      </c>
      <c r="AD8">
        <v>9729</v>
      </c>
      <c r="AE8">
        <v>41340</v>
      </c>
      <c r="AF8">
        <v>23164</v>
      </c>
      <c r="AG8">
        <v>22943.544000000002</v>
      </c>
      <c r="AH8">
        <v>5.9352271170000002</v>
      </c>
      <c r="AI8">
        <v>51069</v>
      </c>
      <c r="AJ8">
        <v>32893</v>
      </c>
      <c r="AK8">
        <v>11.3243404014046</v>
      </c>
      <c r="AL8">
        <v>5.9352271169271997</v>
      </c>
      <c r="AM8">
        <v>8.5090352892773105</v>
      </c>
      <c r="AN8">
        <v>72.372624993793806</v>
      </c>
      <c r="AO8">
        <v>2170.2399999999998</v>
      </c>
      <c r="AP8">
        <v>27</v>
      </c>
      <c r="AQ8">
        <v>1144.1400000000001</v>
      </c>
      <c r="AR8">
        <v>41126.122272416098</v>
      </c>
      <c r="AS8">
        <v>21681.4921560574</v>
      </c>
      <c r="AT8">
        <v>0.53226296106974202</v>
      </c>
      <c r="AU8">
        <v>0.69036866227785698</v>
      </c>
      <c r="AV8">
        <v>0.87414916797920506</v>
      </c>
      <c r="AW8">
        <v>0.12196002348705499</v>
      </c>
      <c r="AX8">
        <v>0.23669883519135099</v>
      </c>
      <c r="AY8">
        <v>0.41058739730053401</v>
      </c>
      <c r="AZ8">
        <v>10442.2325175237</v>
      </c>
      <c r="BA8">
        <v>3951.6078940520401</v>
      </c>
      <c r="BB8">
        <v>2069.2730412738902</v>
      </c>
      <c r="BC8">
        <v>1853.6517537407201</v>
      </c>
      <c r="BD8">
        <v>1395.18208629173</v>
      </c>
      <c r="BE8">
        <v>5628.0843959956601</v>
      </c>
      <c r="BF8">
        <v>2258.29630757221</v>
      </c>
      <c r="BG8">
        <v>1178.4413619985701</v>
      </c>
      <c r="BH8">
        <v>1042.44096474913</v>
      </c>
      <c r="BI8">
        <v>789.06648852219496</v>
      </c>
      <c r="BJ8">
        <v>2635.4875235579998</v>
      </c>
      <c r="BK8">
        <v>2312.8261391546298</v>
      </c>
      <c r="BL8">
        <v>2721.5900021193702</v>
      </c>
      <c r="BM8">
        <v>3190.7887262355798</v>
      </c>
      <c r="BN8">
        <v>2974.4289239777499</v>
      </c>
      <c r="BO8">
        <v>4908.9443705452504</v>
      </c>
      <c r="BP8">
        <v>4958.1590142430496</v>
      </c>
      <c r="BQ8">
        <v>4477.7026612495101</v>
      </c>
      <c r="BR8">
        <v>6065.6136018720899</v>
      </c>
      <c r="BS8">
        <v>2786.87392050075</v>
      </c>
      <c r="BT8">
        <v>6790.7307535610898</v>
      </c>
      <c r="BU8">
        <v>12880.8672982401</v>
      </c>
    </row>
    <row r="9" spans="1:73" x14ac:dyDescent="0.25">
      <c r="A9">
        <v>16</v>
      </c>
      <c r="B9" t="s">
        <v>35</v>
      </c>
      <c r="C9">
        <v>3534.0988501863799</v>
      </c>
      <c r="D9">
        <v>57533</v>
      </c>
      <c r="E9">
        <v>4751</v>
      </c>
      <c r="F9">
        <v>11773</v>
      </c>
      <c r="G9">
        <v>1700</v>
      </c>
      <c r="H9">
        <v>75755</v>
      </c>
      <c r="I9">
        <v>9787</v>
      </c>
      <c r="J9">
        <v>20216</v>
      </c>
      <c r="K9">
        <v>48941</v>
      </c>
      <c r="L9">
        <v>8</v>
      </c>
      <c r="M9">
        <v>20216</v>
      </c>
      <c r="N9">
        <v>48941</v>
      </c>
      <c r="O9">
        <v>174.79999999999899</v>
      </c>
      <c r="P9">
        <v>79.899999904629993</v>
      </c>
      <c r="Q9">
        <v>936</v>
      </c>
      <c r="R9">
        <v>130152.146767827</v>
      </c>
      <c r="S9">
        <v>84358071.588284701</v>
      </c>
      <c r="T9">
        <v>75755</v>
      </c>
      <c r="U9">
        <v>133.90899999999999</v>
      </c>
      <c r="V9">
        <v>97.822000000000003</v>
      </c>
      <c r="W9" s="32">
        <v>-0.26900000000000002</v>
      </c>
      <c r="X9">
        <v>34909</v>
      </c>
      <c r="Y9">
        <v>12367</v>
      </c>
      <c r="Z9">
        <v>3084</v>
      </c>
      <c r="AA9">
        <v>4937</v>
      </c>
      <c r="AB9">
        <v>6100</v>
      </c>
      <c r="AC9">
        <v>1107</v>
      </c>
      <c r="AD9">
        <v>17237</v>
      </c>
      <c r="AE9">
        <v>62504</v>
      </c>
      <c r="AF9">
        <v>56327</v>
      </c>
      <c r="AG9">
        <v>48910.26225</v>
      </c>
      <c r="AH9">
        <v>13.839528639999999</v>
      </c>
      <c r="AI9">
        <v>79741</v>
      </c>
      <c r="AJ9">
        <v>73564</v>
      </c>
      <c r="AK9">
        <v>21.435450226867498</v>
      </c>
      <c r="AL9">
        <v>13.8395286389401</v>
      </c>
      <c r="AM9">
        <v>20.8154902051254</v>
      </c>
      <c r="AN9">
        <v>8.5284805223007591</v>
      </c>
      <c r="AO9">
        <v>111.45</v>
      </c>
      <c r="AP9">
        <v>1</v>
      </c>
      <c r="AQ9">
        <v>111.46</v>
      </c>
      <c r="AR9">
        <v>2111.9813141683699</v>
      </c>
      <c r="AS9">
        <v>2112.1708145105999</v>
      </c>
      <c r="AT9">
        <v>0.89340972900390603</v>
      </c>
      <c r="AU9">
        <v>1.0168590545654199</v>
      </c>
      <c r="AV9">
        <v>1.1477913856506301</v>
      </c>
      <c r="AW9">
        <v>0.28890755772590598</v>
      </c>
      <c r="AX9">
        <v>0.40546986460685702</v>
      </c>
      <c r="AY9">
        <v>0.53230202198028498</v>
      </c>
      <c r="AZ9">
        <v>784.40626950116098</v>
      </c>
      <c r="BA9">
        <v>312.77992998482</v>
      </c>
      <c r="BB9">
        <v>218.52135928852499</v>
      </c>
      <c r="BC9">
        <v>187.41669139502699</v>
      </c>
      <c r="BD9">
        <v>120.29055246372999</v>
      </c>
      <c r="BE9">
        <v>784.47665140062304</v>
      </c>
      <c r="BF9">
        <v>312.80799458149897</v>
      </c>
      <c r="BG9">
        <v>218.54096640914301</v>
      </c>
      <c r="BH9">
        <v>187.43289082300501</v>
      </c>
      <c r="BI9">
        <v>120.30122693177999</v>
      </c>
      <c r="BJ9">
        <v>382.56310847167299</v>
      </c>
      <c r="BK9">
        <v>373.48676040772699</v>
      </c>
      <c r="BL9">
        <v>448.92568074363601</v>
      </c>
      <c r="BM9">
        <v>752.25208986769996</v>
      </c>
      <c r="BN9">
        <v>656.09128645080102</v>
      </c>
      <c r="BO9">
        <v>382.52878556583499</v>
      </c>
      <c r="BP9">
        <v>373.44796834333999</v>
      </c>
      <c r="BQ9">
        <v>448.892804930171</v>
      </c>
      <c r="BR9">
        <v>752.18459910062097</v>
      </c>
      <c r="BS9">
        <v>656.10167652783798</v>
      </c>
      <c r="BT9">
        <v>1542.55386209627</v>
      </c>
      <c r="BU9">
        <v>1542.4154668098799</v>
      </c>
    </row>
    <row r="10" spans="1:73" x14ac:dyDescent="0.25">
      <c r="A10">
        <v>21</v>
      </c>
      <c r="B10" t="s">
        <v>36</v>
      </c>
      <c r="C10">
        <v>629.73904350898897</v>
      </c>
      <c r="D10">
        <v>4515</v>
      </c>
      <c r="E10">
        <v>503</v>
      </c>
      <c r="F10">
        <v>1015</v>
      </c>
      <c r="G10">
        <v>1897</v>
      </c>
      <c r="H10">
        <v>7931</v>
      </c>
      <c r="I10">
        <v>961</v>
      </c>
      <c r="J10">
        <v>0</v>
      </c>
      <c r="K10">
        <v>16750</v>
      </c>
      <c r="L10">
        <v>1</v>
      </c>
      <c r="M10">
        <v>0</v>
      </c>
      <c r="N10">
        <v>16750</v>
      </c>
      <c r="O10">
        <v>0</v>
      </c>
      <c r="P10">
        <v>-261.8</v>
      </c>
      <c r="Q10">
        <v>122</v>
      </c>
      <c r="R10">
        <v>22246.684242900399</v>
      </c>
      <c r="S10">
        <v>18157877.9524449</v>
      </c>
      <c r="T10">
        <v>7931</v>
      </c>
      <c r="U10">
        <v>12.685</v>
      </c>
      <c r="V10">
        <v>45.89</v>
      </c>
      <c r="W10" s="32">
        <v>2.6179999999999999</v>
      </c>
      <c r="X10">
        <v>3916</v>
      </c>
      <c r="Y10">
        <v>1196</v>
      </c>
      <c r="Z10">
        <v>455</v>
      </c>
      <c r="AA10">
        <v>433</v>
      </c>
      <c r="AB10">
        <v>1040</v>
      </c>
      <c r="AC10">
        <v>381</v>
      </c>
      <c r="AD10">
        <v>5331</v>
      </c>
      <c r="AE10">
        <v>7421</v>
      </c>
      <c r="AF10">
        <v>5834</v>
      </c>
      <c r="AG10">
        <v>4633.19625</v>
      </c>
      <c r="AH10">
        <v>7.3573272889999997</v>
      </c>
      <c r="AI10">
        <v>12752</v>
      </c>
      <c r="AJ10">
        <v>11165</v>
      </c>
      <c r="AK10">
        <v>12.594105577140899</v>
      </c>
      <c r="AL10">
        <v>7.35732728938516</v>
      </c>
      <c r="AM10">
        <v>17.729566103742101</v>
      </c>
      <c r="AN10">
        <v>1.72588153470567</v>
      </c>
      <c r="AO10">
        <v>10.66</v>
      </c>
      <c r="AP10">
        <v>2</v>
      </c>
      <c r="AQ10">
        <v>10.68</v>
      </c>
      <c r="AR10">
        <v>202.00736481861699</v>
      </c>
      <c r="AS10">
        <v>202.38636550307999</v>
      </c>
      <c r="AT10">
        <v>0.73751792311668396</v>
      </c>
      <c r="AU10">
        <v>0.90606093406677202</v>
      </c>
      <c r="AV10">
        <v>1.1012300848960801</v>
      </c>
      <c r="AW10">
        <v>0.18306163698434799</v>
      </c>
      <c r="AX10">
        <v>0.35548850893974299</v>
      </c>
      <c r="AY10">
        <v>0.58693954348564104</v>
      </c>
      <c r="AZ10">
        <v>66.273112987613601</v>
      </c>
      <c r="BA10">
        <v>24.715745397169201</v>
      </c>
      <c r="BB10">
        <v>19.8653012068674</v>
      </c>
      <c r="BC10">
        <v>15.137319338631899</v>
      </c>
      <c r="BD10">
        <v>9.5679255666246696</v>
      </c>
      <c r="BE10">
        <v>66.398539002716504</v>
      </c>
      <c r="BF10">
        <v>24.764955671461799</v>
      </c>
      <c r="BG10">
        <v>19.904555998813098</v>
      </c>
      <c r="BH10">
        <v>15.166964479010099</v>
      </c>
      <c r="BI10">
        <v>9.5868820252478706</v>
      </c>
      <c r="BJ10">
        <v>30.404266679935802</v>
      </c>
      <c r="BK10">
        <v>39.801480378609398</v>
      </c>
      <c r="BL10">
        <v>46.900360735889997</v>
      </c>
      <c r="BM10">
        <v>35.988302936565901</v>
      </c>
      <c r="BN10">
        <v>46.080369054534501</v>
      </c>
      <c r="BO10">
        <v>30.346963790857</v>
      </c>
      <c r="BP10">
        <v>39.716655352180403</v>
      </c>
      <c r="BQ10">
        <v>46.8247237854616</v>
      </c>
      <c r="BR10">
        <v>35.921060898441297</v>
      </c>
      <c r="BS10">
        <v>46.0914269382002</v>
      </c>
      <c r="BT10">
        <v>78.576255450633496</v>
      </c>
      <c r="BU10">
        <v>78.429108904845805</v>
      </c>
    </row>
    <row r="11" spans="1:73" x14ac:dyDescent="0.25">
      <c r="A11">
        <v>25</v>
      </c>
      <c r="B11" t="s">
        <v>37</v>
      </c>
      <c r="C11">
        <v>1127.4748309839899</v>
      </c>
      <c r="D11">
        <v>29886</v>
      </c>
      <c r="E11">
        <v>2965</v>
      </c>
      <c r="F11">
        <v>3424</v>
      </c>
      <c r="G11">
        <v>1388</v>
      </c>
      <c r="H11">
        <v>37577</v>
      </c>
      <c r="I11">
        <v>4701</v>
      </c>
      <c r="J11">
        <v>804</v>
      </c>
      <c r="K11">
        <v>4912</v>
      </c>
      <c r="L11">
        <v>4</v>
      </c>
      <c r="M11">
        <v>804</v>
      </c>
      <c r="N11">
        <v>4912</v>
      </c>
      <c r="O11">
        <v>384</v>
      </c>
      <c r="P11">
        <v>321.5</v>
      </c>
      <c r="Q11">
        <v>504</v>
      </c>
      <c r="R11">
        <v>65014.837557038103</v>
      </c>
      <c r="S11">
        <v>29074083.328665901</v>
      </c>
      <c r="T11">
        <v>37577</v>
      </c>
      <c r="U11">
        <v>67.022000000000006</v>
      </c>
      <c r="V11">
        <v>13.459</v>
      </c>
      <c r="W11" s="32">
        <v>-0.79900000000000004</v>
      </c>
      <c r="X11">
        <v>22821</v>
      </c>
      <c r="Y11">
        <v>145</v>
      </c>
      <c r="Z11">
        <v>1973</v>
      </c>
      <c r="AA11">
        <v>1881</v>
      </c>
      <c r="AB11">
        <v>1163</v>
      </c>
      <c r="AC11">
        <v>419</v>
      </c>
      <c r="AD11">
        <v>13272</v>
      </c>
      <c r="AE11">
        <v>28402</v>
      </c>
      <c r="AF11">
        <v>25221</v>
      </c>
      <c r="AG11">
        <v>24479.785500000002</v>
      </c>
      <c r="AH11">
        <v>21.712046090000001</v>
      </c>
      <c r="AI11">
        <v>41674</v>
      </c>
      <c r="AJ11">
        <v>38493</v>
      </c>
      <c r="AK11">
        <v>33.328460172547601</v>
      </c>
      <c r="AL11">
        <v>21.7120460938674</v>
      </c>
      <c r="AM11">
        <v>34.140895159855098</v>
      </c>
      <c r="AN11">
        <v>25.728710053183001</v>
      </c>
      <c r="AO11">
        <v>1062.3</v>
      </c>
      <c r="AP11">
        <v>4</v>
      </c>
      <c r="AQ11">
        <v>654.26</v>
      </c>
      <c r="AR11">
        <v>20130.6213552361</v>
      </c>
      <c r="AS11">
        <v>12398.249390828199</v>
      </c>
      <c r="AT11">
        <v>0.78026066720485598</v>
      </c>
      <c r="AU11">
        <v>0.97615422308444899</v>
      </c>
      <c r="AV11">
        <v>1.1734965145587899</v>
      </c>
      <c r="AW11">
        <v>9.3285359442233998E-2</v>
      </c>
      <c r="AX11">
        <v>0.22373002022504801</v>
      </c>
      <c r="AY11">
        <v>0.427516549825668</v>
      </c>
      <c r="AZ11">
        <v>7057.0732850019303</v>
      </c>
      <c r="BA11">
        <v>1471.7162975547201</v>
      </c>
      <c r="BB11">
        <v>872.41545404885301</v>
      </c>
      <c r="BC11">
        <v>788.31333704765905</v>
      </c>
      <c r="BD11">
        <v>546.23415866655898</v>
      </c>
      <c r="BE11">
        <v>4451.6023611069504</v>
      </c>
      <c r="BF11">
        <v>1038.2492589201399</v>
      </c>
      <c r="BG11">
        <v>576.46577432431002</v>
      </c>
      <c r="BH11">
        <v>531.65635284803</v>
      </c>
      <c r="BI11">
        <v>380.11883533408798</v>
      </c>
      <c r="BJ11">
        <v>2125.4848630732299</v>
      </c>
      <c r="BK11">
        <v>1602.1645565131</v>
      </c>
      <c r="BL11">
        <v>1857.3889245212299</v>
      </c>
      <c r="BM11">
        <v>6783.6463065078397</v>
      </c>
      <c r="BN11">
        <v>4096.7409671662399</v>
      </c>
      <c r="BO11">
        <v>3408.2712817205502</v>
      </c>
      <c r="BP11">
        <v>3058.54264998894</v>
      </c>
      <c r="BQ11">
        <v>2950.2662093993899</v>
      </c>
      <c r="BR11">
        <v>11145.503870037701</v>
      </c>
      <c r="BS11">
        <v>3874.9526034047999</v>
      </c>
      <c r="BT11">
        <v>14205.3232773737</v>
      </c>
      <c r="BU11">
        <v>23064.7065655154</v>
      </c>
    </row>
    <row r="12" spans="1:73" x14ac:dyDescent="0.25">
      <c r="A12">
        <v>26</v>
      </c>
      <c r="B12" t="s">
        <v>38</v>
      </c>
      <c r="C12">
        <v>1276.51037162022</v>
      </c>
      <c r="D12">
        <v>8683</v>
      </c>
      <c r="E12">
        <v>1631</v>
      </c>
      <c r="F12">
        <v>1622</v>
      </c>
      <c r="G12">
        <v>459</v>
      </c>
      <c r="H12">
        <v>12396</v>
      </c>
      <c r="I12">
        <v>1456</v>
      </c>
      <c r="J12">
        <v>4363</v>
      </c>
      <c r="K12">
        <v>7024</v>
      </c>
      <c r="L12">
        <v>4</v>
      </c>
      <c r="M12">
        <v>4363</v>
      </c>
      <c r="N12">
        <v>7024</v>
      </c>
      <c r="O12">
        <v>80</v>
      </c>
      <c r="P12">
        <v>68.2</v>
      </c>
      <c r="Q12">
        <v>508</v>
      </c>
      <c r="R12">
        <v>77219.830101124899</v>
      </c>
      <c r="S12">
        <v>26982346.103947099</v>
      </c>
      <c r="T12">
        <v>12396</v>
      </c>
      <c r="U12">
        <v>29.302</v>
      </c>
      <c r="V12">
        <v>19.245000000000001</v>
      </c>
      <c r="W12" s="32">
        <v>-0.34300000000000003</v>
      </c>
      <c r="X12">
        <v>8466</v>
      </c>
      <c r="Y12">
        <v>0</v>
      </c>
      <c r="Z12">
        <v>1833</v>
      </c>
      <c r="AA12">
        <v>417</v>
      </c>
      <c r="AB12">
        <v>2347</v>
      </c>
      <c r="AC12">
        <v>558</v>
      </c>
      <c r="AD12">
        <v>4293</v>
      </c>
      <c r="AE12">
        <v>13620</v>
      </c>
      <c r="AF12">
        <v>12903</v>
      </c>
      <c r="AG12">
        <v>10702.5555</v>
      </c>
      <c r="AH12">
        <v>8.3842291749999998</v>
      </c>
      <c r="AI12">
        <v>17913</v>
      </c>
      <c r="AJ12">
        <v>17196</v>
      </c>
      <c r="AK12">
        <v>9.7108494185333001</v>
      </c>
      <c r="AL12">
        <v>8.38422917505609</v>
      </c>
      <c r="AM12">
        <v>13.4711008874716</v>
      </c>
      <c r="AN12">
        <v>10.6731358358916</v>
      </c>
      <c r="AO12">
        <v>82.1</v>
      </c>
      <c r="AP12">
        <v>4</v>
      </c>
      <c r="AQ12">
        <v>82.14</v>
      </c>
      <c r="AR12">
        <v>1555.79780971937</v>
      </c>
      <c r="AS12">
        <v>1556.5558110882901</v>
      </c>
      <c r="AT12">
        <v>0.56620962917804696</v>
      </c>
      <c r="AU12">
        <v>0.65446364879608099</v>
      </c>
      <c r="AV12">
        <v>0.76693098247051195</v>
      </c>
      <c r="AW12">
        <v>0.135081261396408</v>
      </c>
      <c r="AX12">
        <v>0.28789442032575602</v>
      </c>
      <c r="AY12">
        <v>0.49179451167583399</v>
      </c>
      <c r="AZ12">
        <v>370.75651107248098</v>
      </c>
      <c r="BA12">
        <v>170.14492617751401</v>
      </c>
      <c r="BB12">
        <v>132.266164732335</v>
      </c>
      <c r="BC12">
        <v>103.73126150113301</v>
      </c>
      <c r="BD12">
        <v>65.775948852575993</v>
      </c>
      <c r="BE12">
        <v>370.93770587828698</v>
      </c>
      <c r="BF12">
        <v>170.224632626725</v>
      </c>
      <c r="BG12">
        <v>132.332807155116</v>
      </c>
      <c r="BH12">
        <v>103.779424427525</v>
      </c>
      <c r="BI12">
        <v>65.806680210662904</v>
      </c>
      <c r="BJ12">
        <v>176.5222144121</v>
      </c>
      <c r="BK12">
        <v>208.567960003726</v>
      </c>
      <c r="BL12">
        <v>245.657919392466</v>
      </c>
      <c r="BM12">
        <v>327.75329895070098</v>
      </c>
      <c r="BN12">
        <v>355.15171875776002</v>
      </c>
      <c r="BO12">
        <v>176.43696200283301</v>
      </c>
      <c r="BP12">
        <v>208.44378865687199</v>
      </c>
      <c r="BQ12">
        <v>245.54587360082101</v>
      </c>
      <c r="BR12">
        <v>327.59549960848301</v>
      </c>
      <c r="BS12">
        <v>355.176912699583</v>
      </c>
      <c r="BT12">
        <v>688.68058443910797</v>
      </c>
      <c r="BU12">
        <v>688.34521527210495</v>
      </c>
    </row>
    <row r="13" spans="1:73" x14ac:dyDescent="0.25">
      <c r="A13">
        <v>27</v>
      </c>
      <c r="B13" t="s">
        <v>39</v>
      </c>
      <c r="C13">
        <v>6012.28155545155</v>
      </c>
      <c r="D13">
        <v>53970</v>
      </c>
      <c r="E13">
        <v>10294</v>
      </c>
      <c r="F13">
        <v>10199</v>
      </c>
      <c r="G13">
        <v>12529</v>
      </c>
      <c r="H13">
        <v>87090</v>
      </c>
      <c r="I13">
        <v>10563</v>
      </c>
      <c r="J13">
        <v>15560</v>
      </c>
      <c r="K13">
        <v>29576</v>
      </c>
      <c r="L13">
        <v>20</v>
      </c>
      <c r="M13">
        <v>15560</v>
      </c>
      <c r="N13">
        <v>29576</v>
      </c>
      <c r="O13">
        <v>1030</v>
      </c>
      <c r="P13">
        <v>740.19999980930004</v>
      </c>
      <c r="Q13">
        <v>2560</v>
      </c>
      <c r="R13">
        <v>355306.48950253503</v>
      </c>
      <c r="S13">
        <v>204507956.261969</v>
      </c>
      <c r="T13">
        <v>87090</v>
      </c>
      <c r="U13">
        <v>127.203</v>
      </c>
      <c r="V13">
        <v>81.031999999999996</v>
      </c>
      <c r="W13" s="32">
        <v>-0.36299999999999999</v>
      </c>
      <c r="X13">
        <v>34290</v>
      </c>
      <c r="Y13">
        <v>0</v>
      </c>
      <c r="Z13">
        <v>7117</v>
      </c>
      <c r="AA13">
        <v>4074</v>
      </c>
      <c r="AB13">
        <v>33403</v>
      </c>
      <c r="AC13">
        <v>2283</v>
      </c>
      <c r="AD13">
        <v>14636</v>
      </c>
      <c r="AE13">
        <v>81167</v>
      </c>
      <c r="AF13">
        <v>78001</v>
      </c>
      <c r="AG13">
        <v>46460.895750000003</v>
      </c>
      <c r="AH13">
        <v>7.7276646680000001</v>
      </c>
      <c r="AI13">
        <v>95803</v>
      </c>
      <c r="AJ13">
        <v>92637</v>
      </c>
      <c r="AK13">
        <v>14.4853495626851</v>
      </c>
      <c r="AL13">
        <v>7.7276646679781997</v>
      </c>
      <c r="AM13">
        <v>15.4079610453377</v>
      </c>
      <c r="AN13">
        <v>10.279667814518801</v>
      </c>
      <c r="AO13">
        <v>293.64</v>
      </c>
      <c r="AP13">
        <v>7</v>
      </c>
      <c r="AQ13">
        <v>293.70999999999998</v>
      </c>
      <c r="AR13">
        <v>5564.4880492813099</v>
      </c>
      <c r="AS13">
        <v>5565.81455167693</v>
      </c>
      <c r="AT13">
        <v>0.655397985662732</v>
      </c>
      <c r="AU13">
        <v>0.88004193987165102</v>
      </c>
      <c r="AV13">
        <v>1.1339343530791099</v>
      </c>
      <c r="AW13">
        <v>9.8785955458879401E-2</v>
      </c>
      <c r="AX13">
        <v>0.24406478660447201</v>
      </c>
      <c r="AY13">
        <v>0.47792123045240098</v>
      </c>
      <c r="AZ13">
        <v>1663.4836906602</v>
      </c>
      <c r="BA13">
        <v>586.08730117924995</v>
      </c>
      <c r="BB13">
        <v>337.45995725434</v>
      </c>
      <c r="BC13">
        <v>317.10271039818502</v>
      </c>
      <c r="BD13">
        <v>218.49121944461399</v>
      </c>
      <c r="BE13">
        <v>1663.91007538028</v>
      </c>
      <c r="BF13">
        <v>586.20555178868301</v>
      </c>
      <c r="BG13">
        <v>337.54858993748502</v>
      </c>
      <c r="BH13">
        <v>317.16882077766701</v>
      </c>
      <c r="BI13">
        <v>218.53571326162</v>
      </c>
      <c r="BJ13">
        <v>778.02712380387902</v>
      </c>
      <c r="BK13">
        <v>721.49508934790299</v>
      </c>
      <c r="BL13">
        <v>801.45036103191399</v>
      </c>
      <c r="BM13">
        <v>1061.2644463893901</v>
      </c>
      <c r="BN13">
        <v>926.67284593272495</v>
      </c>
      <c r="BO13">
        <v>777.82998597278197</v>
      </c>
      <c r="BP13">
        <v>721.226799489619</v>
      </c>
      <c r="BQ13">
        <v>801.21911273898195</v>
      </c>
      <c r="BR13">
        <v>1061.0141168764501</v>
      </c>
      <c r="BS13">
        <v>926.71349533727096</v>
      </c>
      <c r="BT13">
        <v>2269.6923896318699</v>
      </c>
      <c r="BU13">
        <v>2269.1514531051198</v>
      </c>
    </row>
    <row r="14" spans="1:73" x14ac:dyDescent="0.25">
      <c r="A14">
        <v>28</v>
      </c>
      <c r="B14" t="s">
        <v>40</v>
      </c>
      <c r="C14">
        <v>19337.511051440299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>
        <v>454.71</v>
      </c>
      <c r="V14">
        <v>420.95</v>
      </c>
      <c r="W14" s="32">
        <v>-7.3999999999999996E-2</v>
      </c>
      <c r="X14">
        <v>113728</v>
      </c>
      <c r="Y14">
        <v>18953</v>
      </c>
      <c r="Z14">
        <v>23256</v>
      </c>
      <c r="AA14">
        <v>19136</v>
      </c>
      <c r="AB14">
        <v>7946</v>
      </c>
      <c r="AC14">
        <v>69865</v>
      </c>
      <c r="AD14">
        <v>42925</v>
      </c>
      <c r="AE14">
        <v>252884</v>
      </c>
      <c r="AF14">
        <v>216935</v>
      </c>
      <c r="AG14">
        <v>166082.82750000001</v>
      </c>
      <c r="AH14">
        <v>8.5886351689999998</v>
      </c>
      <c r="AI14">
        <v>295809</v>
      </c>
      <c r="AJ14">
        <v>259860</v>
      </c>
      <c r="AK14" t="s">
        <v>41</v>
      </c>
      <c r="AL14">
        <v>8.5886351691382306</v>
      </c>
      <c r="AM14">
        <v>13.438130652323199</v>
      </c>
      <c r="AN14">
        <v>448.798194929933</v>
      </c>
      <c r="AO14">
        <v>25677.77</v>
      </c>
      <c r="AP14">
        <v>128</v>
      </c>
      <c r="AQ14">
        <v>8471.6</v>
      </c>
      <c r="AR14">
        <v>486594.62027378503</v>
      </c>
      <c r="AS14">
        <v>160537.10992470899</v>
      </c>
      <c r="AT14">
        <v>0.61115653323940899</v>
      </c>
      <c r="AU14">
        <v>0.721340459771454</v>
      </c>
      <c r="AV14">
        <v>0.85181145789101698</v>
      </c>
      <c r="AW14">
        <v>0.152870359510416</v>
      </c>
      <c r="AX14">
        <v>0.20891429774928799</v>
      </c>
      <c r="AY14">
        <v>0.29047210398130102</v>
      </c>
      <c r="AZ14">
        <v>133242.81978102701</v>
      </c>
      <c r="BA14">
        <v>38827.553616164201</v>
      </c>
      <c r="BB14">
        <v>13383.357104540401</v>
      </c>
      <c r="BC14">
        <v>10298.292284695101</v>
      </c>
      <c r="BD14">
        <v>9083.89394707674</v>
      </c>
      <c r="BE14">
        <v>42967.088139857202</v>
      </c>
      <c r="BF14">
        <v>12644.9262013559</v>
      </c>
      <c r="BG14">
        <v>6241.6950217001804</v>
      </c>
      <c r="BH14">
        <v>5551.8070055514399</v>
      </c>
      <c r="BI14">
        <v>4134.1413402529697</v>
      </c>
      <c r="BJ14">
        <v>20336.275298787801</v>
      </c>
      <c r="BK14">
        <v>15231.1066654635</v>
      </c>
      <c r="BL14">
        <v>18488.727002708802</v>
      </c>
      <c r="BM14">
        <v>34464.421127070404</v>
      </c>
      <c r="BN14">
        <v>26116.098945875001</v>
      </c>
      <c r="BO14">
        <v>62815.235769077102</v>
      </c>
      <c r="BP14">
        <v>56839.402302831702</v>
      </c>
      <c r="BQ14">
        <v>31839.031426585701</v>
      </c>
      <c r="BR14">
        <v>104043.822219729</v>
      </c>
      <c r="BS14">
        <v>23232.590634658201</v>
      </c>
      <c r="BT14">
        <v>72759.481698871401</v>
      </c>
      <c r="BU14">
        <v>220536.998487042</v>
      </c>
    </row>
    <row r="15" spans="1:73" x14ac:dyDescent="0.25">
      <c r="A15">
        <v>31</v>
      </c>
      <c r="B15" t="s">
        <v>43</v>
      </c>
      <c r="C15">
        <v>5300.3633572647504</v>
      </c>
      <c r="D15">
        <v>49047</v>
      </c>
      <c r="E15">
        <v>6738</v>
      </c>
      <c r="F15">
        <v>9433</v>
      </c>
      <c r="G15">
        <v>11217</v>
      </c>
      <c r="H15">
        <v>76652</v>
      </c>
      <c r="I15">
        <v>10069</v>
      </c>
      <c r="J15">
        <v>7403</v>
      </c>
      <c r="K15">
        <v>13851</v>
      </c>
      <c r="L15">
        <v>7</v>
      </c>
      <c r="M15">
        <v>7403</v>
      </c>
      <c r="N15">
        <v>13851</v>
      </c>
      <c r="O15">
        <v>317.5</v>
      </c>
      <c r="P15">
        <v>242.2</v>
      </c>
      <c r="Q15">
        <v>917</v>
      </c>
      <c r="R15">
        <v>125930.585197747</v>
      </c>
      <c r="S15">
        <v>128788471.02538</v>
      </c>
      <c r="T15">
        <v>76652</v>
      </c>
      <c r="U15">
        <v>69.11</v>
      </c>
      <c r="V15">
        <v>37.950000000000003</v>
      </c>
      <c r="W15" s="32">
        <v>-0.45100000000000001</v>
      </c>
      <c r="X15">
        <v>32300</v>
      </c>
      <c r="Y15">
        <v>227</v>
      </c>
      <c r="Z15">
        <v>3765</v>
      </c>
      <c r="AA15">
        <v>2668</v>
      </c>
      <c r="AB15">
        <v>7584</v>
      </c>
      <c r="AC15">
        <v>1971</v>
      </c>
      <c r="AD15">
        <v>9394</v>
      </c>
      <c r="AE15">
        <v>48513</v>
      </c>
      <c r="AF15">
        <v>31885</v>
      </c>
      <c r="AG15">
        <v>25242.427500000002</v>
      </c>
      <c r="AH15">
        <v>4.7623956700000001</v>
      </c>
      <c r="AI15">
        <v>57907</v>
      </c>
      <c r="AJ15">
        <v>41279</v>
      </c>
      <c r="AK15">
        <v>14.4616500479989</v>
      </c>
      <c r="AL15">
        <v>4.7623956696105196</v>
      </c>
      <c r="AM15">
        <v>7.78795663950517</v>
      </c>
      <c r="AN15">
        <v>19.766020042326002</v>
      </c>
      <c r="AO15">
        <v>493.16</v>
      </c>
      <c r="AP15">
        <v>15</v>
      </c>
      <c r="AQ15">
        <v>312.99</v>
      </c>
      <c r="AR15">
        <v>9345.3988774811696</v>
      </c>
      <c r="AS15">
        <v>5931.1712114989696</v>
      </c>
      <c r="AT15">
        <v>0.67838604450225803</v>
      </c>
      <c r="AU15">
        <v>0.74819357792536401</v>
      </c>
      <c r="AV15">
        <v>0.83191067377726202</v>
      </c>
      <c r="AW15">
        <v>0.111063316216071</v>
      </c>
      <c r="AX15">
        <v>0.21915264527002901</v>
      </c>
      <c r="AY15">
        <v>0.37058677971363002</v>
      </c>
      <c r="AZ15">
        <v>2637.76213930119</v>
      </c>
      <c r="BA15">
        <v>897.98869208218002</v>
      </c>
      <c r="BB15">
        <v>548.351788551548</v>
      </c>
      <c r="BC15">
        <v>493.81507582915799</v>
      </c>
      <c r="BD15">
        <v>336.10438489284002</v>
      </c>
      <c r="BE15">
        <v>1651.0372185204801</v>
      </c>
      <c r="BF15">
        <v>590.20138725026197</v>
      </c>
      <c r="BG15">
        <v>350.96359842122899</v>
      </c>
      <c r="BH15">
        <v>315.89098203403501</v>
      </c>
      <c r="BI15">
        <v>219.00488388140499</v>
      </c>
      <c r="BJ15">
        <v>762.930946726407</v>
      </c>
      <c r="BK15">
        <v>755.22317388533895</v>
      </c>
      <c r="BL15">
        <v>861.13638824446195</v>
      </c>
      <c r="BM15">
        <v>689.11331221138198</v>
      </c>
      <c r="BN15">
        <v>714.90099555727397</v>
      </c>
      <c r="BO15">
        <v>1230.0467402522399</v>
      </c>
      <c r="BP15">
        <v>1407.94226355247</v>
      </c>
      <c r="BQ15">
        <v>1344.46779220754</v>
      </c>
      <c r="BR15">
        <v>1095.1473702856499</v>
      </c>
      <c r="BS15">
        <v>698.59771098531496</v>
      </c>
      <c r="BT15">
        <v>1490.5822206313901</v>
      </c>
      <c r="BU15">
        <v>2348.62304842512</v>
      </c>
    </row>
    <row r="16" spans="1:73" x14ac:dyDescent="0.25">
      <c r="A16">
        <v>40</v>
      </c>
      <c r="B16" t="s">
        <v>44</v>
      </c>
      <c r="C16">
        <v>2768.84443917407</v>
      </c>
      <c r="D16">
        <v>12545</v>
      </c>
      <c r="E16">
        <v>3770</v>
      </c>
      <c r="F16">
        <v>2081</v>
      </c>
      <c r="G16">
        <v>1108</v>
      </c>
      <c r="H16">
        <v>19676</v>
      </c>
      <c r="I16">
        <v>1954</v>
      </c>
      <c r="J16">
        <v>30312</v>
      </c>
      <c r="K16">
        <v>34947</v>
      </c>
      <c r="L16">
        <v>3</v>
      </c>
      <c r="M16">
        <v>30312</v>
      </c>
      <c r="N16">
        <v>34947</v>
      </c>
      <c r="O16">
        <v>-600</v>
      </c>
      <c r="P16">
        <v>-403.4</v>
      </c>
      <c r="Q16">
        <v>420</v>
      </c>
      <c r="R16">
        <v>73043.267135187401</v>
      </c>
      <c r="S16">
        <v>49785570.199228004</v>
      </c>
      <c r="T16">
        <v>19676</v>
      </c>
      <c r="U16">
        <v>40.381</v>
      </c>
      <c r="V16">
        <v>95.745000000000005</v>
      </c>
      <c r="W16" s="32">
        <v>1.371</v>
      </c>
      <c r="X16">
        <v>10552</v>
      </c>
      <c r="Y16">
        <v>242</v>
      </c>
      <c r="Z16">
        <v>2121</v>
      </c>
      <c r="AA16">
        <v>1290</v>
      </c>
      <c r="AB16">
        <v>564</v>
      </c>
      <c r="AC16">
        <v>1246</v>
      </c>
      <c r="AD16">
        <v>4092</v>
      </c>
      <c r="AE16">
        <v>16016</v>
      </c>
      <c r="AF16">
        <v>15072</v>
      </c>
      <c r="AG16">
        <v>14749.160250000001</v>
      </c>
      <c r="AH16">
        <v>5.3268287809999997</v>
      </c>
      <c r="AI16">
        <v>20108</v>
      </c>
      <c r="AJ16">
        <v>19164</v>
      </c>
      <c r="AK16">
        <v>7.1062135964089004</v>
      </c>
      <c r="AL16">
        <v>5.3268287814679596</v>
      </c>
      <c r="AM16">
        <v>6.9212989104279403</v>
      </c>
      <c r="AN16">
        <v>3.7429486559631702</v>
      </c>
      <c r="AO16">
        <v>51.33</v>
      </c>
      <c r="AP16">
        <v>2</v>
      </c>
      <c r="AQ16">
        <v>51.35</v>
      </c>
      <c r="AR16">
        <v>972.70525667351103</v>
      </c>
      <c r="AS16">
        <v>973.08425735797402</v>
      </c>
      <c r="AT16">
        <v>0.465787693858146</v>
      </c>
      <c r="AU16">
        <v>0.55284026265144304</v>
      </c>
      <c r="AV16">
        <v>0.65816602110862699</v>
      </c>
      <c r="AW16">
        <v>5.3722241893410599E-2</v>
      </c>
      <c r="AX16">
        <v>0.13120188564062099</v>
      </c>
      <c r="AY16">
        <v>0.27708342671394298</v>
      </c>
      <c r="AZ16">
        <v>194.79430523631001</v>
      </c>
      <c r="BA16">
        <v>45.577496885543397</v>
      </c>
      <c r="BB16">
        <v>37.075907756624098</v>
      </c>
      <c r="BC16">
        <v>27.938510161464801</v>
      </c>
      <c r="BD16">
        <v>17.648499599026302</v>
      </c>
      <c r="BE16">
        <v>194.870834913869</v>
      </c>
      <c r="BF16">
        <v>45.595659162572602</v>
      </c>
      <c r="BG16">
        <v>37.092003696612998</v>
      </c>
      <c r="BH16">
        <v>27.949599567097799</v>
      </c>
      <c r="BI16">
        <v>17.655524058846002</v>
      </c>
      <c r="BJ16">
        <v>92.051330195079103</v>
      </c>
      <c r="BK16">
        <v>105.459747020004</v>
      </c>
      <c r="BL16">
        <v>121.198534104705</v>
      </c>
      <c r="BM16">
        <v>129.21378513402999</v>
      </c>
      <c r="BN16">
        <v>141.01660118742299</v>
      </c>
      <c r="BO16">
        <v>92.015739039533003</v>
      </c>
      <c r="BP16">
        <v>105.407790191015</v>
      </c>
      <c r="BQ16">
        <v>121.152876302439</v>
      </c>
      <c r="BR16">
        <v>129.164230614823</v>
      </c>
      <c r="BS16">
        <v>141.02460591769201</v>
      </c>
      <c r="BT16">
        <v>273.53265792837999</v>
      </c>
      <c r="BU16">
        <v>273.42612135274999</v>
      </c>
    </row>
    <row r="17" spans="1:73" x14ac:dyDescent="0.25">
      <c r="A17">
        <v>41</v>
      </c>
      <c r="B17" t="s">
        <v>45</v>
      </c>
      <c r="C17">
        <v>713.25120549181202</v>
      </c>
      <c r="D17">
        <v>9245</v>
      </c>
      <c r="E17">
        <v>1688</v>
      </c>
      <c r="F17">
        <v>1228</v>
      </c>
      <c r="G17">
        <v>443</v>
      </c>
      <c r="H17">
        <v>12604</v>
      </c>
      <c r="I17">
        <v>1425</v>
      </c>
      <c r="J17">
        <v>1927</v>
      </c>
      <c r="K17">
        <v>3386</v>
      </c>
      <c r="L17">
        <v>1</v>
      </c>
      <c r="M17">
        <v>1927</v>
      </c>
      <c r="N17">
        <v>3386</v>
      </c>
      <c r="O17">
        <v>60.1</v>
      </c>
      <c r="P17">
        <v>46.2</v>
      </c>
      <c r="Q17">
        <v>141</v>
      </c>
      <c r="R17">
        <v>20383.238992229599</v>
      </c>
      <c r="S17">
        <v>14016508.2142756</v>
      </c>
      <c r="T17">
        <v>12604</v>
      </c>
      <c r="U17">
        <v>17.242999999999999</v>
      </c>
      <c r="V17">
        <v>9.2769999999999992</v>
      </c>
      <c r="W17" s="32">
        <v>-0.46200000000000002</v>
      </c>
      <c r="X17">
        <v>8039</v>
      </c>
      <c r="Y17">
        <v>0</v>
      </c>
      <c r="Z17">
        <v>2254</v>
      </c>
      <c r="AA17">
        <v>679</v>
      </c>
      <c r="AB17">
        <v>181</v>
      </c>
      <c r="AC17">
        <v>273</v>
      </c>
      <c r="AD17">
        <v>1378</v>
      </c>
      <c r="AE17">
        <v>10583</v>
      </c>
      <c r="AF17">
        <v>6349</v>
      </c>
      <c r="AG17">
        <v>6298.0057500000003</v>
      </c>
      <c r="AH17">
        <v>8.8299966429999994</v>
      </c>
      <c r="AI17">
        <v>11961</v>
      </c>
      <c r="AJ17">
        <v>7727</v>
      </c>
      <c r="AK17">
        <v>17.6711934069695</v>
      </c>
      <c r="AL17">
        <v>8.8299966428480108</v>
      </c>
      <c r="AM17">
        <v>10.833490277344699</v>
      </c>
      <c r="AN17">
        <v>14.978401378716899</v>
      </c>
      <c r="AO17">
        <v>893.1</v>
      </c>
      <c r="AP17">
        <v>2</v>
      </c>
      <c r="AQ17">
        <v>464.25</v>
      </c>
      <c r="AR17">
        <v>16924.275564681699</v>
      </c>
      <c r="AS17">
        <v>8797.5533880903495</v>
      </c>
      <c r="AT17">
        <v>0.99344202876091003</v>
      </c>
      <c r="AU17">
        <v>1.1504353880882201</v>
      </c>
      <c r="AV17">
        <v>1.3311099410056999</v>
      </c>
      <c r="AW17">
        <v>0.48589162528514801</v>
      </c>
      <c r="AX17">
        <v>0.64759811758995001</v>
      </c>
      <c r="AY17">
        <v>0.84026613831520003</v>
      </c>
      <c r="AZ17">
        <v>7126.5910177820497</v>
      </c>
      <c r="BA17">
        <v>4019.2098792089901</v>
      </c>
      <c r="BB17">
        <v>1896.19466512705</v>
      </c>
      <c r="BC17">
        <v>1905.7821607153401</v>
      </c>
      <c r="BD17">
        <v>1440.81857087546</v>
      </c>
      <c r="BE17">
        <v>3611.51029056265</v>
      </c>
      <c r="BF17">
        <v>1990.3494567288301</v>
      </c>
      <c r="BG17">
        <v>958.24000697853705</v>
      </c>
      <c r="BH17">
        <v>1010.4089569985</v>
      </c>
      <c r="BI17">
        <v>727.93394548377</v>
      </c>
      <c r="BJ17">
        <v>1754.0228925377</v>
      </c>
      <c r="BK17">
        <v>1303.31762905658</v>
      </c>
      <c r="BL17">
        <v>1608.21784180487</v>
      </c>
      <c r="BM17">
        <v>1990.9228144200599</v>
      </c>
      <c r="BN17">
        <v>1531.82612489813</v>
      </c>
      <c r="BO17">
        <v>3463.2142302459902</v>
      </c>
      <c r="BP17">
        <v>3149.11554522302</v>
      </c>
      <c r="BQ17">
        <v>2899.0545157234901</v>
      </c>
      <c r="BR17">
        <v>3832.2046813245202</v>
      </c>
      <c r="BS17">
        <v>1440.6686710909501</v>
      </c>
      <c r="BT17">
        <v>4099.32594144219</v>
      </c>
      <c r="BU17">
        <v>7886.0700017275603</v>
      </c>
    </row>
    <row r="18" spans="1:73" x14ac:dyDescent="0.25">
      <c r="A18">
        <v>42</v>
      </c>
      <c r="B18" t="s">
        <v>46</v>
      </c>
      <c r="C18">
        <v>2837.17497040833</v>
      </c>
      <c r="D18">
        <v>18590</v>
      </c>
      <c r="E18">
        <v>3090</v>
      </c>
      <c r="F18">
        <v>3236</v>
      </c>
      <c r="G18">
        <v>2058</v>
      </c>
      <c r="H18">
        <v>26974</v>
      </c>
      <c r="I18">
        <v>3108</v>
      </c>
      <c r="J18">
        <v>53794</v>
      </c>
      <c r="K18">
        <v>57696</v>
      </c>
      <c r="L18">
        <v>3</v>
      </c>
      <c r="M18">
        <v>53794</v>
      </c>
      <c r="N18">
        <v>57696</v>
      </c>
      <c r="O18">
        <v>-568.9</v>
      </c>
      <c r="P18">
        <v>-970.599999999999</v>
      </c>
      <c r="Q18">
        <v>426</v>
      </c>
      <c r="R18">
        <v>70954.271961511695</v>
      </c>
      <c r="S18">
        <v>56209921.262685999</v>
      </c>
      <c r="T18">
        <v>26974</v>
      </c>
      <c r="U18">
        <v>39.74</v>
      </c>
      <c r="V18">
        <v>158.071</v>
      </c>
      <c r="W18" s="32">
        <v>2.9780000000000002</v>
      </c>
      <c r="X18">
        <v>13325</v>
      </c>
      <c r="Y18">
        <v>98</v>
      </c>
      <c r="Z18">
        <v>2370</v>
      </c>
      <c r="AA18">
        <v>1480</v>
      </c>
      <c r="AB18">
        <v>977</v>
      </c>
      <c r="AC18">
        <v>1086</v>
      </c>
      <c r="AD18">
        <v>6166</v>
      </c>
      <c r="AE18">
        <v>19239</v>
      </c>
      <c r="AF18">
        <v>14650</v>
      </c>
      <c r="AG18">
        <v>14515.035</v>
      </c>
      <c r="AH18">
        <v>5.1160168659999998</v>
      </c>
      <c r="AI18">
        <v>25405</v>
      </c>
      <c r="AJ18">
        <v>20816</v>
      </c>
      <c r="AK18">
        <v>9.5073445527110998</v>
      </c>
      <c r="AL18">
        <v>5.1160168658582696</v>
      </c>
      <c r="AM18">
        <v>7.3368756657979697</v>
      </c>
      <c r="AN18">
        <v>30.493900085122</v>
      </c>
      <c r="AO18">
        <v>521.47</v>
      </c>
      <c r="AP18">
        <v>9</v>
      </c>
      <c r="AQ18">
        <v>518.47</v>
      </c>
      <c r="AR18">
        <v>9881.8743463381197</v>
      </c>
      <c r="AS18">
        <v>9825.0242436687204</v>
      </c>
      <c r="AT18">
        <v>0.51990256044599703</v>
      </c>
      <c r="AU18">
        <v>0.62574197186364</v>
      </c>
      <c r="AV18">
        <v>0.773264004124535</v>
      </c>
      <c r="AW18">
        <v>5.7657427257961698E-2</v>
      </c>
      <c r="AX18">
        <v>0.158161814014116</v>
      </c>
      <c r="AY18">
        <v>0.34490006168683301</v>
      </c>
      <c r="AZ18">
        <v>2272.6728092929202</v>
      </c>
      <c r="BA18">
        <v>581.47696250051001</v>
      </c>
      <c r="BB18">
        <v>407.02131383564102</v>
      </c>
      <c r="BC18">
        <v>341.14984875164799</v>
      </c>
      <c r="BD18">
        <v>222.13712487518299</v>
      </c>
      <c r="BE18">
        <v>2260.6599947797999</v>
      </c>
      <c r="BF18">
        <v>578.70110255436805</v>
      </c>
      <c r="BG18">
        <v>404.35894065569499</v>
      </c>
      <c r="BH18">
        <v>339.43284236438501</v>
      </c>
      <c r="BI18">
        <v>221.059287345954</v>
      </c>
      <c r="BJ18">
        <v>1066.1860137196099</v>
      </c>
      <c r="BK18">
        <v>1084.0253455556899</v>
      </c>
      <c r="BL18">
        <v>1222.5495824823099</v>
      </c>
      <c r="BM18">
        <v>1251.5467369983</v>
      </c>
      <c r="BN18">
        <v>1242.64110789746</v>
      </c>
      <c r="BO18">
        <v>1072.0186544972601</v>
      </c>
      <c r="BP18">
        <v>1092.3108065109</v>
      </c>
      <c r="BQ18">
        <v>1230.1947076404799</v>
      </c>
      <c r="BR18">
        <v>1258.99815068052</v>
      </c>
      <c r="BS18">
        <v>1241.55260060604</v>
      </c>
      <c r="BT18">
        <v>2652.5012644415301</v>
      </c>
      <c r="BU18">
        <v>2667.84931503911</v>
      </c>
    </row>
    <row r="19" spans="1:73" x14ac:dyDescent="0.25">
      <c r="A19">
        <v>44</v>
      </c>
      <c r="B19" t="s">
        <v>47</v>
      </c>
      <c r="C19">
        <v>1021.1072363282</v>
      </c>
      <c r="D19">
        <v>8891</v>
      </c>
      <c r="E19">
        <v>1276</v>
      </c>
      <c r="F19">
        <v>1774</v>
      </c>
      <c r="G19">
        <v>642</v>
      </c>
      <c r="H19">
        <v>12585</v>
      </c>
      <c r="I19">
        <v>2070</v>
      </c>
      <c r="J19">
        <v>1711</v>
      </c>
      <c r="K19">
        <v>3764</v>
      </c>
      <c r="L19">
        <v>6</v>
      </c>
      <c r="M19">
        <v>1711</v>
      </c>
      <c r="N19">
        <v>3764</v>
      </c>
      <c r="O19">
        <v>458</v>
      </c>
      <c r="P19">
        <v>384</v>
      </c>
      <c r="Q19">
        <v>864</v>
      </c>
      <c r="R19">
        <v>57984.013540441098</v>
      </c>
      <c r="S19">
        <v>21050422.1082693</v>
      </c>
      <c r="T19">
        <v>12585</v>
      </c>
      <c r="U19">
        <v>28.876999999999999</v>
      </c>
      <c r="V19">
        <v>10.39</v>
      </c>
      <c r="W19" s="32">
        <v>-0.64</v>
      </c>
      <c r="X19">
        <v>8346</v>
      </c>
      <c r="Y19">
        <v>0</v>
      </c>
      <c r="Z19">
        <v>836</v>
      </c>
      <c r="AA19">
        <v>712</v>
      </c>
      <c r="AB19">
        <v>3095</v>
      </c>
      <c r="AC19">
        <v>574</v>
      </c>
      <c r="AD19">
        <v>2814</v>
      </c>
      <c r="AE19">
        <v>13590</v>
      </c>
      <c r="AF19">
        <v>13357</v>
      </c>
      <c r="AG19">
        <v>10547.32425</v>
      </c>
      <c r="AH19">
        <v>10.32930125</v>
      </c>
      <c r="AI19">
        <v>16404</v>
      </c>
      <c r="AJ19">
        <v>16171</v>
      </c>
      <c r="AK19">
        <v>12.3248563444269</v>
      </c>
      <c r="AL19">
        <v>10.3293012474645</v>
      </c>
      <c r="AM19">
        <v>15.836730389013001</v>
      </c>
      <c r="AN19">
        <v>1.8363057139132299</v>
      </c>
      <c r="AO19">
        <v>6.85</v>
      </c>
      <c r="AP19">
        <v>1</v>
      </c>
      <c r="AQ19">
        <v>6.65</v>
      </c>
      <c r="AR19">
        <v>129.807734428473</v>
      </c>
      <c r="AS19">
        <v>126.017727583846</v>
      </c>
      <c r="AT19">
        <v>0.60282397270202603</v>
      </c>
      <c r="AU19">
        <v>0.85827481746673495</v>
      </c>
      <c r="AV19">
        <v>1.1466652154922401</v>
      </c>
      <c r="AW19">
        <v>7.6773442327976199E-2</v>
      </c>
      <c r="AX19">
        <v>0.22721429169178001</v>
      </c>
      <c r="AY19">
        <v>0.49445876479148798</v>
      </c>
      <c r="AZ19">
        <v>40.692761671307601</v>
      </c>
      <c r="BA19">
        <v>10.7727464816208</v>
      </c>
      <c r="BB19">
        <v>9.7712550820286896</v>
      </c>
      <c r="BC19">
        <v>6.6569557354010298</v>
      </c>
      <c r="BD19">
        <v>4.1815089750551797</v>
      </c>
      <c r="BE19">
        <v>39.504651841488403</v>
      </c>
      <c r="BF19">
        <v>10.458213737631899</v>
      </c>
      <c r="BG19">
        <v>9.4859629628453703</v>
      </c>
      <c r="BH19">
        <v>6.4636991081246897</v>
      </c>
      <c r="BI19">
        <v>4.0596297232551004</v>
      </c>
      <c r="BJ19">
        <v>18.460701624179499</v>
      </c>
      <c r="BK19">
        <v>24.581910954405899</v>
      </c>
      <c r="BL19">
        <v>29.650821803715701</v>
      </c>
      <c r="BM19">
        <v>32.0990776323642</v>
      </c>
      <c r="BN19">
        <v>40.042718219015903</v>
      </c>
      <c r="BO19">
        <v>19.015910695583401</v>
      </c>
      <c r="BP19">
        <v>25.411738340438099</v>
      </c>
      <c r="BQ19">
        <v>30.4157739487984</v>
      </c>
      <c r="BR19">
        <v>33.064463425818801</v>
      </c>
      <c r="BS19">
        <v>39.889916382655002</v>
      </c>
      <c r="BT19">
        <v>68.689853295639097</v>
      </c>
      <c r="BU19">
        <v>70.755713545131997</v>
      </c>
    </row>
    <row r="20" spans="1:73" x14ac:dyDescent="0.25">
      <c r="A20">
        <v>45</v>
      </c>
      <c r="B20" t="s">
        <v>48</v>
      </c>
      <c r="C20">
        <v>464.500666000303</v>
      </c>
      <c r="D20">
        <v>8371</v>
      </c>
      <c r="E20">
        <v>966</v>
      </c>
      <c r="F20">
        <v>1322</v>
      </c>
      <c r="G20">
        <v>841</v>
      </c>
      <c r="H20">
        <v>11708</v>
      </c>
      <c r="I20">
        <v>1738</v>
      </c>
      <c r="J20">
        <v>4019</v>
      </c>
      <c r="K20">
        <v>6242</v>
      </c>
      <c r="L20">
        <v>3</v>
      </c>
      <c r="M20">
        <v>4019</v>
      </c>
      <c r="N20">
        <v>6242</v>
      </c>
      <c r="O20">
        <v>106</v>
      </c>
      <c r="P20">
        <v>92</v>
      </c>
      <c r="Q20">
        <v>435</v>
      </c>
      <c r="R20">
        <v>56000.862242510702</v>
      </c>
      <c r="S20">
        <v>14862237.2077142</v>
      </c>
      <c r="T20">
        <v>11708</v>
      </c>
      <c r="U20">
        <v>24.523</v>
      </c>
      <c r="V20">
        <v>10.44</v>
      </c>
      <c r="W20" s="32">
        <v>-0.57399999999999995</v>
      </c>
      <c r="X20">
        <v>5345</v>
      </c>
      <c r="Y20">
        <v>1170</v>
      </c>
      <c r="Z20">
        <v>670</v>
      </c>
      <c r="AA20">
        <v>387</v>
      </c>
      <c r="AB20">
        <v>340</v>
      </c>
      <c r="AC20">
        <v>203</v>
      </c>
      <c r="AD20">
        <v>1685</v>
      </c>
      <c r="AE20">
        <v>8115</v>
      </c>
      <c r="AF20">
        <v>7983</v>
      </c>
      <c r="AG20">
        <v>8957.0257500000007</v>
      </c>
      <c r="AH20">
        <v>19.2831279</v>
      </c>
      <c r="AI20">
        <v>9800</v>
      </c>
      <c r="AJ20">
        <v>9668</v>
      </c>
      <c r="AK20">
        <v>25.2055612768321</v>
      </c>
      <c r="AL20">
        <v>19.283127895438</v>
      </c>
      <c r="AM20">
        <v>20.813748413427799</v>
      </c>
      <c r="AN20">
        <v>7.1616979034689896</v>
      </c>
      <c r="AO20">
        <v>52.79</v>
      </c>
      <c r="AP20">
        <v>2</v>
      </c>
      <c r="AQ20">
        <v>52.81</v>
      </c>
      <c r="AR20">
        <v>1000.3723066392801</v>
      </c>
      <c r="AS20">
        <v>1000.75130732375</v>
      </c>
      <c r="AT20">
        <v>0.65996003150939897</v>
      </c>
      <c r="AU20">
        <v>0.93246370553970304</v>
      </c>
      <c r="AV20">
        <v>1.25433653593063</v>
      </c>
      <c r="AW20">
        <v>9.9899362772703101E-2</v>
      </c>
      <c r="AX20">
        <v>0.289371237158775</v>
      </c>
      <c r="AY20">
        <v>0.58741256594657898</v>
      </c>
      <c r="AZ20">
        <v>341.46592985844501</v>
      </c>
      <c r="BA20">
        <v>107.03810451155699</v>
      </c>
      <c r="BB20">
        <v>85.295639554516697</v>
      </c>
      <c r="BC20">
        <v>65.473799860195001</v>
      </c>
      <c r="BD20">
        <v>41.420755179120299</v>
      </c>
      <c r="BE20">
        <v>341.59501080920302</v>
      </c>
      <c r="BF20">
        <v>107.07816217191601</v>
      </c>
      <c r="BG20">
        <v>85.327218062963098</v>
      </c>
      <c r="BH20">
        <v>65.4978471892328</v>
      </c>
      <c r="BI20">
        <v>41.436169786377597</v>
      </c>
      <c r="BJ20">
        <v>162.62280599885699</v>
      </c>
      <c r="BK20">
        <v>185.98414854448001</v>
      </c>
      <c r="BL20">
        <v>222.603663347344</v>
      </c>
      <c r="BM20">
        <v>484.73901827783402</v>
      </c>
      <c r="BN20">
        <v>470.84098240595398</v>
      </c>
      <c r="BO20">
        <v>162.561631940072</v>
      </c>
      <c r="BP20">
        <v>185.90447830892299</v>
      </c>
      <c r="BQ20">
        <v>222.533858981077</v>
      </c>
      <c r="BR20">
        <v>484.55627043587299</v>
      </c>
      <c r="BS20">
        <v>470.86994077883298</v>
      </c>
      <c r="BT20">
        <v>1018.34198415808</v>
      </c>
      <c r="BU20">
        <v>1017.95632160017</v>
      </c>
    </row>
    <row r="21" spans="1:73" x14ac:dyDescent="0.25">
      <c r="A21">
        <v>48</v>
      </c>
      <c r="B21" t="s">
        <v>49</v>
      </c>
      <c r="C21">
        <v>5028.3203347819799</v>
      </c>
      <c r="D21">
        <v>61552</v>
      </c>
      <c r="E21">
        <v>9451</v>
      </c>
      <c r="F21">
        <v>8256</v>
      </c>
      <c r="G21">
        <v>6062</v>
      </c>
      <c r="H21">
        <v>86332</v>
      </c>
      <c r="I21">
        <v>8463</v>
      </c>
      <c r="J21">
        <v>14486</v>
      </c>
      <c r="K21">
        <v>25643</v>
      </c>
      <c r="L21">
        <v>7</v>
      </c>
      <c r="M21">
        <v>14486</v>
      </c>
      <c r="N21">
        <v>25643</v>
      </c>
      <c r="O21">
        <v>400.2</v>
      </c>
      <c r="P21">
        <v>322.8</v>
      </c>
      <c r="Q21">
        <v>1036</v>
      </c>
      <c r="R21">
        <v>178970.31786832199</v>
      </c>
      <c r="S21">
        <v>107023118.792293</v>
      </c>
      <c r="T21">
        <v>86332</v>
      </c>
      <c r="U21">
        <v>130.75899999999999</v>
      </c>
      <c r="V21">
        <v>70.254000000000005</v>
      </c>
      <c r="W21" s="32">
        <v>-0.46300000000000002</v>
      </c>
      <c r="X21">
        <v>53584</v>
      </c>
      <c r="Y21">
        <v>39</v>
      </c>
      <c r="Z21">
        <v>7920</v>
      </c>
      <c r="AA21">
        <v>2828</v>
      </c>
      <c r="AB21">
        <v>8555</v>
      </c>
      <c r="AC21">
        <v>1641</v>
      </c>
      <c r="AD21">
        <v>10372</v>
      </c>
      <c r="AE21">
        <v>74567</v>
      </c>
      <c r="AF21">
        <v>54657</v>
      </c>
      <c r="AG21">
        <v>47759.724750000001</v>
      </c>
      <c r="AH21">
        <v>9.4981468109999998</v>
      </c>
      <c r="AI21">
        <v>84939</v>
      </c>
      <c r="AJ21">
        <v>65029</v>
      </c>
      <c r="AK21">
        <v>17.169152769130999</v>
      </c>
      <c r="AL21">
        <v>9.49814681050362</v>
      </c>
      <c r="AM21">
        <v>12.932549175552699</v>
      </c>
      <c r="AN21">
        <v>74.480215606631603</v>
      </c>
      <c r="AO21">
        <v>3820.09</v>
      </c>
      <c r="AP21">
        <v>25</v>
      </c>
      <c r="AQ21">
        <v>1560.15</v>
      </c>
      <c r="AR21">
        <v>72390.836235455106</v>
      </c>
      <c r="AS21">
        <v>29564.895893223798</v>
      </c>
      <c r="AT21">
        <v>0.602271130084991</v>
      </c>
      <c r="AU21">
        <v>0.73247868537902805</v>
      </c>
      <c r="AV21">
        <v>0.84182312488555899</v>
      </c>
      <c r="AW21">
        <v>6.5453903898596705E-2</v>
      </c>
      <c r="AX21">
        <v>0.146765545234084</v>
      </c>
      <c r="AY21">
        <v>0.29478640303015702</v>
      </c>
      <c r="AZ21">
        <v>18871.6373405513</v>
      </c>
      <c r="BA21">
        <v>3222.5911297014</v>
      </c>
      <c r="BB21">
        <v>2009.6945879741199</v>
      </c>
      <c r="BC21">
        <v>1828.81727584178</v>
      </c>
      <c r="BD21">
        <v>1218.84658492572</v>
      </c>
      <c r="BE21">
        <v>7660.2436684797603</v>
      </c>
      <c r="BF21">
        <v>1302.6881795644199</v>
      </c>
      <c r="BG21">
        <v>870.45375104898801</v>
      </c>
      <c r="BH21">
        <v>771.18726019879296</v>
      </c>
      <c r="BI21">
        <v>499.12163433005497</v>
      </c>
      <c r="BJ21">
        <v>3653.02836462507</v>
      </c>
      <c r="BK21">
        <v>3222.7593178997699</v>
      </c>
      <c r="BL21">
        <v>3885.1949613326201</v>
      </c>
      <c r="BM21">
        <v>7068.2860481500002</v>
      </c>
      <c r="BN21">
        <v>5891.48027590945</v>
      </c>
      <c r="BO21">
        <v>9009.8605217947297</v>
      </c>
      <c r="BP21">
        <v>10317.328440556001</v>
      </c>
      <c r="BQ21">
        <v>7949.5646677184704</v>
      </c>
      <c r="BR21">
        <v>17323.226315195501</v>
      </c>
      <c r="BS21">
        <v>5489.6337134719297</v>
      </c>
      <c r="BT21">
        <v>14818.5337464072</v>
      </c>
      <c r="BU21">
        <v>36283.775649336698</v>
      </c>
    </row>
    <row r="22" spans="1:73" x14ac:dyDescent="0.25">
      <c r="A22">
        <v>49</v>
      </c>
      <c r="B22" t="s">
        <v>50</v>
      </c>
      <c r="C22">
        <v>5562.1631537970798</v>
      </c>
      <c r="D22">
        <v>36327</v>
      </c>
      <c r="E22">
        <v>12414</v>
      </c>
      <c r="F22">
        <v>9124</v>
      </c>
      <c r="G22">
        <v>9139</v>
      </c>
      <c r="H22">
        <v>67005</v>
      </c>
      <c r="I22">
        <v>8505</v>
      </c>
      <c r="J22">
        <v>5685</v>
      </c>
      <c r="K22">
        <v>15440</v>
      </c>
      <c r="L22">
        <v>10</v>
      </c>
      <c r="M22">
        <v>5685</v>
      </c>
      <c r="N22">
        <v>15440</v>
      </c>
      <c r="O22">
        <v>680</v>
      </c>
      <c r="P22">
        <v>478</v>
      </c>
      <c r="Q22">
        <v>1490</v>
      </c>
      <c r="R22">
        <v>203297.03735375899</v>
      </c>
      <c r="S22">
        <v>149790023.59567401</v>
      </c>
      <c r="T22">
        <v>67005</v>
      </c>
      <c r="U22">
        <v>90.866</v>
      </c>
      <c r="V22">
        <v>42.3</v>
      </c>
      <c r="W22" s="32">
        <v>-0.53400000000000003</v>
      </c>
      <c r="X22">
        <v>27063</v>
      </c>
      <c r="Y22">
        <v>164</v>
      </c>
      <c r="Z22">
        <v>4184</v>
      </c>
      <c r="AA22">
        <v>4575</v>
      </c>
      <c r="AB22">
        <v>10230</v>
      </c>
      <c r="AC22">
        <v>2102</v>
      </c>
      <c r="AD22">
        <v>19845</v>
      </c>
      <c r="AE22">
        <v>48319</v>
      </c>
      <c r="AF22">
        <v>40233</v>
      </c>
      <c r="AG22">
        <v>33188.806499999999</v>
      </c>
      <c r="AH22">
        <v>5.9668883460000002</v>
      </c>
      <c r="AI22">
        <v>68164</v>
      </c>
      <c r="AJ22">
        <v>60078</v>
      </c>
      <c r="AK22">
        <v>12.046572196333001</v>
      </c>
      <c r="AL22">
        <v>5.9668883458305597</v>
      </c>
      <c r="AM22">
        <v>10.8011934096156</v>
      </c>
      <c r="AN22">
        <v>19.992970521703501</v>
      </c>
      <c r="AO22">
        <v>2866.22</v>
      </c>
      <c r="AP22">
        <v>8</v>
      </c>
      <c r="AQ22">
        <v>1441.76</v>
      </c>
      <c r="AR22">
        <v>54314.967091033497</v>
      </c>
      <c r="AS22">
        <v>27321.4013415468</v>
      </c>
      <c r="AT22">
        <v>0.63166830688714903</v>
      </c>
      <c r="AU22">
        <v>0.70764777064323403</v>
      </c>
      <c r="AV22">
        <v>0.79253230988979295</v>
      </c>
      <c r="AW22">
        <v>0.105286348145455</v>
      </c>
      <c r="AX22">
        <v>0.214314369484782</v>
      </c>
      <c r="AY22">
        <v>0.40042346715927102</v>
      </c>
      <c r="AZ22">
        <v>14412.8078711165</v>
      </c>
      <c r="BA22">
        <v>6745.1896479227498</v>
      </c>
      <c r="BB22">
        <v>2278.4947478812001</v>
      </c>
      <c r="BC22">
        <v>1593.6520736779401</v>
      </c>
      <c r="BD22">
        <v>1933.71725398887</v>
      </c>
      <c r="BE22">
        <v>7151.0560869380797</v>
      </c>
      <c r="BF22">
        <v>2650.92858238088</v>
      </c>
      <c r="BG22">
        <v>972.05918505620798</v>
      </c>
      <c r="BH22">
        <v>937.15326994023201</v>
      </c>
      <c r="BI22">
        <v>861.09074813815596</v>
      </c>
      <c r="BJ22">
        <v>3369.5746731055101</v>
      </c>
      <c r="BK22">
        <v>2110.23742374329</v>
      </c>
      <c r="BL22">
        <v>2274.2287258203</v>
      </c>
      <c r="BM22">
        <v>4053.3700030541099</v>
      </c>
      <c r="BN22">
        <v>2614.9518421313001</v>
      </c>
      <c r="BO22">
        <v>6814.7609692994702</v>
      </c>
      <c r="BP22">
        <v>5643.9915580546203</v>
      </c>
      <c r="BQ22">
        <v>4232.2039138396203</v>
      </c>
      <c r="BR22">
        <v>8085.2213986996003</v>
      </c>
      <c r="BS22">
        <v>2425.6885809002301</v>
      </c>
      <c r="BT22">
        <v>8602.8209414846697</v>
      </c>
      <c r="BU22">
        <v>17102.414714586401</v>
      </c>
    </row>
    <row r="23" spans="1:73" x14ac:dyDescent="0.25">
      <c r="A23">
        <v>50</v>
      </c>
      <c r="B23" t="s">
        <v>51</v>
      </c>
      <c r="C23">
        <v>11077.5731120075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>
        <v>129.47999999999999</v>
      </c>
      <c r="V23">
        <v>80.58</v>
      </c>
      <c r="W23" s="32">
        <v>-0.378</v>
      </c>
      <c r="X23">
        <v>18199</v>
      </c>
      <c r="Y23">
        <v>8242</v>
      </c>
      <c r="Z23">
        <v>10870</v>
      </c>
      <c r="AA23">
        <v>4683</v>
      </c>
      <c r="AB23">
        <v>8836</v>
      </c>
      <c r="AC23">
        <v>4125</v>
      </c>
      <c r="AD23">
        <v>21694</v>
      </c>
      <c r="AE23">
        <v>54954</v>
      </c>
      <c r="AF23">
        <v>51489</v>
      </c>
      <c r="AG23">
        <v>47292.57</v>
      </c>
      <c r="AH23">
        <v>4.2692175910000003</v>
      </c>
      <c r="AI23">
        <v>76648</v>
      </c>
      <c r="AJ23">
        <v>73183</v>
      </c>
      <c r="AK23" t="s">
        <v>41</v>
      </c>
      <c r="AL23">
        <v>4.2692175914178403</v>
      </c>
      <c r="AM23">
        <v>6.6064109223231497</v>
      </c>
      <c r="AN23">
        <v>736.92250888272997</v>
      </c>
      <c r="AO23">
        <v>27438.560000000001</v>
      </c>
      <c r="AP23">
        <v>115</v>
      </c>
      <c r="AQ23">
        <v>8588.0300000000007</v>
      </c>
      <c r="AR23">
        <v>519961.65103353799</v>
      </c>
      <c r="AS23">
        <v>162743.46240930801</v>
      </c>
      <c r="AT23">
        <v>0.51317213773727399</v>
      </c>
      <c r="AU23">
        <v>0.59274272270824602</v>
      </c>
      <c r="AV23">
        <v>0.69089405640311796</v>
      </c>
      <c r="AW23">
        <v>4.0125993120929397E-2</v>
      </c>
      <c r="AX23">
        <v>8.2518335431814194E-2</v>
      </c>
      <c r="AY23">
        <v>0.20672900586024501</v>
      </c>
      <c r="AZ23">
        <v>107600.539898476</v>
      </c>
      <c r="BA23">
        <v>12994.6220647929</v>
      </c>
      <c r="BB23">
        <v>7970.8733343914801</v>
      </c>
      <c r="BC23">
        <v>6740.6531079207898</v>
      </c>
      <c r="BD23">
        <v>4753.65270159797</v>
      </c>
      <c r="BE23">
        <v>33518.681532768103</v>
      </c>
      <c r="BF23">
        <v>4358.65444650068</v>
      </c>
      <c r="BG23">
        <v>3112.4682203418201</v>
      </c>
      <c r="BH23">
        <v>2555.4560091808999</v>
      </c>
      <c r="BI23">
        <v>1664.24804827708</v>
      </c>
      <c r="BJ23">
        <v>16228.643771196899</v>
      </c>
      <c r="BK23">
        <v>13267.6388348782</v>
      </c>
      <c r="BL23">
        <v>16405.417847363198</v>
      </c>
      <c r="BM23">
        <v>17742.619585825101</v>
      </c>
      <c r="BN23">
        <v>15481.298245743399</v>
      </c>
      <c r="BO23">
        <v>51570.1602228509</v>
      </c>
      <c r="BP23">
        <v>53854.078823562697</v>
      </c>
      <c r="BQ23">
        <v>36923.0734652674</v>
      </c>
      <c r="BR23">
        <v>56125.977105422302</v>
      </c>
      <c r="BS23">
        <v>14012.2565301911</v>
      </c>
      <c r="BT23">
        <v>36664.168751624202</v>
      </c>
      <c r="BU23">
        <v>117141.18303517401</v>
      </c>
    </row>
    <row r="24" spans="1:73" x14ac:dyDescent="0.25">
      <c r="A24">
        <v>53</v>
      </c>
      <c r="B24" t="s">
        <v>52</v>
      </c>
      <c r="C24">
        <v>862.21743388623304</v>
      </c>
      <c r="D24">
        <v>9720</v>
      </c>
      <c r="E24">
        <v>2110</v>
      </c>
      <c r="F24">
        <v>1474</v>
      </c>
      <c r="G24">
        <v>298</v>
      </c>
      <c r="H24">
        <v>13613</v>
      </c>
      <c r="I24">
        <v>1716</v>
      </c>
      <c r="J24">
        <v>3587</v>
      </c>
      <c r="K24">
        <v>5885</v>
      </c>
      <c r="L24">
        <v>2</v>
      </c>
      <c r="M24">
        <v>3587</v>
      </c>
      <c r="N24">
        <v>5885</v>
      </c>
      <c r="O24">
        <v>94.899999618500004</v>
      </c>
      <c r="P24">
        <v>69.199999809299996</v>
      </c>
      <c r="Q24">
        <v>304</v>
      </c>
      <c r="R24">
        <v>54050.621428380997</v>
      </c>
      <c r="S24">
        <v>16099678.24093</v>
      </c>
      <c r="T24">
        <v>13613</v>
      </c>
      <c r="U24">
        <v>23.658000000000001</v>
      </c>
      <c r="V24">
        <v>16.120999999999999</v>
      </c>
      <c r="W24" s="32">
        <v>-0.31900000000000001</v>
      </c>
      <c r="X24">
        <v>6782</v>
      </c>
      <c r="Y24">
        <v>0</v>
      </c>
      <c r="Z24">
        <v>1905</v>
      </c>
      <c r="AA24">
        <v>764</v>
      </c>
      <c r="AB24">
        <v>642</v>
      </c>
      <c r="AC24">
        <v>276</v>
      </c>
      <c r="AD24">
        <v>567</v>
      </c>
      <c r="AE24">
        <v>10370</v>
      </c>
      <c r="AF24">
        <v>9178</v>
      </c>
      <c r="AG24">
        <v>8641.0845000000008</v>
      </c>
      <c r="AH24">
        <v>10.02193201</v>
      </c>
      <c r="AI24">
        <v>10937</v>
      </c>
      <c r="AJ24">
        <v>9745</v>
      </c>
      <c r="AK24">
        <v>15.7883608762615</v>
      </c>
      <c r="AL24">
        <v>10.0219320097164</v>
      </c>
      <c r="AM24">
        <v>11.302253488516</v>
      </c>
      <c r="AN24">
        <v>4.9976246036612597</v>
      </c>
      <c r="AO24">
        <v>133.77000000000001</v>
      </c>
      <c r="AP24">
        <v>2</v>
      </c>
      <c r="AQ24">
        <v>133.79</v>
      </c>
      <c r="AR24">
        <v>2534.94607802874</v>
      </c>
      <c r="AS24">
        <v>2535.3250787132101</v>
      </c>
      <c r="AT24">
        <v>0.72111967206001204</v>
      </c>
      <c r="AU24">
        <v>0.78964748978614796</v>
      </c>
      <c r="AV24">
        <v>0.86416608095169001</v>
      </c>
      <c r="AW24">
        <v>0.20668397098779601</v>
      </c>
      <c r="AX24">
        <v>0.318336501717567</v>
      </c>
      <c r="AY24">
        <v>0.44890575110912301</v>
      </c>
      <c r="AZ24">
        <v>732.86839400696999</v>
      </c>
      <c r="BA24">
        <v>296.03011529651701</v>
      </c>
      <c r="BB24">
        <v>190.32103653012101</v>
      </c>
      <c r="BC24">
        <v>173.182094908171</v>
      </c>
      <c r="BD24">
        <v>113.032217969551</v>
      </c>
      <c r="BE24">
        <v>732.97770490898097</v>
      </c>
      <c r="BF24">
        <v>296.07418261844998</v>
      </c>
      <c r="BG24">
        <v>190.348514499532</v>
      </c>
      <c r="BH24">
        <v>173.205713401228</v>
      </c>
      <c r="BI24">
        <v>113.04861622096099</v>
      </c>
      <c r="BJ24">
        <v>348.40103231396802</v>
      </c>
      <c r="BK24">
        <v>340.17156437683201</v>
      </c>
      <c r="BL24">
        <v>389.72872786047401</v>
      </c>
      <c r="BM24">
        <v>637.29879666526097</v>
      </c>
      <c r="BN24">
        <v>561.49346299134197</v>
      </c>
      <c r="BO24">
        <v>348.35032219601902</v>
      </c>
      <c r="BP24">
        <v>340.11159994542197</v>
      </c>
      <c r="BQ24">
        <v>389.68209453390398</v>
      </c>
      <c r="BR24">
        <v>637.20582174229105</v>
      </c>
      <c r="BS24">
        <v>561.50851279849303</v>
      </c>
      <c r="BT24">
        <v>1340.8342835799599</v>
      </c>
      <c r="BU24">
        <v>1340.6338449397599</v>
      </c>
    </row>
    <row r="25" spans="1:73" x14ac:dyDescent="0.25">
      <c r="A25">
        <v>54</v>
      </c>
      <c r="B25" t="s">
        <v>53</v>
      </c>
      <c r="C25">
        <v>43.314647061709401</v>
      </c>
      <c r="D25">
        <v>1063</v>
      </c>
      <c r="E25">
        <v>155</v>
      </c>
      <c r="F25">
        <v>118</v>
      </c>
      <c r="G25">
        <v>4</v>
      </c>
      <c r="H25">
        <v>1340</v>
      </c>
      <c r="I25">
        <v>152</v>
      </c>
      <c r="J25">
        <v>0</v>
      </c>
      <c r="K25">
        <v>241</v>
      </c>
      <c r="L25">
        <v>1</v>
      </c>
      <c r="M25">
        <v>0</v>
      </c>
      <c r="N25">
        <v>241</v>
      </c>
      <c r="O25">
        <v>100</v>
      </c>
      <c r="P25">
        <v>83</v>
      </c>
      <c r="Q25">
        <v>153</v>
      </c>
      <c r="R25">
        <v>4078.7518271285999</v>
      </c>
      <c r="S25">
        <v>876187.76873502799</v>
      </c>
      <c r="T25">
        <v>1340</v>
      </c>
      <c r="U25">
        <v>3.8660000000000001</v>
      </c>
      <c r="V25">
        <v>0.66</v>
      </c>
      <c r="W25" s="32">
        <v>-0.82899999999999996</v>
      </c>
      <c r="X25">
        <v>2281</v>
      </c>
      <c r="Y25">
        <v>0</v>
      </c>
      <c r="Z25">
        <v>223</v>
      </c>
      <c r="AA25">
        <v>98</v>
      </c>
      <c r="AB25">
        <v>0</v>
      </c>
      <c r="AC25">
        <v>22</v>
      </c>
      <c r="AD25">
        <v>253</v>
      </c>
      <c r="AE25">
        <v>958</v>
      </c>
      <c r="AF25">
        <v>671</v>
      </c>
      <c r="AG25">
        <v>1412.0564999999999</v>
      </c>
      <c r="AH25">
        <v>32.59997705</v>
      </c>
      <c r="AI25">
        <v>1211</v>
      </c>
      <c r="AJ25">
        <v>924</v>
      </c>
      <c r="AK25">
        <v>30.936417376111301</v>
      </c>
      <c r="AL25">
        <v>32.599977046754397</v>
      </c>
      <c r="AM25">
        <v>21.3322758623335</v>
      </c>
      <c r="AN25">
        <v>2.8409198590561902</v>
      </c>
      <c r="AO25">
        <v>6.28</v>
      </c>
      <c r="AP25">
        <v>1</v>
      </c>
      <c r="AQ25">
        <v>6.29</v>
      </c>
      <c r="AR25">
        <v>119.006214921286</v>
      </c>
      <c r="AS25">
        <v>119.195715263518</v>
      </c>
      <c r="AT25">
        <v>0.86683547496795599</v>
      </c>
      <c r="AU25">
        <v>1.08986473083496</v>
      </c>
      <c r="AV25">
        <v>1.35913527011871</v>
      </c>
      <c r="AW25">
        <v>0.33934947848320002</v>
      </c>
      <c r="AX25">
        <v>0.56832903623580899</v>
      </c>
      <c r="AY25">
        <v>0.849986672401428</v>
      </c>
      <c r="AZ25">
        <v>47.3731720524978</v>
      </c>
      <c r="BA25">
        <v>24.703569584642601</v>
      </c>
      <c r="BB25">
        <v>21.301576349528201</v>
      </c>
      <c r="BC25">
        <v>15.222300210200499</v>
      </c>
      <c r="BD25">
        <v>9.5807102943984095</v>
      </c>
      <c r="BE25">
        <v>47.448607039842599</v>
      </c>
      <c r="BF25">
        <v>24.7429064788857</v>
      </c>
      <c r="BG25">
        <v>21.335496057091099</v>
      </c>
      <c r="BH25">
        <v>15.246328431474399</v>
      </c>
      <c r="BI25">
        <v>9.5959263413307898</v>
      </c>
      <c r="BJ25">
        <v>22.4454068583549</v>
      </c>
      <c r="BK25">
        <v>30.007941327948402</v>
      </c>
      <c r="BL25">
        <v>36.888306159832197</v>
      </c>
      <c r="BM25">
        <v>97.0000492004379</v>
      </c>
      <c r="BN25">
        <v>107.127035651396</v>
      </c>
      <c r="BO25">
        <v>22.409722586720001</v>
      </c>
      <c r="BP25">
        <v>29.954575397700001</v>
      </c>
      <c r="BQ25">
        <v>36.837586638180703</v>
      </c>
      <c r="BR25">
        <v>96.845836085651797</v>
      </c>
      <c r="BS25">
        <v>107.15152858106499</v>
      </c>
      <c r="BT25">
        <v>205.053855624085</v>
      </c>
      <c r="BU25">
        <v>204.727855853618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6D7B-3771-44CB-A6CB-D81A4260FBEB}">
  <dimension ref="A1:AL55"/>
  <sheetViews>
    <sheetView zoomScale="64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3.2" x14ac:dyDescent="0.25"/>
  <cols>
    <col min="2" max="2" width="16.109375" customWidth="1"/>
    <col min="3" max="3" width="22.44140625" customWidth="1"/>
    <col min="4" max="4" width="16.109375" customWidth="1"/>
    <col min="5" max="5" width="16.109375" style="4" customWidth="1"/>
    <col min="6" max="8" width="19.21875" style="27" customWidth="1"/>
    <col min="9" max="9" width="19.21875" style="28" customWidth="1"/>
    <col min="10" max="10" width="19.21875" style="12" customWidth="1"/>
    <col min="11" max="11" width="19.21875" style="5" customWidth="1"/>
    <col min="12" max="12" width="11.5546875" style="5" customWidth="1"/>
    <col min="13" max="13" width="19.21875" customWidth="1"/>
    <col min="14" max="14" width="19.21875" style="7" customWidth="1"/>
    <col min="15" max="16" width="19.21875" style="35" customWidth="1"/>
    <col min="17" max="17" width="19.21875" style="4" customWidth="1"/>
    <col min="18" max="18" width="19.21875" style="12" customWidth="1"/>
    <col min="19" max="19" width="19.21875" style="9" customWidth="1"/>
    <col min="20" max="20" width="19.21875" style="12" customWidth="1"/>
    <col min="21" max="21" width="19.21875" style="31" customWidth="1"/>
    <col min="22" max="22" width="19.21875" style="12" customWidth="1"/>
    <col min="23" max="23" width="19.21875" style="30" customWidth="1"/>
    <col min="24" max="26" width="19.21875" style="12" customWidth="1"/>
    <col min="27" max="27" width="19.21875" style="3" customWidth="1"/>
    <col min="28" max="28" width="19.21875" customWidth="1"/>
    <col min="29" max="29" width="19.21875" style="7" customWidth="1"/>
    <col min="30" max="32" width="19.21875" customWidth="1"/>
    <col min="33" max="34" width="19.21875" style="3" customWidth="1"/>
    <col min="35" max="35" width="19.21875" style="7" customWidth="1"/>
    <col min="36" max="36" width="19.21875" style="3" customWidth="1"/>
    <col min="37" max="38" width="19.21875" customWidth="1"/>
  </cols>
  <sheetData>
    <row r="1" spans="1:38" s="1" customFormat="1" ht="66" x14ac:dyDescent="0.25">
      <c r="A1" s="1" t="str">
        <f>df_EMBAY_merged_summary!A1</f>
        <v>embFID</v>
      </c>
      <c r="B1" s="1" t="str">
        <f>df_EMBAY_merged_summary!B1</f>
        <v>EMBAY_NAME</v>
      </c>
      <c r="C1" s="1" t="s">
        <v>93</v>
      </c>
      <c r="D1" s="1" t="s">
        <v>95</v>
      </c>
      <c r="E1" s="1" t="s">
        <v>98</v>
      </c>
      <c r="F1" s="25" t="s">
        <v>126</v>
      </c>
      <c r="G1" s="25" t="s">
        <v>99</v>
      </c>
      <c r="H1" s="25" t="s">
        <v>97</v>
      </c>
      <c r="I1" s="26" t="s">
        <v>108</v>
      </c>
      <c r="J1" s="11" t="s">
        <v>127</v>
      </c>
      <c r="K1" s="2" t="s">
        <v>94</v>
      </c>
      <c r="L1" s="2" t="s">
        <v>179</v>
      </c>
      <c r="M1" s="1" t="s">
        <v>184</v>
      </c>
      <c r="N1" s="6" t="s">
        <v>215</v>
      </c>
      <c r="O1" s="34" t="s">
        <v>180</v>
      </c>
      <c r="P1" s="34" t="s">
        <v>181</v>
      </c>
      <c r="Q1" s="1" t="s">
        <v>132</v>
      </c>
      <c r="R1" s="11" t="s">
        <v>131</v>
      </c>
      <c r="S1" s="10" t="s">
        <v>129</v>
      </c>
      <c r="T1" s="11" t="s">
        <v>130</v>
      </c>
      <c r="U1" s="29" t="s">
        <v>135</v>
      </c>
      <c r="V1" s="11" t="s">
        <v>136</v>
      </c>
      <c r="W1" s="29" t="s">
        <v>133</v>
      </c>
      <c r="X1" s="11" t="s">
        <v>134</v>
      </c>
      <c r="Y1" s="29" t="s">
        <v>137</v>
      </c>
      <c r="Z1" s="11" t="s">
        <v>138</v>
      </c>
      <c r="AA1" s="2" t="s">
        <v>102</v>
      </c>
      <c r="AB1" s="1" t="s">
        <v>100</v>
      </c>
      <c r="AC1" s="6" t="s">
        <v>104</v>
      </c>
      <c r="AD1" s="1" t="s">
        <v>128</v>
      </c>
      <c r="AE1" s="1" t="s">
        <v>103</v>
      </c>
      <c r="AF1" s="1" t="s">
        <v>91</v>
      </c>
      <c r="AG1" s="2" t="s">
        <v>92</v>
      </c>
      <c r="AH1" s="2" t="s">
        <v>101</v>
      </c>
      <c r="AI1" s="6" t="s">
        <v>105</v>
      </c>
      <c r="AJ1" s="2" t="s">
        <v>96</v>
      </c>
      <c r="AK1" s="1" t="s">
        <v>106</v>
      </c>
      <c r="AL1" s="1" t="s">
        <v>107</v>
      </c>
    </row>
    <row r="2" spans="1:38" x14ac:dyDescent="0.25">
      <c r="A2">
        <f>df_EMBAY_merged_summary!A2</f>
        <v>1</v>
      </c>
      <c r="B2" t="str">
        <f>df_EMBAY_merged_summary!B2</f>
        <v>AllenHarbor</v>
      </c>
      <c r="C2" t="str">
        <f>B2&amp;" ("&amp;A2&amp;")"</f>
        <v>AllenHarbor (1)</v>
      </c>
      <c r="D2">
        <f>INDEX(df_EMBAY_merged_summary!C:C,MATCH(A2,df_EMBAY_merged_summary!A:A,0))</f>
        <v>114.549431133357</v>
      </c>
      <c r="E2" s="4" t="b">
        <f>IF(IFERROR(INDEX(df_EMBAY_merged_summary!L:L,MATCH(A2,df_EMBAY_merged_summary!A:A,0))/1,NA())=0,FALSE,TRUE)</f>
        <v>1</v>
      </c>
      <c r="F2" s="27">
        <f>INDEX(embay!R:R,MATCH(A2,embay!A:A,0))</f>
        <v>2411.3805000000002</v>
      </c>
      <c r="G2" s="27">
        <f>F2/D2</f>
        <v>21.051003712036785</v>
      </c>
      <c r="H2" s="27">
        <f>INDEX(embay!G:G,MATCH(A2,embay!A:A,0))*365.25</f>
        <v>893.76675</v>
      </c>
      <c r="I2" s="28">
        <f>(H2-F2)/F2</f>
        <v>-0.6293547409875796</v>
      </c>
      <c r="J2" s="12" t="b">
        <f>NOT(ISNA(K2))</f>
        <v>0</v>
      </c>
      <c r="K2" s="5" t="e">
        <f>IFERROR(INDEX(df_EMBAY_merged_summary!$AN:$AN,MATCH(A2,df_EMBAY_merged_summary!A:A,0))/1,NA())</f>
        <v>#N/A</v>
      </c>
      <c r="L2" s="5" t="e">
        <f>IFERROR(INDEX(df_EMBAY_merged_summary!AP:AP,MATCH(A2,df_EMBAY_merged_summary!A:A,0))/1,NA())</f>
        <v>#N/A</v>
      </c>
      <c r="M2" s="3" t="e">
        <f>IFERROR(INDEX(df_EMBAY_merged_summary!$AQ:$AQ,MATCH(A2,df_EMBAY_merged_summary!A:A,0))/1,NA())</f>
        <v>#N/A</v>
      </c>
      <c r="N2" s="7" t="e">
        <f>M2/D2</f>
        <v>#N/A</v>
      </c>
      <c r="O2" s="4" t="e">
        <f>F2*N2</f>
        <v>#N/A</v>
      </c>
      <c r="P2" s="35" t="e">
        <f>IFERROR(INDEX(df_EMBAY_merged_summary!BE:BE,MATCH(A2,df_EMBAY_merged_summary!A:A,0))/1,NA())</f>
        <v>#N/A</v>
      </c>
      <c r="Q2" s="9" t="e">
        <f>O2*AI2</f>
        <v>#N/A</v>
      </c>
      <c r="R2" s="12" t="e">
        <f>Q2/K2</f>
        <v>#N/A</v>
      </c>
      <c r="S2" s="9" t="e">
        <f>AC2*O2</f>
        <v>#N/A</v>
      </c>
      <c r="T2" s="12" t="e">
        <f>$S2/$F2</f>
        <v>#N/A</v>
      </c>
      <c r="U2" s="31" t="e">
        <f>AI2*O2</f>
        <v>#N/A</v>
      </c>
      <c r="V2" s="12" t="e">
        <f>$U2/$F2</f>
        <v>#N/A</v>
      </c>
      <c r="W2" s="30">
        <f>AB2</f>
        <v>3006</v>
      </c>
      <c r="X2" s="12">
        <f>AB2/F2</f>
        <v>1.2465888315842315</v>
      </c>
      <c r="Y2" s="12">
        <f>AH2</f>
        <v>3293</v>
      </c>
      <c r="Z2" s="12">
        <f>$Y2/$F2</f>
        <v>1.3656077918851877</v>
      </c>
      <c r="AA2" s="3">
        <f>IFERROR(INDEX(df_EMBAY_merged_summary!$AG:$AG,MATCH(A2,df_EMBAY_merged_summary!A:A,0))/1,NA())</f>
        <v>2411.3805000000002</v>
      </c>
      <c r="AB2">
        <f>IFERROR(INDEX(df_EMBAY_merged_summary!$AJ:$AJ,MATCH(A2,df_EMBAY_merged_summary!A:A,0))/1,NA())</f>
        <v>3006</v>
      </c>
      <c r="AC2" s="7">
        <f>(AB2/AA2)</f>
        <v>1.2465888315842315</v>
      </c>
      <c r="AD2" s="3">
        <f>IFERROR(INDEX(df_EMBAY_merged_summary!$U:$U,MATCH(A2,df_EMBAY_merged_summary!A:A,0))/1,NA())</f>
        <v>6.6020000000000003</v>
      </c>
      <c r="AE2" s="3">
        <f>IFERROR(INDEX(df_EMBAY_merged_summary!$AB:$AB,MATCH(A2,df_EMBAY_merged_summary!A:A,0))/1,NA())</f>
        <v>83</v>
      </c>
      <c r="AF2" s="3" t="e">
        <f>AD2/M2</f>
        <v>#N/A</v>
      </c>
      <c r="AG2" s="3">
        <f>AE2/AA2</f>
        <v>3.4420117438952499E-2</v>
      </c>
      <c r="AH2" s="3">
        <f>IFERROR(INDEX(df_EMBAY_merged_summary!$AI:$AI,MATCH(A2,df_EMBAY_merged_summary!A:A,0))/1,NA())</f>
        <v>3293</v>
      </c>
      <c r="AI2" s="7">
        <f>AH2/AE2</f>
        <v>39.674698795180724</v>
      </c>
      <c r="AJ2" s="3" t="e">
        <f>(10000*M2*0.692)/365.25</f>
        <v>#N/A</v>
      </c>
      <c r="AK2" t="e">
        <f>(10000*M2*0.692)/365.25/(K2*10000)</f>
        <v>#N/A</v>
      </c>
      <c r="AL2" t="e">
        <f>(10000*AD2*0.692)/365.25/(K2*10000)</f>
        <v>#N/A</v>
      </c>
    </row>
    <row r="3" spans="1:38" x14ac:dyDescent="0.25">
      <c r="A3">
        <f>df_EMBAY_merged_summary!A3</f>
        <v>2</v>
      </c>
      <c r="B3" t="str">
        <f>df_EMBAY_merged_summary!B3</f>
        <v>BarnstableHarbor</v>
      </c>
      <c r="C3" t="str">
        <f>B3&amp;" ("&amp;A3&amp;")"</f>
        <v>BarnstableHarbor (2)</v>
      </c>
      <c r="D3">
        <f>INDEX(df_EMBAY_merged_summary!C:C,MATCH(A3,df_EMBAY_merged_summary!A:A,0))</f>
        <v>8771.0984718469208</v>
      </c>
      <c r="E3" s="4" t="b">
        <f>IF(IFERROR(INDEX(df_EMBAY_merged_summary!L:L,MATCH(A3,df_EMBAY_merged_summary!A:A,0))/1,NA())=0,FALSE,TRUE)</f>
        <v>1</v>
      </c>
      <c r="F3" s="27">
        <f>INDEX(df_EMBAY_merged_summary!AG:AG,MATCH(A3,embay!A:A,0))</f>
        <v>66266.211750000002</v>
      </c>
      <c r="G3" s="27">
        <f>F3/D3</f>
        <v>7.5550641647335643</v>
      </c>
      <c r="H3" s="27">
        <f>INDEX(embay!G:G,MATCH(A3,embay!A:A,0))*365.25</f>
        <v>92496.640499999994</v>
      </c>
      <c r="I3" s="28">
        <f>(H3-F3)/F3</f>
        <v>0.39583413714606963</v>
      </c>
      <c r="J3" s="12" t="b">
        <f>NOT(ISNA(K3))</f>
        <v>1</v>
      </c>
      <c r="K3" s="5">
        <f>IFERROR(INDEX(df_EMBAY_merged_summary!$AN:$AN,MATCH(A3,df_EMBAY_merged_summary!A:A,0))/1,NA())</f>
        <v>18.855294916201899</v>
      </c>
      <c r="L3" s="5">
        <f>IFERROR(INDEX(df_EMBAY_merged_summary!AP:AP,MATCH(A3,df_EMBAY_merged_summary!A:A,0))/1,NA())</f>
        <v>10</v>
      </c>
      <c r="M3" s="3">
        <f>IFERROR(INDEX(df_EMBAY_merged_summary!$AQ:$AQ,MATCH(A3,df_EMBAY_merged_summary!A:A,0))/1,NA())</f>
        <v>435.44</v>
      </c>
      <c r="N3" s="7">
        <f t="shared" ref="N3:N55" si="0">M3/D3</f>
        <v>4.9644865052838688E-2</v>
      </c>
      <c r="O3" s="35">
        <f>F3*N3</f>
        <v>3289.7771398915834</v>
      </c>
      <c r="P3" s="35">
        <f>IFERROR(INDEX(df_EMBAY_merged_summary!BE:BE,MATCH(A3,df_EMBAY_merged_summary!A:A,0))/1,NA())</f>
        <v>2504.7579576237699</v>
      </c>
      <c r="Q3" s="9">
        <f>O3*0.5</f>
        <v>1644.8885699457917</v>
      </c>
      <c r="R3" s="12">
        <f>Q3/F3</f>
        <v>2.4822432526419344E-2</v>
      </c>
      <c r="S3" s="9">
        <f>AC3*O3</f>
        <v>4098.0346755166747</v>
      </c>
      <c r="T3" s="12">
        <f>$S3/$F3</f>
        <v>6.1841994091606942E-2</v>
      </c>
      <c r="U3" s="31">
        <f>AI3*O3</f>
        <v>155480.43414855973</v>
      </c>
      <c r="V3" s="12">
        <f>$U3/$F3</f>
        <v>2.3463003247436989</v>
      </c>
      <c r="W3" s="30">
        <f>AB3</f>
        <v>82547</v>
      </c>
      <c r="X3" s="12">
        <f>AB3/F3</f>
        <v>1.2456876260170402</v>
      </c>
      <c r="Y3" s="12">
        <f>AH3</f>
        <v>89939</v>
      </c>
      <c r="Z3" s="12">
        <f>$Y3/$F3</f>
        <v>1.3572376875761274</v>
      </c>
      <c r="AA3" s="3">
        <f>IFERROR(INDEX(df_EMBAY_merged_summary!$AG:$AG,MATCH(A3,df_EMBAY_merged_summary!A:A,0))/1,NA())</f>
        <v>66266.211750000002</v>
      </c>
      <c r="AB3">
        <f>IFERROR(INDEX(df_EMBAY_merged_summary!$AJ:$AJ,MATCH(A3,df_EMBAY_merged_summary!A:A,0))/1,NA())</f>
        <v>82547</v>
      </c>
      <c r="AC3" s="7">
        <f>(AB3/AA3)</f>
        <v>1.2456876260170402</v>
      </c>
      <c r="AD3" s="3">
        <f>IFERROR(INDEX(df_EMBAY_merged_summary!$U:$U,MATCH(A3,df_EMBAY_merged_summary!A:A,0))/1,NA())</f>
        <v>181.42699999999999</v>
      </c>
      <c r="AE3" s="3">
        <f>IFERROR(INDEX(df_EMBAY_merged_summary!$AB:$AB,MATCH(A3,df_EMBAY_merged_summary!A:A,0))/1,NA())</f>
        <v>1903</v>
      </c>
      <c r="AF3" s="3">
        <f>AD3/M3</f>
        <v>0.41665212199154877</v>
      </c>
      <c r="AG3" s="3">
        <f>AE3/AA3</f>
        <v>2.871750096684831E-2</v>
      </c>
      <c r="AH3" s="3">
        <f>IFERROR(INDEX(df_EMBAY_merged_summary!$AI:$AI,MATCH(A3,df_EMBAY_merged_summary!A:A,0))/1,NA())</f>
        <v>89939</v>
      </c>
      <c r="AI3" s="7">
        <f>AH3/AE3</f>
        <v>47.261692065160275</v>
      </c>
      <c r="AJ3" s="3">
        <f>(10000*M3*0.692)/365.25</f>
        <v>8249.8146475017111</v>
      </c>
      <c r="AK3">
        <f>(10000*M3*0.692)/365.25/(K3*10000)</f>
        <v>4.3753304756919208E-2</v>
      </c>
      <c r="AL3">
        <f>(10000*AD3*0.692)/365.25/(K3*10000)</f>
        <v>1.8229907271113312E-2</v>
      </c>
    </row>
    <row r="4" spans="1:38" x14ac:dyDescent="0.25">
      <c r="A4">
        <f>df_EMBAY_merged_summary!A4</f>
        <v>3</v>
      </c>
      <c r="B4" t="str">
        <f>df_EMBAY_merged_summary!B4</f>
        <v>BassRiver</v>
      </c>
      <c r="C4" t="str">
        <f>B4&amp;" ("&amp;A4&amp;")"</f>
        <v>BassRiver (3)</v>
      </c>
      <c r="D4">
        <f>INDEX(df_EMBAY_merged_summary!C:C,MATCH(A4,df_EMBAY_merged_summary!A:A,0))</f>
        <v>4779.4871016583602</v>
      </c>
      <c r="E4" s="4" t="b">
        <f>IF(IFERROR(INDEX(df_EMBAY_merged_summary!L:L,MATCH(A4,df_EMBAY_merged_summary!A:A,0))/1,NA())=0,FALSE,TRUE)</f>
        <v>1</v>
      </c>
      <c r="F4" s="27">
        <f>INDEX(df_EMBAY_merged_summary!AG:AG,MATCH(A4,embay!A:A,0))</f>
        <v>79558.389750000002</v>
      </c>
      <c r="G4" s="27">
        <f>F4/D4</f>
        <v>16.645800701584751</v>
      </c>
      <c r="H4" s="27">
        <f>INDEX(embay!G:G,MATCH(A4,embay!A:A,0))*365.25</f>
        <v>41816.376750000003</v>
      </c>
      <c r="I4" s="28">
        <f>(H4-F4)/F4</f>
        <v>-0.47439387748543516</v>
      </c>
      <c r="J4" s="12" t="b">
        <f>NOT(ISNA(K4))</f>
        <v>1</v>
      </c>
      <c r="K4" s="5">
        <f>IFERROR(INDEX(df_EMBAY_merged_summary!$AN:$AN,MATCH(A4,df_EMBAY_merged_summary!A:A,0))/1,NA())</f>
        <v>24.053786093286</v>
      </c>
      <c r="L4" s="5">
        <f>IFERROR(INDEX(df_EMBAY_merged_summary!AP:AP,MATCH(A4,df_EMBAY_merged_summary!A:A,0))/1,NA())</f>
        <v>6</v>
      </c>
      <c r="M4" s="3">
        <f>IFERROR(INDEX(df_EMBAY_merged_summary!$AQ:$AQ,MATCH(A4,df_EMBAY_merged_summary!A:A,0))/1,NA())</f>
        <v>188.06</v>
      </c>
      <c r="N4" s="7">
        <f t="shared" si="0"/>
        <v>3.934731823729537E-2</v>
      </c>
      <c r="O4" s="35">
        <f>F4*N4</f>
        <v>3130.4092799400282</v>
      </c>
      <c r="P4" s="35">
        <f>IFERROR(INDEX(df_EMBAY_merged_summary!BE:BE,MATCH(A4,df_EMBAY_merged_summary!A:A,0))/1,NA())</f>
        <v>1259.0882834782601</v>
      </c>
      <c r="Q4" s="9">
        <f>O4*0.5</f>
        <v>1565.2046399700141</v>
      </c>
      <c r="R4" s="12">
        <f>Q4/F4</f>
        <v>1.9673659118647685E-2</v>
      </c>
      <c r="S4" s="9">
        <f>AC4*O4</f>
        <v>3632.3476830759219</v>
      </c>
      <c r="T4" s="12">
        <f>$S4/$F4</f>
        <v>4.5656375078605982E-2</v>
      </c>
      <c r="U4" s="31">
        <f>AI4*O4</f>
        <v>58302.613736115803</v>
      </c>
      <c r="V4" s="12">
        <f>$U4/$F4</f>
        <v>0.73282797602267713</v>
      </c>
      <c r="W4" s="30">
        <f>AB4</f>
        <v>92315</v>
      </c>
      <c r="X4" s="12">
        <f>AB4/F4</f>
        <v>1.160342740597009</v>
      </c>
      <c r="Y4" s="12">
        <f>AH4</f>
        <v>104186</v>
      </c>
      <c r="Z4" s="12">
        <f>$Y4/$F4</f>
        <v>1.3095539053440934</v>
      </c>
      <c r="AA4" s="3">
        <f>IFERROR(INDEX(df_EMBAY_merged_summary!$AG:$AG,MATCH(A4,df_EMBAY_merged_summary!A:A,0))/1,NA())</f>
        <v>79558.389750000002</v>
      </c>
      <c r="AB4">
        <f>IFERROR(INDEX(df_EMBAY_merged_summary!$AJ:$AJ,MATCH(A4,df_EMBAY_merged_summary!A:A,0))/1,NA())</f>
        <v>92315</v>
      </c>
      <c r="AC4" s="7">
        <f>(AB4/AA4)</f>
        <v>1.160342740597009</v>
      </c>
      <c r="AD4" s="3">
        <f>IFERROR(INDEX(df_EMBAY_merged_summary!$U:$U,MATCH(A4,df_EMBAY_merged_summary!A:A,0))/1,NA())</f>
        <v>217.81899999999999</v>
      </c>
      <c r="AE4" s="3">
        <f>IFERROR(INDEX(df_EMBAY_merged_summary!$AB:$AB,MATCH(A4,df_EMBAY_merged_summary!A:A,0))/1,NA())</f>
        <v>5594</v>
      </c>
      <c r="AF4" s="3">
        <f>AD4/M4</f>
        <v>1.1582420504094437</v>
      </c>
      <c r="AG4" s="3">
        <f>AE4/AA4</f>
        <v>7.0313137528025441E-2</v>
      </c>
      <c r="AH4" s="3">
        <f>IFERROR(INDEX(df_EMBAY_merged_summary!$AI:$AI,MATCH(A4,df_EMBAY_merged_summary!A:A,0))/1,NA())</f>
        <v>104186</v>
      </c>
      <c r="AI4" s="7">
        <f>AH4/AE4</f>
        <v>18.624597783339293</v>
      </c>
      <c r="AJ4" s="3">
        <f>(10000*M4*0.692)/365.25</f>
        <v>3562.9711156741955</v>
      </c>
      <c r="AK4">
        <f>(10000*M4*0.692)/365.25/(K4*10000)</f>
        <v>1.4812516839786431E-2</v>
      </c>
      <c r="AL4">
        <f>(10000*AD4*0.692)/365.25/(K4*10000)</f>
        <v>1.7156479876238653E-2</v>
      </c>
    </row>
    <row r="5" spans="1:38" x14ac:dyDescent="0.25">
      <c r="A5">
        <f>df_EMBAY_merged_summary!A5</f>
        <v>4</v>
      </c>
      <c r="B5" t="str">
        <f>df_EMBAY_merged_summary!B5</f>
        <v>BoatMeadowRiver</v>
      </c>
      <c r="C5" t="str">
        <f>B5&amp;" ("&amp;A5&amp;")"</f>
        <v>BoatMeadowRiver (4)</v>
      </c>
      <c r="D5">
        <f>INDEX(df_EMBAY_merged_summary!C:C,MATCH(A5,df_EMBAY_merged_summary!A:A,0))</f>
        <v>258.95327470244899</v>
      </c>
      <c r="E5" s="4" t="b">
        <f>IF(IFERROR(INDEX(df_EMBAY_merged_summary!L:L,MATCH(A5,df_EMBAY_merged_summary!A:A,0))/1,NA())=0,FALSE,TRUE)</f>
        <v>0</v>
      </c>
      <c r="F5" s="27">
        <f>INDEX(embay!R:R,MATCH(A5,embay!A:A,0))</f>
        <v>0</v>
      </c>
      <c r="G5" s="27">
        <f>F5/D5</f>
        <v>0</v>
      </c>
      <c r="H5" s="27">
        <f>INDEX(embay!G:G,MATCH(A5,embay!A:A,0))*365.25</f>
        <v>0</v>
      </c>
      <c r="I5" s="28" t="e">
        <f>(H5-F5)/F5</f>
        <v>#DIV/0!</v>
      </c>
      <c r="J5" s="12" t="b">
        <f>NOT(ISNA(K5))</f>
        <v>0</v>
      </c>
      <c r="K5" s="5" t="e">
        <f>IFERROR(INDEX(df_EMBAY_merged_summary!$AN:$AN,MATCH(A5,df_EMBAY_merged_summary!A:A,0))/1,NA())</f>
        <v>#N/A</v>
      </c>
      <c r="L5" s="5" t="e">
        <f>IFERROR(INDEX(df_EMBAY_merged_summary!AP:AP,MATCH(A5,df_EMBAY_merged_summary!A:A,0))/1,NA())</f>
        <v>#N/A</v>
      </c>
      <c r="M5" s="3" t="e">
        <f>IFERROR(INDEX(df_EMBAY_merged_summary!$AQ:$AQ,MATCH(A5,df_EMBAY_merged_summary!A:A,0))/1,NA())</f>
        <v>#N/A</v>
      </c>
      <c r="N5" s="7" t="e">
        <f t="shared" si="0"/>
        <v>#N/A</v>
      </c>
      <c r="O5" s="4" t="e">
        <f>F5*N5</f>
        <v>#N/A</v>
      </c>
      <c r="P5" s="35" t="e">
        <f>IFERROR(INDEX(df_EMBAY_merged_summary!BE:BE,MATCH(A5,df_EMBAY_merged_summary!A:A,0))/1,NA())</f>
        <v>#N/A</v>
      </c>
      <c r="Q5" s="9" t="e">
        <f>O5*AI5</f>
        <v>#N/A</v>
      </c>
      <c r="R5" s="12" t="e">
        <f>Q5/H5</f>
        <v>#N/A</v>
      </c>
      <c r="S5" s="9" t="e">
        <f>AC5*O5</f>
        <v>#DIV/0!</v>
      </c>
      <c r="T5" s="12" t="e">
        <f>$S5/$F5</f>
        <v>#DIV/0!</v>
      </c>
      <c r="U5" s="31" t="e">
        <f>AI5*O5</f>
        <v>#N/A</v>
      </c>
      <c r="V5" s="12" t="e">
        <f>$U5/$H5</f>
        <v>#N/A</v>
      </c>
      <c r="W5" s="30">
        <f>AB5</f>
        <v>0</v>
      </c>
      <c r="X5" s="12" t="e">
        <f>AB5/F5</f>
        <v>#DIV/0!</v>
      </c>
      <c r="Y5" s="12">
        <f>AH5</f>
        <v>0</v>
      </c>
      <c r="Z5" s="12" t="e">
        <f>$Y5/$F5</f>
        <v>#DIV/0!</v>
      </c>
      <c r="AA5" s="3">
        <f>IFERROR(INDEX(df_EMBAY_merged_summary!$AG:$AG,MATCH(A5,df_EMBAY_merged_summary!A:A,0))/1,NA())</f>
        <v>0</v>
      </c>
      <c r="AB5">
        <f>IFERROR(INDEX(df_EMBAY_merged_summary!$AJ:$AJ,MATCH(A5,df_EMBAY_merged_summary!A:A,0))/1,NA())</f>
        <v>0</v>
      </c>
      <c r="AC5" s="7" t="e">
        <f>(AB5/AA5)</f>
        <v>#DIV/0!</v>
      </c>
      <c r="AD5" s="3" t="e">
        <f>IFERROR(INDEX(df_EMBAY_merged_summary!$U:$U,MATCH(A5,df_EMBAY_merged_summary!A:A,0))/1,NA())</f>
        <v>#N/A</v>
      </c>
      <c r="AE5" s="3" t="e">
        <f>IFERROR(INDEX(df_EMBAY_merged_summary!$AB:$AB,MATCH(A5,df_EMBAY_merged_summary!A:A,0))/1,NA())</f>
        <v>#N/A</v>
      </c>
      <c r="AF5" s="3" t="e">
        <f>AD5/M5</f>
        <v>#N/A</v>
      </c>
      <c r="AG5" s="3" t="e">
        <f>AE5/AA5</f>
        <v>#N/A</v>
      </c>
      <c r="AH5" s="3">
        <f>IFERROR(INDEX(df_EMBAY_merged_summary!$AI:$AI,MATCH(A5,df_EMBAY_merged_summary!A:A,0))/1,NA())</f>
        <v>0</v>
      </c>
      <c r="AI5" s="7" t="e">
        <f>AH5/AE5</f>
        <v>#N/A</v>
      </c>
      <c r="AJ5" s="3" t="e">
        <f>(10000*M5*0.692)/365.25</f>
        <v>#N/A</v>
      </c>
      <c r="AK5" t="e">
        <f>(10000*M5*0.692)/365.25/(K5*10000)</f>
        <v>#N/A</v>
      </c>
      <c r="AL5" t="e">
        <f>(10000*AD5*0.692)/365.25/(K5*10000)</f>
        <v>#N/A</v>
      </c>
    </row>
    <row r="6" spans="1:38" x14ac:dyDescent="0.25">
      <c r="A6">
        <f>df_EMBAY_merged_summary!A6</f>
        <v>5</v>
      </c>
      <c r="B6" t="str">
        <f>df_EMBAY_merged_summary!B6</f>
        <v>BournesPond</v>
      </c>
      <c r="C6" t="str">
        <f>B6&amp;" ("&amp;A6&amp;")"</f>
        <v>BournesPond (5)</v>
      </c>
      <c r="D6">
        <f>INDEX(df_EMBAY_merged_summary!C:C,MATCH(A6,df_EMBAY_merged_summary!A:A,0))</f>
        <v>604.46743013583</v>
      </c>
      <c r="E6" s="4" t="b">
        <f>IF(IFERROR(INDEX(df_EMBAY_merged_summary!L:L,MATCH(A6,df_EMBAY_merged_summary!A:A,0))/1,NA())=0,FALSE,TRUE)</f>
        <v>1</v>
      </c>
      <c r="F6" s="27">
        <f>INDEX(df_EMBAY_merged_summary!AG:AG,MATCH(A6,embay!A:A,0))</f>
        <v>5460.4875000000002</v>
      </c>
      <c r="G6" s="27">
        <f>F6/D6</f>
        <v>9.033551234965584</v>
      </c>
      <c r="H6" s="27">
        <f>INDEX(embay!G:G,MATCH(A6,embay!A:A,0))*365.25</f>
        <v>2027.1375</v>
      </c>
      <c r="I6" s="28">
        <f>(H6-F6)/F6</f>
        <v>-0.62876254180602009</v>
      </c>
      <c r="J6" s="12" t="b">
        <f>NOT(ISNA(K6))</f>
        <v>1</v>
      </c>
      <c r="K6" s="5">
        <f>IFERROR(INDEX(df_EMBAY_merged_summary!$AN:$AN,MATCH(A6,df_EMBAY_merged_summary!A:A,0))/1,NA())</f>
        <v>8.7396087781372902</v>
      </c>
      <c r="L6" s="5">
        <f>IFERROR(INDEX(df_EMBAY_merged_summary!AP:AP,MATCH(A6,df_EMBAY_merged_summary!A:A,0))/1,NA())</f>
        <v>1</v>
      </c>
      <c r="M6" s="3">
        <f>IFERROR(INDEX(df_EMBAY_merged_summary!$AQ:$AQ,MATCH(A6,df_EMBAY_merged_summary!A:A,0))/1,NA())</f>
        <v>309.44</v>
      </c>
      <c r="N6" s="7">
        <f t="shared" si="0"/>
        <v>0.51192170921511138</v>
      </c>
      <c r="O6" s="35">
        <f>F6*N6</f>
        <v>2795.3420941477507</v>
      </c>
      <c r="P6" s="35">
        <f>IFERROR(INDEX(df_EMBAY_merged_summary!BE:BE,MATCH(A6,df_EMBAY_merged_summary!A:A,0))/1,NA())</f>
        <v>1697.8356676409601</v>
      </c>
      <c r="Q6" s="9">
        <f>O6*0.5</f>
        <v>1397.6710470738753</v>
      </c>
      <c r="R6" s="12">
        <f>Q6/F6</f>
        <v>0.25596085460755569</v>
      </c>
      <c r="S6" s="9">
        <f>AC6*O6</f>
        <v>4081.0398658628683</v>
      </c>
      <c r="T6" s="12">
        <f>$S6/$F6</f>
        <v>0.74737646883412301</v>
      </c>
      <c r="U6" s="31">
        <f>AI6*O6</f>
        <v>33973.265534268721</v>
      </c>
      <c r="V6" s="12">
        <f>$U6/$F6</f>
        <v>6.2216542999629096</v>
      </c>
      <c r="W6" s="30">
        <f>AB6</f>
        <v>7972</v>
      </c>
      <c r="X6" s="12">
        <f>AB6/F6</f>
        <v>1.4599429080279005</v>
      </c>
      <c r="Y6" s="12">
        <f>AH6</f>
        <v>8787</v>
      </c>
      <c r="Z6" s="12">
        <f>$Y6/$F6</f>
        <v>1.6091969810387807</v>
      </c>
      <c r="AA6" s="3">
        <f>IFERROR(INDEX(df_EMBAY_merged_summary!$AG:$AG,MATCH(A6,df_EMBAY_merged_summary!A:A,0))/1,NA())</f>
        <v>5460.4875000000002</v>
      </c>
      <c r="AB6">
        <f>IFERROR(INDEX(df_EMBAY_merged_summary!$AJ:$AJ,MATCH(A6,df_EMBAY_merged_summary!A:A,0))/1,NA())</f>
        <v>7972</v>
      </c>
      <c r="AC6" s="7">
        <f>(AB6/AA6)</f>
        <v>1.4599429080279005</v>
      </c>
      <c r="AD6" s="3">
        <f>IFERROR(INDEX(df_EMBAY_merged_summary!$U:$U,MATCH(A6,df_EMBAY_merged_summary!A:A,0))/1,NA())</f>
        <v>14.95</v>
      </c>
      <c r="AE6" s="3">
        <f>IFERROR(INDEX(df_EMBAY_merged_summary!$AB:$AB,MATCH(A6,df_EMBAY_merged_summary!A:A,0))/1,NA())</f>
        <v>723</v>
      </c>
      <c r="AF6" s="3">
        <f>AD6/M6</f>
        <v>4.8313081695966903E-2</v>
      </c>
      <c r="AG6" s="3">
        <f>AE6/AA6</f>
        <v>0.13240576047468289</v>
      </c>
      <c r="AH6" s="3">
        <f>IFERROR(INDEX(df_EMBAY_merged_summary!$AI:$AI,MATCH(A6,df_EMBAY_merged_summary!A:A,0))/1,NA())</f>
        <v>8787</v>
      </c>
      <c r="AI6" s="7">
        <f>AH6/AE6</f>
        <v>12.153526970954356</v>
      </c>
      <c r="AJ6" s="3">
        <f>(10000*M6*0.692)/365.25</f>
        <v>5862.6277891854888</v>
      </c>
      <c r="AK6">
        <f>(10000*M6*0.692)/365.25/(K6*10000)</f>
        <v>6.7081123858212507E-2</v>
      </c>
      <c r="AL6">
        <f>(10000*AD6*0.692)/365.25/(K6*10000)</f>
        <v>3.2408958172190955E-3</v>
      </c>
    </row>
    <row r="7" spans="1:38" x14ac:dyDescent="0.25">
      <c r="A7">
        <f>df_EMBAY_merged_summary!A7</f>
        <v>6</v>
      </c>
      <c r="B7" t="str">
        <f>df_EMBAY_merged_summary!B7</f>
        <v>ButtermilkBay</v>
      </c>
      <c r="C7" t="str">
        <f>B7&amp;" ("&amp;A7&amp;")"</f>
        <v>ButtermilkBay (6)</v>
      </c>
      <c r="D7">
        <f>INDEX(df_EMBAY_merged_summary!C:C,MATCH(A7,df_EMBAY_merged_summary!A:A,0))</f>
        <v>2874.4705521506698</v>
      </c>
      <c r="E7" s="4" t="b">
        <f>IF(IFERROR(INDEX(df_EMBAY_merged_summary!L:L,MATCH(A7,df_EMBAY_merged_summary!A:A,0))/1,NA())=0,FALSE,TRUE)</f>
        <v>0</v>
      </c>
      <c r="F7" s="27" t="e">
        <f>INDEX(embay!R:R,MATCH(A7,embay!A:A,0))</f>
        <v>#N/A</v>
      </c>
      <c r="G7" s="27" t="e">
        <f>F7/D7</f>
        <v>#N/A</v>
      </c>
      <c r="H7" s="27" t="e">
        <f>INDEX(embay!G:G,MATCH(A7,embay!A:A,0))*365.25</f>
        <v>#N/A</v>
      </c>
      <c r="I7" s="28" t="e">
        <f>(H7-F7)/F7</f>
        <v>#N/A</v>
      </c>
      <c r="J7" s="12" t="b">
        <f>NOT(ISNA(K7))</f>
        <v>1</v>
      </c>
      <c r="K7" s="5">
        <f>IFERROR(INDEX(df_EMBAY_merged_summary!$AN:$AN,MATCH(A7,df_EMBAY_merged_summary!A:A,0))/1,NA())</f>
        <v>112.71282910555</v>
      </c>
      <c r="L7" s="5">
        <f>IFERROR(INDEX(df_EMBAY_merged_summary!AP:AP,MATCH(A7,df_EMBAY_merged_summary!A:A,0))/1,NA())</f>
        <v>17</v>
      </c>
      <c r="M7" s="3">
        <f>IFERROR(INDEX(df_EMBAY_merged_summary!$AQ:$AQ,MATCH(A7,df_EMBAY_merged_summary!A:A,0))/1,NA())</f>
        <v>1637.79</v>
      </c>
      <c r="N7" s="7">
        <f t="shared" si="0"/>
        <v>0.5697710135783477</v>
      </c>
      <c r="O7" s="4" t="e">
        <f>F7*N7</f>
        <v>#N/A</v>
      </c>
      <c r="P7" s="35">
        <f>IFERROR(INDEX(df_EMBAY_merged_summary!BE:BE,MATCH(A7,df_EMBAY_merged_summary!A:A,0))/1,NA())</f>
        <v>6288.1005002097299</v>
      </c>
      <c r="Q7" s="9" t="e">
        <f>O7*0.5</f>
        <v>#N/A</v>
      </c>
      <c r="R7" s="12" t="e">
        <f>Q7/F7</f>
        <v>#N/A</v>
      </c>
      <c r="S7" s="9" t="e">
        <f>AC7*O7</f>
        <v>#N/A</v>
      </c>
      <c r="T7" s="12" t="e">
        <f>$S7/$F7</f>
        <v>#N/A</v>
      </c>
      <c r="U7" s="31" t="e">
        <f>AI7*O7</f>
        <v>#N/A</v>
      </c>
      <c r="V7" s="12" t="e">
        <f>$U7/$H7</f>
        <v>#N/A</v>
      </c>
      <c r="W7" s="30" t="e">
        <f>AB7</f>
        <v>#N/A</v>
      </c>
      <c r="X7" s="12" t="e">
        <f>AB7/F7</f>
        <v>#N/A</v>
      </c>
      <c r="Y7" s="12" t="e">
        <f>AH7</f>
        <v>#N/A</v>
      </c>
      <c r="Z7" s="12" t="e">
        <f>$Y7/$F7</f>
        <v>#N/A</v>
      </c>
      <c r="AA7" s="3">
        <f>IFERROR(INDEX(df_EMBAY_merged_summary!$AG:$AG,MATCH(A7,df_EMBAY_merged_summary!A:A,0))/1,NA())</f>
        <v>3502.7999999999902</v>
      </c>
      <c r="AB7" t="e">
        <f>IFERROR(INDEX(df_EMBAY_merged_summary!$AJ:$AJ,MATCH(A7,df_EMBAY_merged_summary!A:A,0))/1,NA())</f>
        <v>#N/A</v>
      </c>
      <c r="AC7" s="7" t="e">
        <f>(AB7/AA7)</f>
        <v>#N/A</v>
      </c>
      <c r="AD7" s="3" t="e">
        <f>IFERROR(INDEX(df_EMBAY_merged_summary!$U:$U,MATCH(A7,df_EMBAY_merged_summary!A:A,0))/1,NA())</f>
        <v>#N/A</v>
      </c>
      <c r="AE7" s="3" t="e">
        <f>IFERROR(INDEX(df_EMBAY_merged_summary!$AB:$AB,MATCH(A7,df_EMBAY_merged_summary!A:A,0))/1,NA())</f>
        <v>#N/A</v>
      </c>
      <c r="AF7" s="3" t="e">
        <f>AD7/M7</f>
        <v>#N/A</v>
      </c>
      <c r="AG7" s="3" t="e">
        <f>AE7/AA7</f>
        <v>#N/A</v>
      </c>
      <c r="AH7" s="3" t="e">
        <f>IFERROR(INDEX(df_EMBAY_merged_summary!$AI:$AI,MATCH(A7,df_EMBAY_merged_summary!A:A,0))/1,NA())</f>
        <v>#N/A</v>
      </c>
      <c r="AI7" s="7" t="e">
        <f>AH7/AE7</f>
        <v>#N/A</v>
      </c>
      <c r="AJ7" s="3">
        <f>(10000*M7*0.692)/365.25</f>
        <v>31029.450513347019</v>
      </c>
      <c r="AK7">
        <f>(10000*M7*0.692)/365.25/(K7*10000)</f>
        <v>2.752965279958457E-2</v>
      </c>
      <c r="AL7" t="e">
        <f>(10000*AD7*0.692)/365.25/(K7*10000)</f>
        <v>#N/A</v>
      </c>
    </row>
    <row r="8" spans="1:38" x14ac:dyDescent="0.25">
      <c r="A8">
        <f>df_EMBAY_merged_summary!A8</f>
        <v>7</v>
      </c>
      <c r="B8" t="str">
        <f>df_EMBAY_merged_summary!B8</f>
        <v>CentervilleRiver</v>
      </c>
      <c r="C8" t="str">
        <f>B8&amp;" ("&amp;A8&amp;")"</f>
        <v>CentervilleRiver (7)</v>
      </c>
      <c r="D8">
        <f>INDEX(df_EMBAY_merged_summary!C:C,MATCH(A8,df_EMBAY_merged_summary!A:A,0))</f>
        <v>2778.9380343889502</v>
      </c>
      <c r="E8" s="4" t="b">
        <f>IF(IFERROR(INDEX(df_EMBAY_merged_summary!L:L,MATCH(A8,df_EMBAY_merged_summary!A:A,0))/1,NA())=0,FALSE,TRUE)</f>
        <v>1</v>
      </c>
      <c r="F8" s="27">
        <f>INDEX(df_EMBAY_merged_summary!AG:AG,MATCH(A8,embay!A:A,0))</f>
        <v>45129.559500000003</v>
      </c>
      <c r="G8" s="27">
        <f>F8/D8</f>
        <v>16.239858154996021</v>
      </c>
      <c r="H8" s="27">
        <f>INDEX(embay!G:G,MATCH(A8,embay!A:A,0))*365.25</f>
        <v>33644.273249999998</v>
      </c>
      <c r="I8" s="28">
        <f>(H8-F8)/F8</f>
        <v>-0.25449586429045479</v>
      </c>
      <c r="J8" s="12" t="b">
        <f>NOT(ISNA(K8))</f>
        <v>1</v>
      </c>
      <c r="K8" s="5">
        <f>IFERROR(INDEX(df_EMBAY_merged_summary!$AN:$AN,MATCH(A8,df_EMBAY_merged_summary!A:A,0))/1,NA())</f>
        <v>14.0979699980478</v>
      </c>
      <c r="L8" s="5">
        <f>IFERROR(INDEX(df_EMBAY_merged_summary!AP:AP,MATCH(A8,df_EMBAY_merged_summary!A:A,0))/1,NA())</f>
        <v>8</v>
      </c>
      <c r="M8" s="3">
        <f>IFERROR(INDEX(df_EMBAY_merged_summary!$AQ:$AQ,MATCH(A8,df_EMBAY_merged_summary!A:A,0))/1,NA())</f>
        <v>385.67</v>
      </c>
      <c r="N8" s="7">
        <f t="shared" si="0"/>
        <v>0.13878323130181039</v>
      </c>
      <c r="O8" s="35">
        <f>F8*N8</f>
        <v>6263.2260946373144</v>
      </c>
      <c r="P8" s="35">
        <f>IFERROR(INDEX(df_EMBAY_merged_summary!BE:BE,MATCH(A8,df_EMBAY_merged_summary!A:A,0))/1,NA())</f>
        <v>4449.8636760078098</v>
      </c>
      <c r="Q8" s="9">
        <f>O8*0.5</f>
        <v>3131.6130473186572</v>
      </c>
      <c r="R8" s="12">
        <f>Q8/F8</f>
        <v>6.9391615650905195E-2</v>
      </c>
      <c r="S8" s="9">
        <f>AC8*O8</f>
        <v>7131.2375572122246</v>
      </c>
      <c r="T8" s="12">
        <f>$S8/$F8</f>
        <v>0.15801699897408092</v>
      </c>
      <c r="U8" s="31">
        <f>AI8*O8</f>
        <v>78778.653741159651</v>
      </c>
      <c r="V8" s="12">
        <f>$U8/$F8</f>
        <v>1.7456109612849122</v>
      </c>
      <c r="W8" s="30">
        <f>AB8</f>
        <v>51384</v>
      </c>
      <c r="X8" s="12">
        <f>AB8/F8</f>
        <v>1.1385885563540676</v>
      </c>
      <c r="Y8" s="12">
        <f>AH8</f>
        <v>64852</v>
      </c>
      <c r="Z8" s="12">
        <f>$Y8/$F8</f>
        <v>1.4370182363512765</v>
      </c>
      <c r="AA8" s="3">
        <f>IFERROR(INDEX(df_EMBAY_merged_summary!$AG:$AG,MATCH(A8,df_EMBAY_merged_summary!A:A,0))/1,NA())</f>
        <v>45129.559500000003</v>
      </c>
      <c r="AB8">
        <f>IFERROR(INDEX(df_EMBAY_merged_summary!$AJ:$AJ,MATCH(A8,df_EMBAY_merged_summary!A:A,0))/1,NA())</f>
        <v>51384</v>
      </c>
      <c r="AC8" s="7">
        <f>(AB8/AA8)</f>
        <v>1.1385885563540676</v>
      </c>
      <c r="AD8" s="3">
        <f>IFERROR(INDEX(df_EMBAY_merged_summary!$U:$U,MATCH(A8,df_EMBAY_merged_summary!A:A,0))/1,NA())</f>
        <v>123.55800000000001</v>
      </c>
      <c r="AE8" s="3">
        <f>IFERROR(INDEX(df_EMBAY_merged_summary!$AB:$AB,MATCH(A8,df_EMBAY_merged_summary!A:A,0))/1,NA())</f>
        <v>5156</v>
      </c>
      <c r="AF8" s="3">
        <f>AD8/M8</f>
        <v>0.32037233904633494</v>
      </c>
      <c r="AG8" s="3">
        <f>AE8/AA8</f>
        <v>0.11424884393121541</v>
      </c>
      <c r="AH8" s="3">
        <f>IFERROR(INDEX(df_EMBAY_merged_summary!$AI:$AI,MATCH(A8,df_EMBAY_merged_summary!A:A,0))/1,NA())</f>
        <v>64852</v>
      </c>
      <c r="AI8" s="7">
        <f>AH8/AE8</f>
        <v>12.577967416602018</v>
      </c>
      <c r="AJ8" s="3">
        <f>(10000*M8*0.692)/365.25</f>
        <v>7306.8758384668035</v>
      </c>
      <c r="AK8">
        <f>(10000*M8*0.692)/365.25/(K8*10000)</f>
        <v>5.1829276409856274E-2</v>
      </c>
      <c r="AL8">
        <f>(10000*AD8*0.692)/365.25/(K8*10000)</f>
        <v>1.6604666514504686E-2</v>
      </c>
    </row>
    <row r="9" spans="1:38" x14ac:dyDescent="0.25">
      <c r="A9">
        <f>df_EMBAY_merged_summary!A9</f>
        <v>8</v>
      </c>
      <c r="B9" t="str">
        <f>df_EMBAY_merged_summary!B9</f>
        <v>FalmouthInnerHarbor</v>
      </c>
      <c r="C9" t="str">
        <f>B9&amp;" ("&amp;A9&amp;")"</f>
        <v>FalmouthInnerHarbor (8)</v>
      </c>
      <c r="D9">
        <f>INDEX(df_EMBAY_merged_summary!C:C,MATCH(A9,df_EMBAY_merged_summary!A:A,0))</f>
        <v>143.87496134888499</v>
      </c>
      <c r="E9" s="4" t="b">
        <f>IF(IFERROR(INDEX(df_EMBAY_merged_summary!L:L,MATCH(A9,df_EMBAY_merged_summary!A:A,0))/1,NA())=0,FALSE,TRUE)</f>
        <v>1</v>
      </c>
      <c r="F9" s="27">
        <f>INDEX(embay!R:R,MATCH(A9,embay!A:A,0))</f>
        <v>0</v>
      </c>
      <c r="G9" s="27">
        <f>F9/D9</f>
        <v>0</v>
      </c>
      <c r="H9" s="27">
        <f>INDEX(embay!G:G,MATCH(A9,embay!A:A,0))*365.25</f>
        <v>0</v>
      </c>
      <c r="I9" s="28" t="e">
        <f>(H9-F9)/F9</f>
        <v>#DIV/0!</v>
      </c>
      <c r="J9" s="12" t="b">
        <f>NOT(ISNA(K9))</f>
        <v>0</v>
      </c>
      <c r="K9" s="5" t="e">
        <f>IFERROR(INDEX(df_EMBAY_merged_summary!$AN:$AN,MATCH(A9,df_EMBAY_merged_summary!A:A,0))/1,NA())</f>
        <v>#N/A</v>
      </c>
      <c r="L9" s="5" t="e">
        <f>IFERROR(INDEX(df_EMBAY_merged_summary!AP:AP,MATCH(A9,df_EMBAY_merged_summary!A:A,0))/1,NA())</f>
        <v>#N/A</v>
      </c>
      <c r="M9" s="3" t="e">
        <f>IFERROR(INDEX(df_EMBAY_merged_summary!$AQ:$AQ,MATCH(A9,df_EMBAY_merged_summary!A:A,0))/1,NA())</f>
        <v>#N/A</v>
      </c>
      <c r="N9" s="7" t="e">
        <f t="shared" si="0"/>
        <v>#N/A</v>
      </c>
      <c r="O9" s="4" t="e">
        <f>F9*N9</f>
        <v>#N/A</v>
      </c>
      <c r="P9" s="35" t="e">
        <f>IFERROR(INDEX(df_EMBAY_merged_summary!BE:BE,MATCH(A9,df_EMBAY_merged_summary!A:A,0))/1,NA())</f>
        <v>#N/A</v>
      </c>
      <c r="Q9" s="9" t="e">
        <f>O9*AI9</f>
        <v>#N/A</v>
      </c>
      <c r="R9" s="12" t="e">
        <f>Q9/H9</f>
        <v>#N/A</v>
      </c>
      <c r="S9" s="9" t="e">
        <f>AC9*O9</f>
        <v>#DIV/0!</v>
      </c>
      <c r="T9" s="12" t="e">
        <f>$S9/$F9</f>
        <v>#DIV/0!</v>
      </c>
      <c r="U9" s="31" t="e">
        <f>AI9*O9</f>
        <v>#N/A</v>
      </c>
      <c r="V9" s="12" t="e">
        <f>$U9/$H9</f>
        <v>#N/A</v>
      </c>
      <c r="W9" s="30">
        <f>AB9</f>
        <v>0</v>
      </c>
      <c r="X9" s="12" t="e">
        <f>AB9/F9</f>
        <v>#DIV/0!</v>
      </c>
      <c r="Y9" s="12">
        <f>AH9</f>
        <v>0</v>
      </c>
      <c r="Z9" s="12" t="e">
        <f>$Y9/$F9</f>
        <v>#DIV/0!</v>
      </c>
      <c r="AA9" s="3">
        <f>IFERROR(INDEX(df_EMBAY_merged_summary!$AG:$AG,MATCH(A9,df_EMBAY_merged_summary!A:A,0))/1,NA())</f>
        <v>0</v>
      </c>
      <c r="AB9">
        <f>IFERROR(INDEX(df_EMBAY_merged_summary!$AJ:$AJ,MATCH(A9,df_EMBAY_merged_summary!A:A,0))/1,NA())</f>
        <v>0</v>
      </c>
      <c r="AC9" s="7" t="e">
        <f>(AB9/AA9)</f>
        <v>#DIV/0!</v>
      </c>
      <c r="AD9" s="3" t="e">
        <f>IFERROR(INDEX(df_EMBAY_merged_summary!$U:$U,MATCH(A9,df_EMBAY_merged_summary!A:A,0))/1,NA())</f>
        <v>#N/A</v>
      </c>
      <c r="AE9" s="3" t="e">
        <f>IFERROR(INDEX(df_EMBAY_merged_summary!$AB:$AB,MATCH(A9,df_EMBAY_merged_summary!A:A,0))/1,NA())</f>
        <v>#N/A</v>
      </c>
      <c r="AF9" s="3" t="e">
        <f>AD9/M9</f>
        <v>#N/A</v>
      </c>
      <c r="AG9" s="3" t="e">
        <f>AE9/AA9</f>
        <v>#N/A</v>
      </c>
      <c r="AH9" s="3">
        <f>IFERROR(INDEX(df_EMBAY_merged_summary!$AI:$AI,MATCH(A9,df_EMBAY_merged_summary!A:A,0))/1,NA())</f>
        <v>0</v>
      </c>
      <c r="AI9" s="7" t="e">
        <f>AH9/AE9</f>
        <v>#N/A</v>
      </c>
      <c r="AJ9" s="3" t="e">
        <f>(10000*M9*0.692)/365.25</f>
        <v>#N/A</v>
      </c>
      <c r="AK9" t="e">
        <f>(10000*M9*0.692)/365.25/(K9*10000)</f>
        <v>#N/A</v>
      </c>
      <c r="AL9" t="e">
        <f>(10000*AD9*0.692)/365.25/(K9*10000)</f>
        <v>#N/A</v>
      </c>
    </row>
    <row r="10" spans="1:38" x14ac:dyDescent="0.25">
      <c r="A10">
        <f>df_EMBAY_merged_summary!A10</f>
        <v>9</v>
      </c>
      <c r="B10" t="str">
        <f>df_EMBAY_merged_summary!B10</f>
        <v>FiddlersCove</v>
      </c>
      <c r="C10" t="str">
        <f>B10&amp;" ("&amp;A10&amp;")"</f>
        <v>FiddlersCove (9)</v>
      </c>
      <c r="D10">
        <f>INDEX(df_EMBAY_merged_summary!C:C,MATCH(A10,df_EMBAY_merged_summary!A:A,0))</f>
        <v>113.78932754191</v>
      </c>
      <c r="E10" s="4" t="b">
        <f>IF(IFERROR(INDEX(df_EMBAY_merged_summary!L:L,MATCH(A10,df_EMBAY_merged_summary!A:A,0))/1,NA())=0,FALSE,TRUE)</f>
        <v>1</v>
      </c>
      <c r="F10" s="27">
        <f>INDEX(embay!R:R,MATCH(A10,embay!A:A,0))</f>
        <v>0</v>
      </c>
      <c r="G10" s="27">
        <f>F10/D10</f>
        <v>0</v>
      </c>
      <c r="H10" s="27">
        <f>INDEX(embay!G:G,MATCH(A10,embay!A:A,0))*365.25</f>
        <v>0</v>
      </c>
      <c r="I10" s="28" t="e">
        <f>(H10-F10)/F10</f>
        <v>#DIV/0!</v>
      </c>
      <c r="J10" s="12" t="b">
        <f>NOT(ISNA(K10))</f>
        <v>0</v>
      </c>
      <c r="K10" s="5" t="e">
        <f>IFERROR(INDEX(df_EMBAY_merged_summary!$AN:$AN,MATCH(A10,df_EMBAY_merged_summary!A:A,0))/1,NA())</f>
        <v>#N/A</v>
      </c>
      <c r="L10" s="5" t="e">
        <f>IFERROR(INDEX(df_EMBAY_merged_summary!AP:AP,MATCH(A10,df_EMBAY_merged_summary!A:A,0))/1,NA())</f>
        <v>#N/A</v>
      </c>
      <c r="M10" s="3" t="e">
        <f>IFERROR(INDEX(df_EMBAY_merged_summary!$AQ:$AQ,MATCH(A10,df_EMBAY_merged_summary!A:A,0))/1,NA())</f>
        <v>#N/A</v>
      </c>
      <c r="N10" s="7" t="e">
        <f t="shared" si="0"/>
        <v>#N/A</v>
      </c>
      <c r="O10" s="4" t="e">
        <f>F10*N10</f>
        <v>#N/A</v>
      </c>
      <c r="P10" s="35" t="e">
        <f>IFERROR(INDEX(df_EMBAY_merged_summary!BE:BE,MATCH(A10,df_EMBAY_merged_summary!A:A,0))/1,NA())</f>
        <v>#N/A</v>
      </c>
      <c r="Q10" s="9" t="e">
        <f>O10*AI10</f>
        <v>#N/A</v>
      </c>
      <c r="R10" s="12" t="e">
        <f>Q10/H10</f>
        <v>#N/A</v>
      </c>
      <c r="S10" s="9" t="e">
        <f>AC10*O10</f>
        <v>#DIV/0!</v>
      </c>
      <c r="T10" s="12" t="e">
        <f>$S10/$F10</f>
        <v>#DIV/0!</v>
      </c>
      <c r="U10" s="31" t="e">
        <f>AI10*O10</f>
        <v>#N/A</v>
      </c>
      <c r="V10" s="12" t="e">
        <f>$U10/$H10</f>
        <v>#N/A</v>
      </c>
      <c r="W10" s="30">
        <f>AB10</f>
        <v>0</v>
      </c>
      <c r="X10" s="12" t="e">
        <f>AB10/F10</f>
        <v>#DIV/0!</v>
      </c>
      <c r="Y10" s="12">
        <f>AH10</f>
        <v>0</v>
      </c>
      <c r="Z10" s="12" t="e">
        <f>$Y10/$F10</f>
        <v>#DIV/0!</v>
      </c>
      <c r="AA10" s="3">
        <f>IFERROR(INDEX(df_EMBAY_merged_summary!$AG:$AG,MATCH(A10,df_EMBAY_merged_summary!A:A,0))/1,NA())</f>
        <v>0</v>
      </c>
      <c r="AB10">
        <f>IFERROR(INDEX(df_EMBAY_merged_summary!$AJ:$AJ,MATCH(A10,df_EMBAY_merged_summary!A:A,0))/1,NA())</f>
        <v>0</v>
      </c>
      <c r="AC10" s="7" t="e">
        <f>(AB10/AA10)</f>
        <v>#DIV/0!</v>
      </c>
      <c r="AD10" s="3" t="e">
        <f>IFERROR(INDEX(df_EMBAY_merged_summary!$U:$U,MATCH(A10,df_EMBAY_merged_summary!A:A,0))/1,NA())</f>
        <v>#N/A</v>
      </c>
      <c r="AE10" s="3" t="e">
        <f>IFERROR(INDEX(df_EMBAY_merged_summary!$AB:$AB,MATCH(A10,df_EMBAY_merged_summary!A:A,0))/1,NA())</f>
        <v>#N/A</v>
      </c>
      <c r="AF10" s="3" t="e">
        <f>AD10/M10</f>
        <v>#N/A</v>
      </c>
      <c r="AG10" s="3" t="e">
        <f>AE10/AA10</f>
        <v>#N/A</v>
      </c>
      <c r="AH10" s="3">
        <f>IFERROR(INDEX(df_EMBAY_merged_summary!$AI:$AI,MATCH(A10,df_EMBAY_merged_summary!A:A,0))/1,NA())</f>
        <v>0</v>
      </c>
      <c r="AI10" s="7" t="e">
        <f>AH10/AE10</f>
        <v>#N/A</v>
      </c>
      <c r="AJ10" s="3" t="e">
        <f>(10000*M10*0.692)/365.25</f>
        <v>#N/A</v>
      </c>
      <c r="AK10" t="e">
        <f>(10000*M10*0.692)/365.25/(K10*10000)</f>
        <v>#N/A</v>
      </c>
      <c r="AL10" t="e">
        <f>(10000*AD10*0.692)/365.25/(K10*10000)</f>
        <v>#N/A</v>
      </c>
    </row>
    <row r="11" spans="1:38" x14ac:dyDescent="0.25">
      <c r="A11">
        <f>df_EMBAY_merged_summary!A11</f>
        <v>10</v>
      </c>
      <c r="B11" t="str">
        <f>df_EMBAY_merged_summary!B11</f>
        <v>GreatPond</v>
      </c>
      <c r="C11" t="str">
        <f>B11&amp;" ("&amp;A11&amp;")"</f>
        <v>GreatPond (10)</v>
      </c>
      <c r="D11">
        <f>INDEX(df_EMBAY_merged_summary!C:C,MATCH(A11,df_EMBAY_merged_summary!A:A,0))</f>
        <v>3334.8527068854501</v>
      </c>
      <c r="E11" s="4" t="b">
        <f>IF(IFERROR(INDEX(df_EMBAY_merged_summary!L:L,MATCH(A11,df_EMBAY_merged_summary!A:A,0))/1,NA())=0,FALSE,TRUE)</f>
        <v>1</v>
      </c>
      <c r="F11" s="27">
        <f>INDEX(df_EMBAY_merged_summary!AG:AG,MATCH(A11,embay!A:A,0))</f>
        <v>19361.9025</v>
      </c>
      <c r="G11" s="27">
        <f>F11/D11</f>
        <v>5.8059243396338305</v>
      </c>
      <c r="H11" s="27">
        <f>INDEX(embay!G:G,MATCH(A11,embay!A:A,0))*365.25</f>
        <v>6625.6350000000002</v>
      </c>
      <c r="I11" s="28">
        <f>(H11-F11)/F11</f>
        <v>-0.6578004150160347</v>
      </c>
      <c r="J11" s="12" t="b">
        <f>NOT(ISNA(K11))</f>
        <v>1</v>
      </c>
      <c r="K11" s="5">
        <f>IFERROR(INDEX(df_EMBAY_merged_summary!$AN:$AN,MATCH(A11,df_EMBAY_merged_summary!A:A,0))/1,NA())</f>
        <v>14.082296958785699</v>
      </c>
      <c r="L11" s="5">
        <f>IFERROR(INDEX(df_EMBAY_merged_summary!AP:AP,MATCH(A11,df_EMBAY_merged_summary!A:A,0))/1,NA())</f>
        <v>7</v>
      </c>
      <c r="M11" s="3">
        <f>IFERROR(INDEX(df_EMBAY_merged_summary!$AQ:$AQ,MATCH(A11,df_EMBAY_merged_summary!A:A,0))/1,NA())</f>
        <v>1160.7</v>
      </c>
      <c r="N11" s="7">
        <f t="shared" si="0"/>
        <v>0.34805135399338921</v>
      </c>
      <c r="O11" s="35">
        <f>F11*N11</f>
        <v>6738.936381012988</v>
      </c>
      <c r="P11" s="35">
        <f>IFERROR(INDEX(df_EMBAY_merged_summary!BE:BE,MATCH(A11,df_EMBAY_merged_summary!A:A,0))/1,NA())</f>
        <v>5894.8729362168096</v>
      </c>
      <c r="Q11" s="9">
        <f>O11*0.5</f>
        <v>3369.468190506494</v>
      </c>
      <c r="R11" s="12">
        <f>Q11/F11</f>
        <v>0.17402567699669461</v>
      </c>
      <c r="S11" s="9">
        <f>AC11*O11</f>
        <v>9263.0387351800618</v>
      </c>
      <c r="T11" s="12">
        <f>$S11/$F11</f>
        <v>0.4784157308497996</v>
      </c>
      <c r="U11" s="31">
        <f>AI11*O11</f>
        <v>75354.148912625096</v>
      </c>
      <c r="V11" s="12">
        <f>$U11/$F11</f>
        <v>3.8918773045482022</v>
      </c>
      <c r="W11" s="30">
        <f>AB11</f>
        <v>26614</v>
      </c>
      <c r="X11" s="12">
        <f>AB11/F11</f>
        <v>1.3745550056354225</v>
      </c>
      <c r="Y11" s="12">
        <f>AH11</f>
        <v>34977</v>
      </c>
      <c r="Z11" s="12">
        <f>$Y11/$F11</f>
        <v>1.806485700462545</v>
      </c>
      <c r="AA11" s="3">
        <f>IFERROR(INDEX(df_EMBAY_merged_summary!$AG:$AG,MATCH(A11,df_EMBAY_merged_summary!A:A,0))/1,NA())</f>
        <v>19361.9025</v>
      </c>
      <c r="AB11">
        <f>IFERROR(INDEX(df_EMBAY_merged_summary!$AJ:$AJ,MATCH(A11,df_EMBAY_merged_summary!A:A,0))/1,NA())</f>
        <v>26614</v>
      </c>
      <c r="AC11" s="7">
        <f>(AB11/AA11)</f>
        <v>1.3745550056354225</v>
      </c>
      <c r="AD11" s="3">
        <f>IFERROR(INDEX(df_EMBAY_merged_summary!$U:$U,MATCH(A11,df_EMBAY_merged_summary!A:A,0))/1,NA())</f>
        <v>53.01</v>
      </c>
      <c r="AE11" s="3">
        <f>IFERROR(INDEX(df_EMBAY_merged_summary!$AB:$AB,MATCH(A11,df_EMBAY_merged_summary!A:A,0))/1,NA())</f>
        <v>3128</v>
      </c>
      <c r="AF11" s="3">
        <f>AD11/M11</f>
        <v>4.5670715947273191E-2</v>
      </c>
      <c r="AG11" s="3">
        <f>AE11/AA11</f>
        <v>0.16155437204582557</v>
      </c>
      <c r="AH11" s="3">
        <f>IFERROR(INDEX(df_EMBAY_merged_summary!$AI:$AI,MATCH(A11,df_EMBAY_merged_summary!A:A,0))/1,NA())</f>
        <v>34977</v>
      </c>
      <c r="AI11" s="7">
        <f>AH11/AE11</f>
        <v>11.181905370843991</v>
      </c>
      <c r="AJ11" s="3">
        <f>(10000*M11*0.692)/365.25</f>
        <v>21990.537987679669</v>
      </c>
      <c r="AK11">
        <f>(10000*M11*0.692)/365.25/(K11*10000)</f>
        <v>0.15615732328354401</v>
      </c>
      <c r="AL11">
        <f>(10000*AD11*0.692)/365.25/(K11*10000)</f>
        <v>7.1318167547692489E-3</v>
      </c>
    </row>
    <row r="12" spans="1:38" x14ac:dyDescent="0.25">
      <c r="A12">
        <f>df_EMBAY_merged_summary!A12</f>
        <v>11</v>
      </c>
      <c r="B12" t="str">
        <f>df_EMBAY_merged_summary!B12</f>
        <v>GreatSippewissettCreek</v>
      </c>
      <c r="C12" t="str">
        <f>B12&amp;" ("&amp;A12&amp;")"</f>
        <v>GreatSippewissettCreek (11)</v>
      </c>
      <c r="D12">
        <f>INDEX(df_EMBAY_merged_summary!C:C,MATCH(A12,df_EMBAY_merged_summary!A:A,0))</f>
        <v>419.84276199965899</v>
      </c>
      <c r="E12" s="4" t="b">
        <f>IF(IFERROR(INDEX(df_EMBAY_merged_summary!L:L,MATCH(A12,df_EMBAY_merged_summary!A:A,0))/1,NA())=0,FALSE,TRUE)</f>
        <v>0</v>
      </c>
      <c r="F12" s="27">
        <f>INDEX(embay!R:R,MATCH(A12,embay!A:A,0))</f>
        <v>0</v>
      </c>
      <c r="G12" s="27">
        <f>F12/D12</f>
        <v>0</v>
      </c>
      <c r="H12" s="27">
        <f>INDEX(embay!G:G,MATCH(A12,embay!A:A,0))*365.25</f>
        <v>0</v>
      </c>
      <c r="I12" s="28" t="e">
        <f>(H12-F12)/F12</f>
        <v>#DIV/0!</v>
      </c>
      <c r="J12" s="12" t="b">
        <f>NOT(ISNA(K12))</f>
        <v>0</v>
      </c>
      <c r="K12" s="5" t="e">
        <f>IFERROR(INDEX(df_EMBAY_merged_summary!$AN:$AN,MATCH(A12,df_EMBAY_merged_summary!A:A,0))/1,NA())</f>
        <v>#N/A</v>
      </c>
      <c r="L12" s="5" t="e">
        <f>IFERROR(INDEX(df_EMBAY_merged_summary!AP:AP,MATCH(A12,df_EMBAY_merged_summary!A:A,0))/1,NA())</f>
        <v>#N/A</v>
      </c>
      <c r="M12" s="3" t="e">
        <f>IFERROR(INDEX(df_EMBAY_merged_summary!$AQ:$AQ,MATCH(A12,df_EMBAY_merged_summary!A:A,0))/1,NA())</f>
        <v>#N/A</v>
      </c>
      <c r="N12" s="7" t="e">
        <f t="shared" si="0"/>
        <v>#N/A</v>
      </c>
      <c r="O12" s="4" t="e">
        <f>F12*N12</f>
        <v>#N/A</v>
      </c>
      <c r="P12" s="35" t="e">
        <f>IFERROR(INDEX(df_EMBAY_merged_summary!BE:BE,MATCH(A12,df_EMBAY_merged_summary!A:A,0))/1,NA())</f>
        <v>#N/A</v>
      </c>
      <c r="Q12" s="9" t="e">
        <f>O12*AI12</f>
        <v>#N/A</v>
      </c>
      <c r="R12" s="12" t="e">
        <f>Q12/H12</f>
        <v>#N/A</v>
      </c>
      <c r="S12" s="9" t="e">
        <f>AC12*O12</f>
        <v>#DIV/0!</v>
      </c>
      <c r="T12" s="12" t="e">
        <f>$S12/$F12</f>
        <v>#DIV/0!</v>
      </c>
      <c r="U12" s="31" t="e">
        <f>AI12*O12</f>
        <v>#N/A</v>
      </c>
      <c r="V12" s="12" t="e">
        <f>$U12/$H12</f>
        <v>#N/A</v>
      </c>
      <c r="W12" s="30">
        <f>AB12</f>
        <v>0</v>
      </c>
      <c r="X12" s="12" t="e">
        <f>AB12/F12</f>
        <v>#DIV/0!</v>
      </c>
      <c r="Y12" s="12">
        <f>AH12</f>
        <v>0</v>
      </c>
      <c r="Z12" s="12" t="e">
        <f>$Y12/$F12</f>
        <v>#DIV/0!</v>
      </c>
      <c r="AA12" s="3">
        <f>IFERROR(INDEX(df_EMBAY_merged_summary!$AG:$AG,MATCH(A12,df_EMBAY_merged_summary!A:A,0))/1,NA())</f>
        <v>0</v>
      </c>
      <c r="AB12">
        <f>IFERROR(INDEX(df_EMBAY_merged_summary!$AJ:$AJ,MATCH(A12,df_EMBAY_merged_summary!A:A,0))/1,NA())</f>
        <v>0</v>
      </c>
      <c r="AC12" s="7" t="e">
        <f>(AB12/AA12)</f>
        <v>#DIV/0!</v>
      </c>
      <c r="AD12" s="3" t="e">
        <f>IFERROR(INDEX(df_EMBAY_merged_summary!$U:$U,MATCH(A12,df_EMBAY_merged_summary!A:A,0))/1,NA())</f>
        <v>#N/A</v>
      </c>
      <c r="AE12" s="3" t="e">
        <f>IFERROR(INDEX(df_EMBAY_merged_summary!$AB:$AB,MATCH(A12,df_EMBAY_merged_summary!A:A,0))/1,NA())</f>
        <v>#N/A</v>
      </c>
      <c r="AF12" s="3" t="e">
        <f>AD12/M12</f>
        <v>#N/A</v>
      </c>
      <c r="AG12" s="3" t="e">
        <f>AE12/AA12</f>
        <v>#N/A</v>
      </c>
      <c r="AH12" s="3">
        <f>IFERROR(INDEX(df_EMBAY_merged_summary!$AI:$AI,MATCH(A12,df_EMBAY_merged_summary!A:A,0))/1,NA())</f>
        <v>0</v>
      </c>
      <c r="AI12" s="7" t="e">
        <f>AH12/AE12</f>
        <v>#N/A</v>
      </c>
      <c r="AJ12" s="3" t="e">
        <f>(10000*M12*0.692)/365.25</f>
        <v>#N/A</v>
      </c>
      <c r="AK12" t="e">
        <f>(10000*M12*0.692)/365.25/(K12*10000)</f>
        <v>#N/A</v>
      </c>
      <c r="AL12" t="e">
        <f>(10000*AD12*0.692)/365.25/(K12*10000)</f>
        <v>#N/A</v>
      </c>
    </row>
    <row r="13" spans="1:38" x14ac:dyDescent="0.25">
      <c r="A13">
        <f>df_EMBAY_merged_summary!A13</f>
        <v>12</v>
      </c>
      <c r="B13" t="str">
        <f>df_EMBAY_merged_summary!B13</f>
        <v>GreenPond</v>
      </c>
      <c r="C13" t="str">
        <f>B13&amp;" ("&amp;A13&amp;")"</f>
        <v>GreenPond (12)</v>
      </c>
      <c r="D13">
        <f>INDEX(df_EMBAY_merged_summary!C:C,MATCH(A13,df_EMBAY_merged_summary!A:A,0))</f>
        <v>641.49203142067302</v>
      </c>
      <c r="E13" s="4" t="b">
        <f>IF(IFERROR(INDEX(df_EMBAY_merged_summary!L:L,MATCH(A13,df_EMBAY_merged_summary!A:A,0))/1,NA())=0,FALSE,TRUE)</f>
        <v>1</v>
      </c>
      <c r="F13" s="27">
        <f>INDEX(df_EMBAY_merged_summary!AG:AG,MATCH(A13,embay!A:A,0))</f>
        <v>8166.99</v>
      </c>
      <c r="G13" s="27">
        <f>F13/D13</f>
        <v>12.731241543114836</v>
      </c>
      <c r="H13" s="27">
        <f>INDEX(embay!G:G,MATCH(A13,embay!A:A,0))*365.25</f>
        <v>2710.1550000000002</v>
      </c>
      <c r="I13" s="28">
        <f>(H13-F13)/F13</f>
        <v>-0.66815742397137734</v>
      </c>
      <c r="J13" s="12" t="b">
        <f>NOT(ISNA(K13))</f>
        <v>1</v>
      </c>
      <c r="K13" s="5">
        <f>IFERROR(INDEX(df_EMBAY_merged_summary!$AN:$AN,MATCH(A13,df_EMBAY_merged_summary!A:A,0))/1,NA())</f>
        <v>23.830490597994199</v>
      </c>
      <c r="L13" s="5">
        <f>IFERROR(INDEX(df_EMBAY_merged_summary!AP:AP,MATCH(A13,df_EMBAY_merged_summary!A:A,0))/1,NA())</f>
        <v>1</v>
      </c>
      <c r="M13" s="3">
        <f>IFERROR(INDEX(df_EMBAY_merged_summary!$AQ:$AQ,MATCH(A13,df_EMBAY_merged_summary!A:A,0))/1,NA())</f>
        <v>409.85</v>
      </c>
      <c r="N13" s="7">
        <f t="shared" si="0"/>
        <v>0.63890115531494662</v>
      </c>
      <c r="O13" s="35">
        <f>F13*N13</f>
        <v>5217.8993464456162</v>
      </c>
      <c r="P13" s="35">
        <f>IFERROR(INDEX(df_EMBAY_merged_summary!BE:BE,MATCH(A13,df_EMBAY_merged_summary!A:A,0))/1,NA())</f>
        <v>2251.3594482578601</v>
      </c>
      <c r="Q13" s="9">
        <f>O13*0.5</f>
        <v>2608.9496732228081</v>
      </c>
      <c r="R13" s="12">
        <f>Q13/F13</f>
        <v>0.31945057765747331</v>
      </c>
      <c r="S13" s="9">
        <f>AC13*O13</f>
        <v>6318.7324260648229</v>
      </c>
      <c r="T13" s="12">
        <f>$S13/$F13</f>
        <v>0.77369170600978121</v>
      </c>
      <c r="U13" s="31">
        <f>AI13*O13</f>
        <v>85804.696067959565</v>
      </c>
      <c r="V13" s="12">
        <f>$U13/$F13</f>
        <v>10.506281514726915</v>
      </c>
      <c r="W13" s="30">
        <f>AB13</f>
        <v>9890</v>
      </c>
      <c r="X13" s="12">
        <f>AB13/F13</f>
        <v>1.2109724635391987</v>
      </c>
      <c r="Y13" s="12">
        <f>AH13</f>
        <v>12547</v>
      </c>
      <c r="Z13" s="12">
        <f>$Y13/$F13</f>
        <v>1.5363065217417924</v>
      </c>
      <c r="AA13" s="3">
        <f>IFERROR(INDEX(df_EMBAY_merged_summary!$AG:$AG,MATCH(A13,df_EMBAY_merged_summary!A:A,0))/1,NA())</f>
        <v>8166.99</v>
      </c>
      <c r="AB13">
        <f>IFERROR(INDEX(df_EMBAY_merged_summary!$AJ:$AJ,MATCH(A13,df_EMBAY_merged_summary!A:A,0))/1,NA())</f>
        <v>9890</v>
      </c>
      <c r="AC13" s="7">
        <f>(AB13/AA13)</f>
        <v>1.2109724635391987</v>
      </c>
      <c r="AD13" s="3">
        <f>IFERROR(INDEX(df_EMBAY_merged_summary!$U:$U,MATCH(A13,df_EMBAY_merged_summary!A:A,0))/1,NA())</f>
        <v>22.36</v>
      </c>
      <c r="AE13" s="3">
        <f>IFERROR(INDEX(df_EMBAY_merged_summary!$AB:$AB,MATCH(A13,df_EMBAY_merged_summary!A:A,0))/1,NA())</f>
        <v>763</v>
      </c>
      <c r="AF13" s="3">
        <f>AD13/M13</f>
        <v>5.4556545077467364E-2</v>
      </c>
      <c r="AG13" s="3">
        <f>AE13/AA13</f>
        <v>9.3424872566269829E-2</v>
      </c>
      <c r="AH13" s="3">
        <f>IFERROR(INDEX(df_EMBAY_merged_summary!$AI:$AI,MATCH(A13,df_EMBAY_merged_summary!A:A,0))/1,NA())</f>
        <v>12547</v>
      </c>
      <c r="AI13" s="7">
        <f>AH13/AE13</f>
        <v>16.44429882044561</v>
      </c>
      <c r="AJ13" s="3">
        <f>(10000*M13*0.692)/365.25</f>
        <v>7764.9883641341548</v>
      </c>
      <c r="AK13">
        <f>(10000*M13*0.692)/365.25/(K13*10000)</f>
        <v>3.258425726572213E-2</v>
      </c>
      <c r="AL13">
        <f>(10000*AD13*0.692)/365.25/(K13*10000)</f>
        <v>1.7776845003331628E-3</v>
      </c>
    </row>
    <row r="14" spans="1:38" x14ac:dyDescent="0.25">
      <c r="A14">
        <f>df_EMBAY_merged_summary!A14</f>
        <v>13</v>
      </c>
      <c r="B14" t="str">
        <f>df_EMBAY_merged_summary!B14</f>
        <v>HatchesHarbor</v>
      </c>
      <c r="C14" t="str">
        <f>B14&amp;" ("&amp;A14&amp;")"</f>
        <v>HatchesHarbor (13)</v>
      </c>
      <c r="D14">
        <f>INDEX(df_EMBAY_merged_summary!C:C,MATCH(A14,df_EMBAY_merged_summary!A:A,0))</f>
        <v>417.69286584226199</v>
      </c>
      <c r="E14" s="4" t="b">
        <f>IF(IFERROR(INDEX(df_EMBAY_merged_summary!L:L,MATCH(A14,df_EMBAY_merged_summary!A:A,0))/1,NA())=0,FALSE,TRUE)</f>
        <v>0</v>
      </c>
      <c r="F14" s="27">
        <f>INDEX(embay!R:R,MATCH(A14,embay!A:A,0))</f>
        <v>0</v>
      </c>
      <c r="G14" s="27">
        <f>F14/D14</f>
        <v>0</v>
      </c>
      <c r="H14" s="27">
        <f>INDEX(embay!G:G,MATCH(A14,embay!A:A,0))*365.25</f>
        <v>0</v>
      </c>
      <c r="I14" s="28" t="e">
        <f>(H14-F14)/F14</f>
        <v>#DIV/0!</v>
      </c>
      <c r="J14" s="12" t="b">
        <f>NOT(ISNA(K14))</f>
        <v>0</v>
      </c>
      <c r="K14" s="5" t="e">
        <f>IFERROR(INDEX(df_EMBAY_merged_summary!$AN:$AN,MATCH(A14,df_EMBAY_merged_summary!A:A,0))/1,NA())</f>
        <v>#N/A</v>
      </c>
      <c r="L14" s="5" t="e">
        <f>IFERROR(INDEX(df_EMBAY_merged_summary!AP:AP,MATCH(A14,df_EMBAY_merged_summary!A:A,0))/1,NA())</f>
        <v>#N/A</v>
      </c>
      <c r="M14" s="3" t="e">
        <f>IFERROR(INDEX(df_EMBAY_merged_summary!$AQ:$AQ,MATCH(A14,df_EMBAY_merged_summary!A:A,0))/1,NA())</f>
        <v>#N/A</v>
      </c>
      <c r="N14" s="7" t="e">
        <f t="shared" si="0"/>
        <v>#N/A</v>
      </c>
      <c r="O14" s="4" t="e">
        <f>F14*N14</f>
        <v>#N/A</v>
      </c>
      <c r="P14" s="35" t="e">
        <f>IFERROR(INDEX(df_EMBAY_merged_summary!BE:BE,MATCH(A14,df_EMBAY_merged_summary!A:A,0))/1,NA())</f>
        <v>#N/A</v>
      </c>
      <c r="Q14" s="9" t="e">
        <f>O14*AI14</f>
        <v>#N/A</v>
      </c>
      <c r="R14" s="12" t="e">
        <f>Q14/H14</f>
        <v>#N/A</v>
      </c>
      <c r="S14" s="9" t="e">
        <f>AC14*O14</f>
        <v>#DIV/0!</v>
      </c>
      <c r="T14" s="12" t="e">
        <f>$S14/$F14</f>
        <v>#DIV/0!</v>
      </c>
      <c r="U14" s="31" t="e">
        <f>AI14*O14</f>
        <v>#N/A</v>
      </c>
      <c r="V14" s="12" t="e">
        <f>$U14/$H14</f>
        <v>#N/A</v>
      </c>
      <c r="W14" s="30">
        <f>AB14</f>
        <v>0</v>
      </c>
      <c r="X14" s="12" t="e">
        <f>AB14/F14</f>
        <v>#DIV/0!</v>
      </c>
      <c r="Y14" s="12">
        <f>AH14</f>
        <v>0</v>
      </c>
      <c r="Z14" s="12" t="e">
        <f>$Y14/$F14</f>
        <v>#DIV/0!</v>
      </c>
      <c r="AA14" s="3">
        <f>IFERROR(INDEX(df_EMBAY_merged_summary!$AG:$AG,MATCH(A14,df_EMBAY_merged_summary!A:A,0))/1,NA())</f>
        <v>0</v>
      </c>
      <c r="AB14">
        <f>IFERROR(INDEX(df_EMBAY_merged_summary!$AJ:$AJ,MATCH(A14,df_EMBAY_merged_summary!A:A,0))/1,NA())</f>
        <v>0</v>
      </c>
      <c r="AC14" s="7" t="e">
        <f>(AB14/AA14)</f>
        <v>#DIV/0!</v>
      </c>
      <c r="AD14" s="3" t="e">
        <f>IFERROR(INDEX(df_EMBAY_merged_summary!$U:$U,MATCH(A14,df_EMBAY_merged_summary!A:A,0))/1,NA())</f>
        <v>#N/A</v>
      </c>
      <c r="AE14" s="3" t="e">
        <f>IFERROR(INDEX(df_EMBAY_merged_summary!$AB:$AB,MATCH(A14,df_EMBAY_merged_summary!A:A,0))/1,NA())</f>
        <v>#N/A</v>
      </c>
      <c r="AF14" s="3" t="e">
        <f>AD14/M14</f>
        <v>#N/A</v>
      </c>
      <c r="AG14" s="3" t="e">
        <f>AE14/AA14</f>
        <v>#N/A</v>
      </c>
      <c r="AH14" s="3">
        <f>IFERROR(INDEX(df_EMBAY_merged_summary!$AI:$AI,MATCH(A14,df_EMBAY_merged_summary!A:A,0))/1,NA())</f>
        <v>0</v>
      </c>
      <c r="AI14" s="7" t="e">
        <f>AH14/AE14</f>
        <v>#N/A</v>
      </c>
      <c r="AJ14" s="3" t="e">
        <f>(10000*M14*0.692)/365.25</f>
        <v>#N/A</v>
      </c>
      <c r="AK14" t="e">
        <f>(10000*M14*0.692)/365.25/(K14*10000)</f>
        <v>#N/A</v>
      </c>
      <c r="AL14" t="e">
        <f>(10000*AD14*0.692)/365.25/(K14*10000)</f>
        <v>#N/A</v>
      </c>
    </row>
    <row r="15" spans="1:38" x14ac:dyDescent="0.25">
      <c r="A15">
        <f>df_EMBAY_merged_summary!A15</f>
        <v>14</v>
      </c>
      <c r="B15" t="str">
        <f>df_EMBAY_merged_summary!B15</f>
        <v>HerringRiverEastham</v>
      </c>
      <c r="C15" t="str">
        <f>B15&amp;" ("&amp;A15&amp;")"</f>
        <v>HerringRiverEastham (14)</v>
      </c>
      <c r="D15">
        <f>INDEX(df_EMBAY_merged_summary!C:C,MATCH(A15,df_EMBAY_merged_summary!A:A,0))</f>
        <v>269.22315124434601</v>
      </c>
      <c r="E15" s="4" t="b">
        <f>IF(IFERROR(INDEX(df_EMBAY_merged_summary!L:L,MATCH(A15,df_EMBAY_merged_summary!A:A,0))/1,NA())=0,FALSE,TRUE)</f>
        <v>0</v>
      </c>
      <c r="F15" s="27">
        <f>INDEX(embay!R:R,MATCH(A15,embay!A:A,0))</f>
        <v>0</v>
      </c>
      <c r="G15" s="27">
        <f>F15/D15</f>
        <v>0</v>
      </c>
      <c r="H15" s="27">
        <f>INDEX(embay!G:G,MATCH(A15,embay!A:A,0))*365.25</f>
        <v>0</v>
      </c>
      <c r="I15" s="28" t="e">
        <f>(H15-F15)/F15</f>
        <v>#DIV/0!</v>
      </c>
      <c r="J15" s="12" t="b">
        <f>NOT(ISNA(K15))</f>
        <v>0</v>
      </c>
      <c r="K15" s="5" t="e">
        <f>IFERROR(INDEX(df_EMBAY_merged_summary!$AN:$AN,MATCH(A15,df_EMBAY_merged_summary!A:A,0))/1,NA())</f>
        <v>#N/A</v>
      </c>
      <c r="L15" s="5" t="e">
        <f>IFERROR(INDEX(df_EMBAY_merged_summary!AP:AP,MATCH(A15,df_EMBAY_merged_summary!A:A,0))/1,NA())</f>
        <v>#N/A</v>
      </c>
      <c r="M15" s="3" t="e">
        <f>IFERROR(INDEX(df_EMBAY_merged_summary!$AQ:$AQ,MATCH(A15,df_EMBAY_merged_summary!A:A,0))/1,NA())</f>
        <v>#N/A</v>
      </c>
      <c r="N15" s="7" t="e">
        <f t="shared" si="0"/>
        <v>#N/A</v>
      </c>
      <c r="O15" s="4" t="e">
        <f>F15*N15</f>
        <v>#N/A</v>
      </c>
      <c r="P15" s="35" t="e">
        <f>IFERROR(INDEX(df_EMBAY_merged_summary!BE:BE,MATCH(A15,df_EMBAY_merged_summary!A:A,0))/1,NA())</f>
        <v>#N/A</v>
      </c>
      <c r="Q15" s="9" t="e">
        <f>O15*AI15</f>
        <v>#N/A</v>
      </c>
      <c r="R15" s="12" t="e">
        <f>Q15/H15</f>
        <v>#N/A</v>
      </c>
      <c r="S15" s="9" t="e">
        <f>AC15*O15</f>
        <v>#DIV/0!</v>
      </c>
      <c r="T15" s="12" t="e">
        <f>$S15/$F15</f>
        <v>#DIV/0!</v>
      </c>
      <c r="U15" s="31" t="e">
        <f>AI15*O15</f>
        <v>#N/A</v>
      </c>
      <c r="V15" s="12" t="e">
        <f>$U15/$H15</f>
        <v>#N/A</v>
      </c>
      <c r="W15" s="30">
        <f>AB15</f>
        <v>0</v>
      </c>
      <c r="X15" s="12" t="e">
        <f>AB15/F15</f>
        <v>#DIV/0!</v>
      </c>
      <c r="Y15" s="12">
        <f>AH15</f>
        <v>0</v>
      </c>
      <c r="Z15" s="12" t="e">
        <f>$Y15/$F15</f>
        <v>#DIV/0!</v>
      </c>
      <c r="AA15" s="3">
        <f>IFERROR(INDEX(df_EMBAY_merged_summary!$AG:$AG,MATCH(A15,df_EMBAY_merged_summary!A:A,0))/1,NA())</f>
        <v>0</v>
      </c>
      <c r="AB15">
        <f>IFERROR(INDEX(df_EMBAY_merged_summary!$AJ:$AJ,MATCH(A15,df_EMBAY_merged_summary!A:A,0))/1,NA())</f>
        <v>0</v>
      </c>
      <c r="AC15" s="7" t="e">
        <f>(AB15/AA15)</f>
        <v>#DIV/0!</v>
      </c>
      <c r="AD15" s="3" t="e">
        <f>IFERROR(INDEX(df_EMBAY_merged_summary!$U:$U,MATCH(A15,df_EMBAY_merged_summary!A:A,0))/1,NA())</f>
        <v>#N/A</v>
      </c>
      <c r="AE15" s="3" t="e">
        <f>IFERROR(INDEX(df_EMBAY_merged_summary!$AB:$AB,MATCH(A15,df_EMBAY_merged_summary!A:A,0))/1,NA())</f>
        <v>#N/A</v>
      </c>
      <c r="AF15" s="3" t="e">
        <f>AD15/M15</f>
        <v>#N/A</v>
      </c>
      <c r="AG15" s="3" t="e">
        <f>AE15/AA15</f>
        <v>#N/A</v>
      </c>
      <c r="AH15" s="3">
        <f>IFERROR(INDEX(df_EMBAY_merged_summary!$AI:$AI,MATCH(A15,df_EMBAY_merged_summary!A:A,0))/1,NA())</f>
        <v>0</v>
      </c>
      <c r="AI15" s="7" t="e">
        <f>AH15/AE15</f>
        <v>#N/A</v>
      </c>
      <c r="AJ15" s="3" t="e">
        <f>(10000*M15*0.692)/365.25</f>
        <v>#N/A</v>
      </c>
      <c r="AK15" t="e">
        <f>(10000*M15*0.692)/365.25/(K15*10000)</f>
        <v>#N/A</v>
      </c>
      <c r="AL15" t="e">
        <f>(10000*AD15*0.692)/365.25/(K15*10000)</f>
        <v>#N/A</v>
      </c>
    </row>
    <row r="16" spans="1:38" x14ac:dyDescent="0.25">
      <c r="A16">
        <f>df_EMBAY_merged_summary!A16</f>
        <v>15</v>
      </c>
      <c r="B16" t="str">
        <f>df_EMBAY_merged_summary!B16</f>
        <v>HerringRiverHarwich</v>
      </c>
      <c r="C16" t="str">
        <f>B16&amp;" ("&amp;A16&amp;")"</f>
        <v>HerringRiverHarwich (15)</v>
      </c>
      <c r="D16">
        <f>INDEX(df_EMBAY_merged_summary!C:C,MATCH(A16,df_EMBAY_merged_summary!A:A,0))</f>
        <v>3865.6556098022302</v>
      </c>
      <c r="E16" s="4" t="b">
        <f>IF(IFERROR(INDEX(df_EMBAY_merged_summary!L:L,MATCH(A16,df_EMBAY_merged_summary!A:A,0))/1,NA())=0,FALSE,TRUE)</f>
        <v>1</v>
      </c>
      <c r="F16" s="27">
        <f>INDEX(df_EMBAY_merged_summary!AG:AG,MATCH(A16,embay!A:A,0))</f>
        <v>22943.544000000002</v>
      </c>
      <c r="G16" s="27">
        <f>F16/D16</f>
        <v>5.9352271169272139</v>
      </c>
      <c r="H16" s="27">
        <f>INDEX(embay!G:G,MATCH(A16,embay!A:A,0))*365.25</f>
        <v>17511.911250000001</v>
      </c>
      <c r="I16" s="28">
        <f>(H16-F16)/F16</f>
        <v>-0.23673904737646462</v>
      </c>
      <c r="J16" s="12" t="b">
        <f>NOT(ISNA(K16))</f>
        <v>1</v>
      </c>
      <c r="K16" s="5">
        <f>IFERROR(INDEX(df_EMBAY_merged_summary!$AN:$AN,MATCH(A16,df_EMBAY_merged_summary!A:A,0))/1,NA())</f>
        <v>54.583302837896703</v>
      </c>
      <c r="L16" s="5">
        <f>IFERROR(INDEX(df_EMBAY_merged_summary!AP:AP,MATCH(A16,df_EMBAY_merged_summary!A:A,0))/1,NA())</f>
        <v>20</v>
      </c>
      <c r="M16" s="3">
        <f>IFERROR(INDEX(df_EMBAY_merged_summary!$AQ:$AQ,MATCH(A16,df_EMBAY_merged_summary!A:A,0))/1,NA())</f>
        <v>747.15</v>
      </c>
      <c r="N16" s="7">
        <f t="shared" si="0"/>
        <v>0.1932789869085686</v>
      </c>
      <c r="O16" s="35">
        <f>F16*N16</f>
        <v>4434.5049404121683</v>
      </c>
      <c r="P16" s="35">
        <f>IFERROR(INDEX(df_EMBAY_merged_summary!BE:BE,MATCH(A16,df_EMBAY_merged_summary!A:A,0))/1,NA())</f>
        <v>3977.4827172638802</v>
      </c>
      <c r="Q16" s="9">
        <f>O16*0.5</f>
        <v>2217.2524702060841</v>
      </c>
      <c r="R16" s="12">
        <f>Q16/F16</f>
        <v>9.6639493454284311E-2</v>
      </c>
      <c r="S16" s="9">
        <f>AC16*O16</f>
        <v>6357.5257163835477</v>
      </c>
      <c r="T16" s="12">
        <f>$S16/$F16</f>
        <v>0.27709431970856585</v>
      </c>
      <c r="U16" s="31">
        <f>AI16*O16</f>
        <v>35209.224627162468</v>
      </c>
      <c r="V16" s="12">
        <f>$U16/$F16</f>
        <v>1.5346027024928</v>
      </c>
      <c r="W16" s="30">
        <f>AB16</f>
        <v>32893</v>
      </c>
      <c r="X16" s="12">
        <f>AB16/F16</f>
        <v>1.4336494832707622</v>
      </c>
      <c r="Y16" s="12">
        <f>AH16</f>
        <v>51069</v>
      </c>
      <c r="Z16" s="12">
        <f>$Y16/$F16</f>
        <v>2.2258549071581966</v>
      </c>
      <c r="AA16" s="3">
        <f>IFERROR(INDEX(df_EMBAY_merged_summary!$AG:$AG,MATCH(A16,df_EMBAY_merged_summary!A:A,0))/1,NA())</f>
        <v>22943.544000000002</v>
      </c>
      <c r="AB16">
        <f>IFERROR(INDEX(df_EMBAY_merged_summary!$AJ:$AJ,MATCH(A16,df_EMBAY_merged_summary!A:A,0))/1,NA())</f>
        <v>32893</v>
      </c>
      <c r="AC16" s="7">
        <f>(AB16/AA16)</f>
        <v>1.4336494832707622</v>
      </c>
      <c r="AD16" s="3">
        <f>IFERROR(INDEX(df_EMBAY_merged_summary!$U:$U,MATCH(A16,df_EMBAY_merged_summary!A:A,0))/1,NA())</f>
        <v>62.816000000000003</v>
      </c>
      <c r="AE16" s="3">
        <f>IFERROR(INDEX(df_EMBAY_merged_summary!$AB:$AB,MATCH(A16,df_EMBAY_merged_summary!A:A,0))/1,NA())</f>
        <v>6432</v>
      </c>
      <c r="AF16" s="3">
        <f>AD16/M16</f>
        <v>8.4074148430703349E-2</v>
      </c>
      <c r="AG16" s="3">
        <f>AE16/AA16</f>
        <v>0.28034029965030682</v>
      </c>
      <c r="AH16" s="3">
        <f>IFERROR(INDEX(df_EMBAY_merged_summary!$AI:$AI,MATCH(A16,df_EMBAY_merged_summary!A:A,0))/1,NA())</f>
        <v>51069</v>
      </c>
      <c r="AI16" s="7">
        <f>AH16/AE16</f>
        <v>7.9398320895522385</v>
      </c>
      <c r="AJ16" s="3">
        <f>(10000*M16*0.692)/365.25</f>
        <v>14155.449691991786</v>
      </c>
      <c r="AK16">
        <f>(10000*M16*0.692)/365.25/(K16*10000)</f>
        <v>2.5933662779680275E-2</v>
      </c>
      <c r="AL16">
        <f>(10000*AD16*0.692)/365.25/(K16*10000)</f>
        <v>2.180350613890646E-3</v>
      </c>
    </row>
    <row r="17" spans="1:38" x14ac:dyDescent="0.25">
      <c r="A17">
        <f>df_EMBAY_merged_summary!A17</f>
        <v>16</v>
      </c>
      <c r="B17" t="str">
        <f>df_EMBAY_merged_summary!B17</f>
        <v>LewisBay</v>
      </c>
      <c r="C17" t="str">
        <f>B17&amp;" ("&amp;A17&amp;")"</f>
        <v>LewisBay (16)</v>
      </c>
      <c r="D17">
        <f>INDEX(df_EMBAY_merged_summary!C:C,MATCH(A17,df_EMBAY_merged_summary!A:A,0))</f>
        <v>3534.0988501863799</v>
      </c>
      <c r="E17" s="4" t="b">
        <f>IF(IFERROR(INDEX(df_EMBAY_merged_summary!L:L,MATCH(A17,df_EMBAY_merged_summary!A:A,0))/1,NA())=0,FALSE,TRUE)</f>
        <v>1</v>
      </c>
      <c r="F17" s="27">
        <f>INDEX(df_EMBAY_merged_summary!AG:AG,MATCH(A17,embay!A:A,0))</f>
        <v>48910.26225</v>
      </c>
      <c r="G17" s="27">
        <f>F17/D17</f>
        <v>13.839528638940189</v>
      </c>
      <c r="H17" s="27">
        <f>INDEX(embay!G:G,MATCH(A17,embay!A:A,0))*365.25</f>
        <v>35729.485500000003</v>
      </c>
      <c r="I17" s="28">
        <f>(H17-F17)/F17</f>
        <v>-0.26948898132313731</v>
      </c>
      <c r="J17" s="12" t="b">
        <f>NOT(ISNA(K17))</f>
        <v>0</v>
      </c>
      <c r="K17" s="5" t="e">
        <f>IFERROR(INDEX(df_EMBAY_merged_summary!$AN:$AN,MATCH(A17,df_EMBAY_merged_summary!A:A,0))/1,NA())</f>
        <v>#N/A</v>
      </c>
      <c r="L17" s="5" t="e">
        <f>IFERROR(INDEX(df_EMBAY_merged_summary!AP:AP,MATCH(A17,df_EMBAY_merged_summary!A:A,0))/1,NA())</f>
        <v>#N/A</v>
      </c>
      <c r="M17" s="3" t="e">
        <f>IFERROR(INDEX(df_EMBAY_merged_summary!$AQ:$AQ,MATCH(A17,df_EMBAY_merged_summary!A:A,0))/1,NA())</f>
        <v>#N/A</v>
      </c>
      <c r="N17" s="7" t="e">
        <f t="shared" si="0"/>
        <v>#N/A</v>
      </c>
      <c r="O17" s="35" t="e">
        <f>F17*N17</f>
        <v>#N/A</v>
      </c>
      <c r="P17" s="35" t="e">
        <f>IFERROR(INDEX(df_EMBAY_merged_summary!BE:BE,MATCH(A17,df_EMBAY_merged_summary!A:A,0))/1,NA())</f>
        <v>#N/A</v>
      </c>
      <c r="Q17" s="9" t="e">
        <f>O17*0.5</f>
        <v>#N/A</v>
      </c>
      <c r="R17" s="12" t="e">
        <f>Q17/F17</f>
        <v>#N/A</v>
      </c>
      <c r="S17" s="9" t="e">
        <f>AC17*O17</f>
        <v>#N/A</v>
      </c>
      <c r="T17" s="12" t="e">
        <f>$S17/$F17</f>
        <v>#N/A</v>
      </c>
      <c r="U17" s="31" t="e">
        <f>AI17*O17</f>
        <v>#N/A</v>
      </c>
      <c r="V17" s="12" t="e">
        <f>$U17/$F17</f>
        <v>#N/A</v>
      </c>
      <c r="W17" s="30">
        <f>AB17</f>
        <v>73564</v>
      </c>
      <c r="X17" s="12">
        <f>AB17/F17</f>
        <v>1.5040606330014106</v>
      </c>
      <c r="Y17" s="12">
        <f>AH17</f>
        <v>79741</v>
      </c>
      <c r="Z17" s="12">
        <f>$Y17/$F17</f>
        <v>1.6303531474113084</v>
      </c>
      <c r="AA17" s="3">
        <f>IFERROR(INDEX(df_EMBAY_merged_summary!$AG:$AG,MATCH(A17,df_EMBAY_merged_summary!A:A,0))/1,NA())</f>
        <v>48910.26225</v>
      </c>
      <c r="AB17">
        <f>IFERROR(INDEX(df_EMBAY_merged_summary!$AJ:$AJ,MATCH(A17,df_EMBAY_merged_summary!A:A,0))/1,NA())</f>
        <v>73564</v>
      </c>
      <c r="AC17" s="7">
        <f>(AB17/AA17)</f>
        <v>1.5040606330014106</v>
      </c>
      <c r="AD17" s="3">
        <f>IFERROR(INDEX(df_EMBAY_merged_summary!$U:$U,MATCH(A17,df_EMBAY_merged_summary!A:A,0))/1,NA())</f>
        <v>133.90899999999999</v>
      </c>
      <c r="AE17" s="3">
        <f>IFERROR(INDEX(df_EMBAY_merged_summary!$AB:$AB,MATCH(A17,df_EMBAY_merged_summary!A:A,0))/1,NA())</f>
        <v>6100</v>
      </c>
      <c r="AF17" s="3" t="e">
        <f>AD17/M17</f>
        <v>#N/A</v>
      </c>
      <c r="AG17" s="3">
        <f>AE17/AA17</f>
        <v>0.12471820267126046</v>
      </c>
      <c r="AH17" s="3">
        <f>IFERROR(INDEX(df_EMBAY_merged_summary!$AI:$AI,MATCH(A17,df_EMBAY_merged_summary!A:A,0))/1,NA())</f>
        <v>79741</v>
      </c>
      <c r="AI17" s="7">
        <f>AH17/AE17</f>
        <v>13.072295081967214</v>
      </c>
      <c r="AJ17" s="3" t="e">
        <f>(10000*M17*0.692)/365.25</f>
        <v>#N/A</v>
      </c>
      <c r="AK17" t="e">
        <f>(10000*M17*0.692)/365.25/(K17*10000)</f>
        <v>#N/A</v>
      </c>
      <c r="AL17" t="e">
        <f>(10000*AD17*0.692)/365.25/(K17*10000)</f>
        <v>#N/A</v>
      </c>
    </row>
    <row r="18" spans="1:38" x14ac:dyDescent="0.25">
      <c r="A18">
        <f>df_EMBAY_merged_summary!A18</f>
        <v>17</v>
      </c>
      <c r="B18" t="str">
        <f>df_EMBAY_merged_summary!B18</f>
        <v>LittleNamskaketCreek</v>
      </c>
      <c r="C18" t="str">
        <f>B18&amp;" ("&amp;A18&amp;")"</f>
        <v>LittleNamskaketCreek (17)</v>
      </c>
      <c r="D18">
        <f>INDEX(df_EMBAY_merged_summary!C:C,MATCH(A18,df_EMBAY_merged_summary!A:A,0))</f>
        <v>194.972881445594</v>
      </c>
      <c r="E18" s="4" t="b">
        <f>IF(IFERROR(INDEX(df_EMBAY_merged_summary!L:L,MATCH(A18,df_EMBAY_merged_summary!A:A,0))/1,NA())=0,FALSE,TRUE)</f>
        <v>1</v>
      </c>
      <c r="F18" s="27">
        <f>INDEX(embay!R:R,MATCH(A18,embay!A:A,0))</f>
        <v>0</v>
      </c>
      <c r="G18" s="27">
        <f>F18/D18</f>
        <v>0</v>
      </c>
      <c r="H18" s="27">
        <f>INDEX(embay!G:G,MATCH(A18,embay!A:A,0))*365.25</f>
        <v>0</v>
      </c>
      <c r="I18" s="28" t="e">
        <f>(H18-F18)/F18</f>
        <v>#DIV/0!</v>
      </c>
      <c r="J18" s="12" t="b">
        <f>NOT(ISNA(K18))</f>
        <v>0</v>
      </c>
      <c r="K18" s="5" t="e">
        <f>IFERROR(INDEX(df_EMBAY_merged_summary!$AN:$AN,MATCH(A18,df_EMBAY_merged_summary!A:A,0))/1,NA())</f>
        <v>#N/A</v>
      </c>
      <c r="L18" s="5" t="e">
        <f>IFERROR(INDEX(df_EMBAY_merged_summary!AP:AP,MATCH(A18,df_EMBAY_merged_summary!A:A,0))/1,NA())</f>
        <v>#N/A</v>
      </c>
      <c r="M18" s="3" t="e">
        <f>IFERROR(INDEX(df_EMBAY_merged_summary!$AQ:$AQ,MATCH(A18,df_EMBAY_merged_summary!A:A,0))/1,NA())</f>
        <v>#N/A</v>
      </c>
      <c r="N18" s="7" t="e">
        <f t="shared" si="0"/>
        <v>#N/A</v>
      </c>
      <c r="O18" s="4" t="e">
        <f>F18*N18</f>
        <v>#N/A</v>
      </c>
      <c r="P18" s="35" t="e">
        <f>IFERROR(INDEX(df_EMBAY_merged_summary!BE:BE,MATCH(A18,df_EMBAY_merged_summary!A:A,0))/1,NA())</f>
        <v>#N/A</v>
      </c>
      <c r="Q18" s="9" t="e">
        <f>O18*AI18</f>
        <v>#N/A</v>
      </c>
      <c r="R18" s="12" t="e">
        <f>Q18/H18</f>
        <v>#N/A</v>
      </c>
      <c r="S18" s="9" t="e">
        <f>AC18*O18</f>
        <v>#DIV/0!</v>
      </c>
      <c r="T18" s="12" t="e">
        <f>$S18/$F18</f>
        <v>#DIV/0!</v>
      </c>
      <c r="U18" s="31" t="e">
        <f>AI18*O18</f>
        <v>#N/A</v>
      </c>
      <c r="V18" s="12" t="e">
        <f>$U18/$H18</f>
        <v>#N/A</v>
      </c>
      <c r="W18" s="30">
        <f>AB18</f>
        <v>0</v>
      </c>
      <c r="X18" s="12" t="e">
        <f>AB18/F18</f>
        <v>#DIV/0!</v>
      </c>
      <c r="Y18" s="12">
        <f>AH18</f>
        <v>0</v>
      </c>
      <c r="Z18" s="12" t="e">
        <f>$Y18/$F18</f>
        <v>#DIV/0!</v>
      </c>
      <c r="AA18" s="3">
        <f>IFERROR(INDEX(df_EMBAY_merged_summary!$AG:$AG,MATCH(A18,df_EMBAY_merged_summary!A:A,0))/1,NA())</f>
        <v>0</v>
      </c>
      <c r="AB18">
        <f>IFERROR(INDEX(df_EMBAY_merged_summary!$AJ:$AJ,MATCH(A18,df_EMBAY_merged_summary!A:A,0))/1,NA())</f>
        <v>0</v>
      </c>
      <c r="AC18" s="7" t="e">
        <f>(AB18/AA18)</f>
        <v>#DIV/0!</v>
      </c>
      <c r="AD18" s="3" t="e">
        <f>IFERROR(INDEX(df_EMBAY_merged_summary!$U:$U,MATCH(A18,df_EMBAY_merged_summary!A:A,0))/1,NA())</f>
        <v>#N/A</v>
      </c>
      <c r="AE18" s="3" t="e">
        <f>IFERROR(INDEX(df_EMBAY_merged_summary!$AB:$AB,MATCH(A18,df_EMBAY_merged_summary!A:A,0))/1,NA())</f>
        <v>#N/A</v>
      </c>
      <c r="AF18" s="3" t="e">
        <f>AD18/M18</f>
        <v>#N/A</v>
      </c>
      <c r="AG18" s="3" t="e">
        <f>AE18/AA18</f>
        <v>#N/A</v>
      </c>
      <c r="AH18" s="3">
        <f>IFERROR(INDEX(df_EMBAY_merged_summary!$AI:$AI,MATCH(A18,df_EMBAY_merged_summary!A:A,0))/1,NA())</f>
        <v>0</v>
      </c>
      <c r="AI18" s="7" t="e">
        <f>AH18/AE18</f>
        <v>#N/A</v>
      </c>
      <c r="AJ18" s="3" t="e">
        <f>(10000*M18*0.692)/365.25</f>
        <v>#N/A</v>
      </c>
      <c r="AK18" t="e">
        <f>(10000*M18*0.692)/365.25/(K18*10000)</f>
        <v>#N/A</v>
      </c>
      <c r="AL18" t="e">
        <f>(10000*AD18*0.692)/365.25/(K18*10000)</f>
        <v>#N/A</v>
      </c>
    </row>
    <row r="19" spans="1:38" x14ac:dyDescent="0.25">
      <c r="A19">
        <f>df_EMBAY_merged_summary!A19</f>
        <v>18</v>
      </c>
      <c r="B19" t="str">
        <f>df_EMBAY_merged_summary!B19</f>
        <v>LittlePond</v>
      </c>
      <c r="C19" t="str">
        <f>B19&amp;" ("&amp;A19&amp;")"</f>
        <v>LittlePond (18)</v>
      </c>
      <c r="D19">
        <f>INDEX(df_EMBAY_merged_summary!C:C,MATCH(A19,df_EMBAY_merged_summary!A:A,0))</f>
        <v>331.93027460467101</v>
      </c>
      <c r="E19" s="4" t="b">
        <f>IF(IFERROR(INDEX(df_EMBAY_merged_summary!L:L,MATCH(A19,df_EMBAY_merged_summary!A:A,0))/1,NA())=0,FALSE,TRUE)</f>
        <v>1</v>
      </c>
      <c r="F19" s="27">
        <f>INDEX(embay!R:R,MATCH(A19,embay!A:A,0))</f>
        <v>0</v>
      </c>
      <c r="G19" s="27">
        <f>F19/D19</f>
        <v>0</v>
      </c>
      <c r="H19" s="27">
        <f>INDEX(embay!G:G,MATCH(A19,embay!A:A,0))*365.25</f>
        <v>0</v>
      </c>
      <c r="I19" s="28" t="e">
        <f>(H19-F19)/F19</f>
        <v>#DIV/0!</v>
      </c>
      <c r="J19" s="12" t="b">
        <f>NOT(ISNA(K19))</f>
        <v>0</v>
      </c>
      <c r="K19" s="5" t="e">
        <f>IFERROR(INDEX(df_EMBAY_merged_summary!$AN:$AN,MATCH(A19,df_EMBAY_merged_summary!A:A,0))/1,NA())</f>
        <v>#N/A</v>
      </c>
      <c r="L19" s="5" t="e">
        <f>IFERROR(INDEX(df_EMBAY_merged_summary!AP:AP,MATCH(A19,df_EMBAY_merged_summary!A:A,0))/1,NA())</f>
        <v>#N/A</v>
      </c>
      <c r="M19" s="3" t="e">
        <f>IFERROR(INDEX(df_EMBAY_merged_summary!$AQ:$AQ,MATCH(A19,df_EMBAY_merged_summary!A:A,0))/1,NA())</f>
        <v>#N/A</v>
      </c>
      <c r="N19" s="7" t="e">
        <f t="shared" si="0"/>
        <v>#N/A</v>
      </c>
      <c r="O19" s="4" t="e">
        <f>F19*N19</f>
        <v>#N/A</v>
      </c>
      <c r="P19" s="35" t="e">
        <f>IFERROR(INDEX(df_EMBAY_merged_summary!BE:BE,MATCH(A19,df_EMBAY_merged_summary!A:A,0))/1,NA())</f>
        <v>#N/A</v>
      </c>
      <c r="Q19" s="9" t="e">
        <f>O19*AI19</f>
        <v>#N/A</v>
      </c>
      <c r="R19" s="12" t="e">
        <f>Q19/H19</f>
        <v>#N/A</v>
      </c>
      <c r="S19" s="9" t="e">
        <f>AC19*O19</f>
        <v>#DIV/0!</v>
      </c>
      <c r="T19" s="12" t="e">
        <f>$S19/$F19</f>
        <v>#DIV/0!</v>
      </c>
      <c r="U19" s="31" t="e">
        <f>AI19*O19</f>
        <v>#N/A</v>
      </c>
      <c r="V19" s="12" t="e">
        <f>$U19/$H19</f>
        <v>#N/A</v>
      </c>
      <c r="W19" s="30">
        <f>AB19</f>
        <v>0</v>
      </c>
      <c r="X19" s="12" t="e">
        <f>AB19/F19</f>
        <v>#DIV/0!</v>
      </c>
      <c r="Y19" s="12">
        <f>AH19</f>
        <v>0</v>
      </c>
      <c r="Z19" s="12" t="e">
        <f>$Y19/$F19</f>
        <v>#DIV/0!</v>
      </c>
      <c r="AA19" s="3">
        <f>IFERROR(INDEX(df_EMBAY_merged_summary!$AG:$AG,MATCH(A19,df_EMBAY_merged_summary!A:A,0))/1,NA())</f>
        <v>0</v>
      </c>
      <c r="AB19">
        <f>IFERROR(INDEX(df_EMBAY_merged_summary!$AJ:$AJ,MATCH(A19,df_EMBAY_merged_summary!A:A,0))/1,NA())</f>
        <v>0</v>
      </c>
      <c r="AC19" s="7" t="e">
        <f>(AB19/AA19)</f>
        <v>#DIV/0!</v>
      </c>
      <c r="AD19" s="3" t="e">
        <f>IFERROR(INDEX(df_EMBAY_merged_summary!$U:$U,MATCH(A19,df_EMBAY_merged_summary!A:A,0))/1,NA())</f>
        <v>#N/A</v>
      </c>
      <c r="AE19" s="3" t="e">
        <f>IFERROR(INDEX(df_EMBAY_merged_summary!$AB:$AB,MATCH(A19,df_EMBAY_merged_summary!A:A,0))/1,NA())</f>
        <v>#N/A</v>
      </c>
      <c r="AF19" s="3" t="e">
        <f>AD19/M19</f>
        <v>#N/A</v>
      </c>
      <c r="AG19" s="3" t="e">
        <f>AE19/AA19</f>
        <v>#N/A</v>
      </c>
      <c r="AH19" s="3">
        <f>IFERROR(INDEX(df_EMBAY_merged_summary!$AI:$AI,MATCH(A19,df_EMBAY_merged_summary!A:A,0))/1,NA())</f>
        <v>0</v>
      </c>
      <c r="AI19" s="7" t="e">
        <f>AH19/AE19</f>
        <v>#N/A</v>
      </c>
      <c r="AJ19" s="3" t="e">
        <f>(10000*M19*0.692)/365.25</f>
        <v>#N/A</v>
      </c>
      <c r="AK19" t="e">
        <f>(10000*M19*0.692)/365.25/(K19*10000)</f>
        <v>#N/A</v>
      </c>
      <c r="AL19" t="e">
        <f>(10000*AD19*0.692)/365.25/(K19*10000)</f>
        <v>#N/A</v>
      </c>
    </row>
    <row r="20" spans="1:38" x14ac:dyDescent="0.25">
      <c r="A20">
        <f>df_EMBAY_merged_summary!A20</f>
        <v>19</v>
      </c>
      <c r="B20" t="str">
        <f>df_EMBAY_merged_summary!B20</f>
        <v>LittleSippewissettMarsh</v>
      </c>
      <c r="C20" t="str">
        <f>B20&amp;" ("&amp;A20&amp;")"</f>
        <v>LittleSippewissettMarsh (19)</v>
      </c>
      <c r="D20">
        <f>INDEX(df_EMBAY_merged_summary!C:C,MATCH(A20,df_EMBAY_merged_summary!A:A,0))</f>
        <v>688.52720486422902</v>
      </c>
      <c r="E20" s="4" t="b">
        <f>IF(IFERROR(INDEX(df_EMBAY_merged_summary!L:L,MATCH(A20,df_EMBAY_merged_summary!A:A,0))/1,NA())=0,FALSE,TRUE)</f>
        <v>0</v>
      </c>
      <c r="F20" s="27">
        <f>INDEX(embay!R:R,MATCH(A20,embay!A:A,0))</f>
        <v>0</v>
      </c>
      <c r="G20" s="27">
        <f>F20/D20</f>
        <v>0</v>
      </c>
      <c r="H20" s="27">
        <f>INDEX(embay!G:G,MATCH(A20,embay!A:A,0))*365.25</f>
        <v>0</v>
      </c>
      <c r="I20" s="28" t="e">
        <f>(H20-F20)/F20</f>
        <v>#DIV/0!</v>
      </c>
      <c r="J20" s="12" t="b">
        <f>NOT(ISNA(K20))</f>
        <v>0</v>
      </c>
      <c r="K20" s="5" t="e">
        <f>IFERROR(INDEX(df_EMBAY_merged_summary!$AN:$AN,MATCH(A20,df_EMBAY_merged_summary!A:A,0))/1,NA())</f>
        <v>#N/A</v>
      </c>
      <c r="L20" s="5" t="e">
        <f>IFERROR(INDEX(df_EMBAY_merged_summary!AP:AP,MATCH(A20,df_EMBAY_merged_summary!A:A,0))/1,NA())</f>
        <v>#N/A</v>
      </c>
      <c r="M20" s="3" t="e">
        <f>IFERROR(INDEX(df_EMBAY_merged_summary!$AQ:$AQ,MATCH(A20,df_EMBAY_merged_summary!A:A,0))/1,NA())</f>
        <v>#N/A</v>
      </c>
      <c r="N20" s="7" t="e">
        <f t="shared" si="0"/>
        <v>#N/A</v>
      </c>
      <c r="O20" s="4" t="e">
        <f>F20*N20</f>
        <v>#N/A</v>
      </c>
      <c r="P20" s="35" t="e">
        <f>IFERROR(INDEX(df_EMBAY_merged_summary!BE:BE,MATCH(A20,df_EMBAY_merged_summary!A:A,0))/1,NA())</f>
        <v>#N/A</v>
      </c>
      <c r="Q20" s="9" t="e">
        <f>O20*AI20</f>
        <v>#N/A</v>
      </c>
      <c r="R20" s="12" t="e">
        <f>Q20/H20</f>
        <v>#N/A</v>
      </c>
      <c r="S20" s="9" t="e">
        <f>AC20*O20</f>
        <v>#DIV/0!</v>
      </c>
      <c r="T20" s="12" t="e">
        <f>$S20/$F20</f>
        <v>#DIV/0!</v>
      </c>
      <c r="U20" s="31" t="e">
        <f>AI20*O20</f>
        <v>#N/A</v>
      </c>
      <c r="V20" s="12" t="e">
        <f>$U20/$H20</f>
        <v>#N/A</v>
      </c>
      <c r="W20" s="30">
        <f>AB20</f>
        <v>0</v>
      </c>
      <c r="X20" s="12" t="e">
        <f>AB20/F20</f>
        <v>#DIV/0!</v>
      </c>
      <c r="Y20" s="12">
        <f>AH20</f>
        <v>0</v>
      </c>
      <c r="Z20" s="12" t="e">
        <f>$Y20/$F20</f>
        <v>#DIV/0!</v>
      </c>
      <c r="AA20" s="3">
        <f>IFERROR(INDEX(df_EMBAY_merged_summary!$AG:$AG,MATCH(A20,df_EMBAY_merged_summary!A:A,0))/1,NA())</f>
        <v>0</v>
      </c>
      <c r="AB20">
        <f>IFERROR(INDEX(df_EMBAY_merged_summary!$AJ:$AJ,MATCH(A20,df_EMBAY_merged_summary!A:A,0))/1,NA())</f>
        <v>0</v>
      </c>
      <c r="AC20" s="7" t="e">
        <f>(AB20/AA20)</f>
        <v>#DIV/0!</v>
      </c>
      <c r="AD20" s="3" t="e">
        <f>IFERROR(INDEX(df_EMBAY_merged_summary!$U:$U,MATCH(A20,df_EMBAY_merged_summary!A:A,0))/1,NA())</f>
        <v>#N/A</v>
      </c>
      <c r="AE20" s="3" t="e">
        <f>IFERROR(INDEX(df_EMBAY_merged_summary!$AB:$AB,MATCH(A20,df_EMBAY_merged_summary!A:A,0))/1,NA())</f>
        <v>#N/A</v>
      </c>
      <c r="AF20" s="3" t="e">
        <f>AD20/M20</f>
        <v>#N/A</v>
      </c>
      <c r="AG20" s="3" t="e">
        <f>AE20/AA20</f>
        <v>#N/A</v>
      </c>
      <c r="AH20" s="3">
        <f>IFERROR(INDEX(df_EMBAY_merged_summary!$AI:$AI,MATCH(A20,df_EMBAY_merged_summary!A:A,0))/1,NA())</f>
        <v>0</v>
      </c>
      <c r="AI20" s="7" t="e">
        <f>AH20/AE20</f>
        <v>#N/A</v>
      </c>
      <c r="AJ20" s="3" t="e">
        <f>(10000*M20*0.692)/365.25</f>
        <v>#N/A</v>
      </c>
      <c r="AK20" t="e">
        <f>(10000*M20*0.692)/365.25/(K20*10000)</f>
        <v>#N/A</v>
      </c>
      <c r="AL20" t="e">
        <f>(10000*AD20*0.692)/365.25/(K20*10000)</f>
        <v>#N/A</v>
      </c>
    </row>
    <row r="21" spans="1:38" x14ac:dyDescent="0.25">
      <c r="A21">
        <f>df_EMBAY_merged_summary!A21</f>
        <v>20</v>
      </c>
      <c r="B21" t="str">
        <f>df_EMBAY_merged_summary!B21</f>
        <v>MegansettHarbor</v>
      </c>
      <c r="C21" t="str">
        <f>B21&amp;" ("&amp;A21&amp;")"</f>
        <v>MegansettHarbor (20)</v>
      </c>
      <c r="D21">
        <f>INDEX(df_EMBAY_merged_summary!C:C,MATCH(A21,df_EMBAY_merged_summary!A:A,0))</f>
        <v>1099.5059152783599</v>
      </c>
      <c r="E21" s="4" t="b">
        <f>IF(IFERROR(INDEX(df_EMBAY_merged_summary!L:L,MATCH(A21,df_EMBAY_merged_summary!A:A,0))/1,NA())=0,FALSE,TRUE)</f>
        <v>1</v>
      </c>
      <c r="F21" s="27">
        <f>INDEX(embay!R:R,MATCH(A21,embay!A:A,0))</f>
        <v>0</v>
      </c>
      <c r="G21" s="27">
        <f>F21/D21</f>
        <v>0</v>
      </c>
      <c r="H21" s="27">
        <f>INDEX(embay!G:G,MATCH(A21,embay!A:A,0))*365.25</f>
        <v>0</v>
      </c>
      <c r="I21" s="28" t="e">
        <f>(H21-F21)/F21</f>
        <v>#DIV/0!</v>
      </c>
      <c r="J21" s="12" t="b">
        <f>NOT(ISNA(K21))</f>
        <v>0</v>
      </c>
      <c r="K21" s="5" t="e">
        <f>IFERROR(INDEX(df_EMBAY_merged_summary!$AN:$AN,MATCH(A21,df_EMBAY_merged_summary!A:A,0))/1,NA())</f>
        <v>#N/A</v>
      </c>
      <c r="L21" s="5" t="e">
        <f>IFERROR(INDEX(df_EMBAY_merged_summary!AP:AP,MATCH(A21,df_EMBAY_merged_summary!A:A,0))/1,NA())</f>
        <v>#N/A</v>
      </c>
      <c r="M21" s="3" t="e">
        <f>IFERROR(INDEX(df_EMBAY_merged_summary!$AQ:$AQ,MATCH(A21,df_EMBAY_merged_summary!A:A,0))/1,NA())</f>
        <v>#N/A</v>
      </c>
      <c r="N21" s="7" t="e">
        <f t="shared" si="0"/>
        <v>#N/A</v>
      </c>
      <c r="O21" s="4" t="e">
        <f>F21*N21</f>
        <v>#N/A</v>
      </c>
      <c r="P21" s="35" t="e">
        <f>IFERROR(INDEX(df_EMBAY_merged_summary!BE:BE,MATCH(A21,df_EMBAY_merged_summary!A:A,0))/1,NA())</f>
        <v>#N/A</v>
      </c>
      <c r="Q21" s="9" t="e">
        <f>O21*AI21</f>
        <v>#N/A</v>
      </c>
      <c r="R21" s="12" t="e">
        <f>Q21/H21</f>
        <v>#N/A</v>
      </c>
      <c r="S21" s="9" t="e">
        <f>AC21*O21</f>
        <v>#DIV/0!</v>
      </c>
      <c r="T21" s="12" t="e">
        <f>$S21/$F21</f>
        <v>#DIV/0!</v>
      </c>
      <c r="U21" s="31" t="e">
        <f>AI21*O21</f>
        <v>#N/A</v>
      </c>
      <c r="V21" s="12" t="e">
        <f>$U21/$H21</f>
        <v>#N/A</v>
      </c>
      <c r="W21" s="30">
        <f>AB21</f>
        <v>0</v>
      </c>
      <c r="X21" s="12" t="e">
        <f>AB21/F21</f>
        <v>#DIV/0!</v>
      </c>
      <c r="Y21" s="12">
        <f>AH21</f>
        <v>0</v>
      </c>
      <c r="Z21" s="12" t="e">
        <f>$Y21/$F21</f>
        <v>#DIV/0!</v>
      </c>
      <c r="AA21" s="3">
        <f>IFERROR(INDEX(df_EMBAY_merged_summary!$AG:$AG,MATCH(A21,df_EMBAY_merged_summary!A:A,0))/1,NA())</f>
        <v>0</v>
      </c>
      <c r="AB21">
        <f>IFERROR(INDEX(df_EMBAY_merged_summary!$AJ:$AJ,MATCH(A21,df_EMBAY_merged_summary!A:A,0))/1,NA())</f>
        <v>0</v>
      </c>
      <c r="AC21" s="7" t="e">
        <f>(AB21/AA21)</f>
        <v>#DIV/0!</v>
      </c>
      <c r="AD21" s="3" t="e">
        <f>IFERROR(INDEX(df_EMBAY_merged_summary!$U:$U,MATCH(A21,df_EMBAY_merged_summary!A:A,0))/1,NA())</f>
        <v>#N/A</v>
      </c>
      <c r="AE21" s="3" t="e">
        <f>IFERROR(INDEX(df_EMBAY_merged_summary!$AB:$AB,MATCH(A21,df_EMBAY_merged_summary!A:A,0))/1,NA())</f>
        <v>#N/A</v>
      </c>
      <c r="AF21" s="3" t="e">
        <f>AD21/M21</f>
        <v>#N/A</v>
      </c>
      <c r="AG21" s="3" t="e">
        <f>AE21/AA21</f>
        <v>#N/A</v>
      </c>
      <c r="AH21" s="3">
        <f>IFERROR(INDEX(df_EMBAY_merged_summary!$AI:$AI,MATCH(A21,df_EMBAY_merged_summary!A:A,0))/1,NA())</f>
        <v>0</v>
      </c>
      <c r="AI21" s="7" t="e">
        <f>AH21/AE21</f>
        <v>#N/A</v>
      </c>
      <c r="AJ21" s="3" t="e">
        <f>(10000*M21*0.692)/365.25</f>
        <v>#N/A</v>
      </c>
      <c r="AK21" t="e">
        <f>(10000*M21*0.692)/365.25/(K21*10000)</f>
        <v>#N/A</v>
      </c>
      <c r="AL21" t="e">
        <f>(10000*AD21*0.692)/365.25/(K21*10000)</f>
        <v>#N/A</v>
      </c>
    </row>
    <row r="22" spans="1:38" x14ac:dyDescent="0.25">
      <c r="A22">
        <f>df_EMBAY_merged_summary!A22</f>
        <v>21</v>
      </c>
      <c r="B22" t="str">
        <f>df_EMBAY_merged_summary!B22</f>
        <v>NamskaketCreek</v>
      </c>
      <c r="C22" t="str">
        <f>B22&amp;" ("&amp;A22&amp;")"</f>
        <v>NamskaketCreek (21)</v>
      </c>
      <c r="D22">
        <f>INDEX(df_EMBAY_merged_summary!C:C,MATCH(A22,df_EMBAY_merged_summary!A:A,0))</f>
        <v>629.73904350898897</v>
      </c>
      <c r="E22" s="4" t="b">
        <f>IF(IFERROR(INDEX(df_EMBAY_merged_summary!L:L,MATCH(A22,df_EMBAY_merged_summary!A:A,0))/1,NA())=0,FALSE,TRUE)</f>
        <v>1</v>
      </c>
      <c r="F22" s="27">
        <f>INDEX(df_EMBAY_merged_summary!AG:AG,MATCH(A22,embay!A:A,0))</f>
        <v>4633.19625</v>
      </c>
      <c r="G22" s="27">
        <f>F22/D22</f>
        <v>7.3573272893851707</v>
      </c>
      <c r="H22" s="27">
        <f>INDEX(embay!G:G,MATCH(A22,embay!A:A,0))*365.25</f>
        <v>16761.322499999998</v>
      </c>
      <c r="I22" s="28">
        <f>(H22-F22)/F22</f>
        <v>2.6176586519511229</v>
      </c>
      <c r="J22" s="12" t="b">
        <f>NOT(ISNA(K22))</f>
        <v>1</v>
      </c>
      <c r="K22" s="5">
        <f>IFERROR(INDEX(df_EMBAY_merged_summary!$AN:$AN,MATCH(A22,df_EMBAY_merged_summary!A:A,0))/1,NA())</f>
        <v>1.6761216653302899</v>
      </c>
      <c r="L22" s="5">
        <f>IFERROR(INDEX(df_EMBAY_merged_summary!AP:AP,MATCH(A22,df_EMBAY_merged_summary!A:A,0))/1,NA())</f>
        <v>2</v>
      </c>
      <c r="M22" s="3">
        <f>IFERROR(INDEX(df_EMBAY_merged_summary!$AQ:$AQ,MATCH(A22,df_EMBAY_merged_summary!A:A,0))/1,NA())</f>
        <v>0.71</v>
      </c>
      <c r="N22" s="7">
        <f t="shared" si="0"/>
        <v>1.1274511360194316E-3</v>
      </c>
      <c r="O22" s="35">
        <f>F22*N22</f>
        <v>5.2237023754634704</v>
      </c>
      <c r="P22" s="35">
        <f>IFERROR(INDEX(df_EMBAY_merged_summary!BE:BE,MATCH(A22,df_EMBAY_merged_summary!A:A,0))/1,NA())</f>
        <v>4.5346708905213999</v>
      </c>
      <c r="Q22" s="9">
        <f>O22*0.5</f>
        <v>2.6118511877317352</v>
      </c>
      <c r="R22" s="12">
        <f>Q22/F22</f>
        <v>5.6372556800971581E-4</v>
      </c>
      <c r="S22" s="9">
        <f>AC22*O22</f>
        <v>12.587991933656955</v>
      </c>
      <c r="T22" s="12">
        <f>$S22/$F22</f>
        <v>2.7169131749290687E-3</v>
      </c>
      <c r="U22" s="31">
        <f>AI22*O22</f>
        <v>64.050627588375178</v>
      </c>
      <c r="V22" s="12">
        <f>$U22/$F22</f>
        <v>1.3824285467807495E-2</v>
      </c>
      <c r="W22" s="30">
        <f>AB22</f>
        <v>11165</v>
      </c>
      <c r="X22" s="12">
        <f>AB22/F22</f>
        <v>2.4097835268687358</v>
      </c>
      <c r="Y22" s="12">
        <f>AH22</f>
        <v>12752</v>
      </c>
      <c r="Z22" s="12">
        <f>$Y22/$F22</f>
        <v>2.7523116466305524</v>
      </c>
      <c r="AA22" s="3">
        <f>IFERROR(INDEX(df_EMBAY_merged_summary!$AG:$AG,MATCH(A22,df_EMBAY_merged_summary!A:A,0))/1,NA())</f>
        <v>4633.19625</v>
      </c>
      <c r="AB22">
        <f>IFERROR(INDEX(df_EMBAY_merged_summary!$AJ:$AJ,MATCH(A22,df_EMBAY_merged_summary!A:A,0))/1,NA())</f>
        <v>11165</v>
      </c>
      <c r="AC22" s="7">
        <f>(AB22/AA22)</f>
        <v>2.4097835268687358</v>
      </c>
      <c r="AD22" s="3">
        <f>IFERROR(INDEX(df_EMBAY_merged_summary!$U:$U,MATCH(A22,df_EMBAY_merged_summary!A:A,0))/1,NA())</f>
        <v>12.685</v>
      </c>
      <c r="AE22" s="3">
        <f>IFERROR(INDEX(df_EMBAY_merged_summary!$AB:$AB,MATCH(A22,df_EMBAY_merged_summary!A:A,0))/1,NA())</f>
        <v>1040</v>
      </c>
      <c r="AF22" s="3">
        <f>AD22/M22</f>
        <v>17.866197183098592</v>
      </c>
      <c r="AG22" s="3">
        <f>AE22/AA22</f>
        <v>0.22446707281177652</v>
      </c>
      <c r="AH22" s="3">
        <f>IFERROR(INDEX(df_EMBAY_merged_summary!$AI:$AI,MATCH(A22,df_EMBAY_merged_summary!A:A,0))/1,NA())</f>
        <v>12752</v>
      </c>
      <c r="AI22" s="7">
        <f>AH22/AE22</f>
        <v>12.261538461538462</v>
      </c>
      <c r="AJ22" s="3">
        <f>(10000*M22*0.692)/365.25</f>
        <v>13.45160848733744</v>
      </c>
      <c r="AK22">
        <f>(10000*M22*0.692)/365.25/(K22*10000)</f>
        <v>8.025436795894359E-4</v>
      </c>
      <c r="AL22">
        <f>(10000*AD22*0.692)/365.25/(K22*10000)</f>
        <v>1.4338403627594356E-2</v>
      </c>
    </row>
    <row r="23" spans="1:38" x14ac:dyDescent="0.25">
      <c r="A23">
        <f>df_EMBAY_merged_summary!A23</f>
        <v>22</v>
      </c>
      <c r="B23" t="str">
        <f>df_EMBAY_merged_summary!B23</f>
        <v>NausetMarsh</v>
      </c>
      <c r="C23" t="str">
        <f>B23&amp;" ("&amp;A23&amp;")"</f>
        <v>NausetMarsh (22)</v>
      </c>
      <c r="D23">
        <f>INDEX(df_EMBAY_merged_summary!C:C,MATCH(A23,df_EMBAY_merged_summary!A:A,0))</f>
        <v>1918.0114797204401</v>
      </c>
      <c r="E23" s="4" t="b">
        <f>IF(IFERROR(INDEX(df_EMBAY_merged_summary!L:L,MATCH(A23,df_EMBAY_merged_summary!A:A,0))/1,NA())=0,FALSE,TRUE)</f>
        <v>1</v>
      </c>
      <c r="F23" s="27">
        <f>INDEX(embay!R:R,MATCH(A23,embay!A:A,0))</f>
        <v>0</v>
      </c>
      <c r="G23" s="27">
        <f>F23/D23</f>
        <v>0</v>
      </c>
      <c r="H23" s="27">
        <f>INDEX(embay!G:G,MATCH(A23,embay!A:A,0))*365.25</f>
        <v>0</v>
      </c>
      <c r="I23" s="28" t="e">
        <f>(H23-F23)/F23</f>
        <v>#DIV/0!</v>
      </c>
      <c r="J23" s="12" t="b">
        <f>NOT(ISNA(K23))</f>
        <v>0</v>
      </c>
      <c r="K23" s="5" t="e">
        <f>IFERROR(INDEX(df_EMBAY_merged_summary!$AN:$AN,MATCH(A23,df_EMBAY_merged_summary!A:A,0))/1,NA())</f>
        <v>#N/A</v>
      </c>
      <c r="L23" s="5" t="e">
        <f>IFERROR(INDEX(df_EMBAY_merged_summary!AP:AP,MATCH(A23,df_EMBAY_merged_summary!A:A,0))/1,NA())</f>
        <v>#N/A</v>
      </c>
      <c r="M23" s="3" t="e">
        <f>IFERROR(INDEX(df_EMBAY_merged_summary!$AQ:$AQ,MATCH(A23,df_EMBAY_merged_summary!A:A,0))/1,NA())</f>
        <v>#N/A</v>
      </c>
      <c r="N23" s="7" t="e">
        <f t="shared" si="0"/>
        <v>#N/A</v>
      </c>
      <c r="O23" s="4" t="e">
        <f>F23*N23</f>
        <v>#N/A</v>
      </c>
      <c r="P23" s="35" t="e">
        <f>IFERROR(INDEX(df_EMBAY_merged_summary!BE:BE,MATCH(A23,df_EMBAY_merged_summary!A:A,0))/1,NA())</f>
        <v>#N/A</v>
      </c>
      <c r="Q23" s="9" t="e">
        <f>O23*AI23</f>
        <v>#N/A</v>
      </c>
      <c r="R23" s="12" t="e">
        <f>Q23/H23</f>
        <v>#N/A</v>
      </c>
      <c r="S23" s="9" t="e">
        <f>AC23*O23</f>
        <v>#DIV/0!</v>
      </c>
      <c r="T23" s="12" t="e">
        <f>$S23/$F23</f>
        <v>#DIV/0!</v>
      </c>
      <c r="U23" s="31" t="e">
        <f>AI23*O23</f>
        <v>#N/A</v>
      </c>
      <c r="V23" s="12" t="e">
        <f>$U23/$H23</f>
        <v>#N/A</v>
      </c>
      <c r="W23" s="30">
        <f>AB23</f>
        <v>0</v>
      </c>
      <c r="X23" s="12" t="e">
        <f>AB23/F23</f>
        <v>#DIV/0!</v>
      </c>
      <c r="Y23" s="12">
        <f>AH23</f>
        <v>0</v>
      </c>
      <c r="Z23" s="12" t="e">
        <f>$Y23/$F23</f>
        <v>#DIV/0!</v>
      </c>
      <c r="AA23" s="3">
        <f>IFERROR(INDEX(df_EMBAY_merged_summary!$AG:$AG,MATCH(A23,df_EMBAY_merged_summary!A:A,0))/1,NA())</f>
        <v>0</v>
      </c>
      <c r="AB23">
        <f>IFERROR(INDEX(df_EMBAY_merged_summary!$AJ:$AJ,MATCH(A23,df_EMBAY_merged_summary!A:A,0))/1,NA())</f>
        <v>0</v>
      </c>
      <c r="AC23" s="7" t="e">
        <f>(AB23/AA23)</f>
        <v>#DIV/0!</v>
      </c>
      <c r="AD23" s="3" t="e">
        <f>IFERROR(INDEX(df_EMBAY_merged_summary!$U:$U,MATCH(A23,df_EMBAY_merged_summary!A:A,0))/1,NA())</f>
        <v>#N/A</v>
      </c>
      <c r="AE23" s="3" t="e">
        <f>IFERROR(INDEX(df_EMBAY_merged_summary!$AB:$AB,MATCH(A23,df_EMBAY_merged_summary!A:A,0))/1,NA())</f>
        <v>#N/A</v>
      </c>
      <c r="AF23" s="3" t="e">
        <f>AD23/M23</f>
        <v>#N/A</v>
      </c>
      <c r="AG23" s="3" t="e">
        <f>AE23/AA23</f>
        <v>#N/A</v>
      </c>
      <c r="AH23" s="3">
        <f>IFERROR(INDEX(df_EMBAY_merged_summary!$AI:$AI,MATCH(A23,df_EMBAY_merged_summary!A:A,0))/1,NA())</f>
        <v>0</v>
      </c>
      <c r="AI23" s="7" t="e">
        <f>AH23/AE23</f>
        <v>#N/A</v>
      </c>
      <c r="AJ23" s="3" t="e">
        <f>(10000*M23*0.692)/365.25</f>
        <v>#N/A</v>
      </c>
      <c r="AK23" t="e">
        <f>(10000*M23*0.692)/365.25/(K23*10000)</f>
        <v>#N/A</v>
      </c>
      <c r="AL23" t="e">
        <f>(10000*AD23*0.692)/365.25/(K23*10000)</f>
        <v>#N/A</v>
      </c>
    </row>
    <row r="24" spans="1:38" x14ac:dyDescent="0.25">
      <c r="A24">
        <f>df_EMBAY_merged_summary!A24</f>
        <v>23</v>
      </c>
      <c r="B24" t="str">
        <f>df_EMBAY_merged_summary!B24</f>
        <v>OysterPond</v>
      </c>
      <c r="C24" t="str">
        <f>B24&amp;" ("&amp;A24&amp;")"</f>
        <v>OysterPond (23)</v>
      </c>
      <c r="D24">
        <f>INDEX(df_EMBAY_merged_summary!C:C,MATCH(A24,df_EMBAY_merged_summary!A:A,0))</f>
        <v>162.41732979864</v>
      </c>
      <c r="E24" s="4" t="b">
        <f>IF(IFERROR(INDEX(df_EMBAY_merged_summary!L:L,MATCH(A24,df_EMBAY_merged_summary!A:A,0))/1,NA())=0,FALSE,TRUE)</f>
        <v>1</v>
      </c>
      <c r="F24" s="27">
        <f>INDEX(embay!R:R,MATCH(A24,embay!A:A,0))</f>
        <v>0</v>
      </c>
      <c r="G24" s="27">
        <f>F24/D24</f>
        <v>0</v>
      </c>
      <c r="H24" s="27">
        <f>INDEX(embay!G:G,MATCH(A24,embay!A:A,0))*365.25</f>
        <v>0</v>
      </c>
      <c r="I24" s="28" t="e">
        <f>(H24-F24)/F24</f>
        <v>#DIV/0!</v>
      </c>
      <c r="J24" s="12" t="b">
        <f>NOT(ISNA(K24))</f>
        <v>0</v>
      </c>
      <c r="K24" s="5" t="e">
        <f>IFERROR(INDEX(df_EMBAY_merged_summary!$AN:$AN,MATCH(A24,df_EMBAY_merged_summary!A:A,0))/1,NA())</f>
        <v>#N/A</v>
      </c>
      <c r="L24" s="5" t="e">
        <f>IFERROR(INDEX(df_EMBAY_merged_summary!AP:AP,MATCH(A24,df_EMBAY_merged_summary!A:A,0))/1,NA())</f>
        <v>#N/A</v>
      </c>
      <c r="M24" s="3" t="e">
        <f>IFERROR(INDEX(df_EMBAY_merged_summary!$AQ:$AQ,MATCH(A24,df_EMBAY_merged_summary!A:A,0))/1,NA())</f>
        <v>#N/A</v>
      </c>
      <c r="N24" s="7" t="e">
        <f t="shared" si="0"/>
        <v>#N/A</v>
      </c>
      <c r="O24" s="4" t="e">
        <f>F24*N24</f>
        <v>#N/A</v>
      </c>
      <c r="P24" s="35" t="e">
        <f>IFERROR(INDEX(df_EMBAY_merged_summary!BE:BE,MATCH(A24,df_EMBAY_merged_summary!A:A,0))/1,NA())</f>
        <v>#N/A</v>
      </c>
      <c r="Q24" s="9" t="e">
        <f>O24*AI24</f>
        <v>#N/A</v>
      </c>
      <c r="R24" s="12" t="e">
        <f>Q24/H24</f>
        <v>#N/A</v>
      </c>
      <c r="S24" s="9" t="e">
        <f>AC24*O24</f>
        <v>#DIV/0!</v>
      </c>
      <c r="T24" s="12" t="e">
        <f>$S24/$F24</f>
        <v>#DIV/0!</v>
      </c>
      <c r="U24" s="31" t="e">
        <f>AI24*O24</f>
        <v>#N/A</v>
      </c>
      <c r="V24" s="12" t="e">
        <f>$U24/$H24</f>
        <v>#N/A</v>
      </c>
      <c r="W24" s="30">
        <f>AB24</f>
        <v>0</v>
      </c>
      <c r="X24" s="12" t="e">
        <f>AB24/F24</f>
        <v>#DIV/0!</v>
      </c>
      <c r="Y24" s="12">
        <f>AH24</f>
        <v>0</v>
      </c>
      <c r="Z24" s="12" t="e">
        <f>$Y24/$F24</f>
        <v>#DIV/0!</v>
      </c>
      <c r="AA24" s="3">
        <f>IFERROR(INDEX(df_EMBAY_merged_summary!$AG:$AG,MATCH(A24,df_EMBAY_merged_summary!A:A,0))/1,NA())</f>
        <v>0</v>
      </c>
      <c r="AB24">
        <f>IFERROR(INDEX(df_EMBAY_merged_summary!$AJ:$AJ,MATCH(A24,df_EMBAY_merged_summary!A:A,0))/1,NA())</f>
        <v>0</v>
      </c>
      <c r="AC24" s="7" t="e">
        <f>(AB24/AA24)</f>
        <v>#DIV/0!</v>
      </c>
      <c r="AD24" s="3" t="e">
        <f>IFERROR(INDEX(df_EMBAY_merged_summary!$U:$U,MATCH(A24,df_EMBAY_merged_summary!A:A,0))/1,NA())</f>
        <v>#N/A</v>
      </c>
      <c r="AE24" s="3" t="e">
        <f>IFERROR(INDEX(df_EMBAY_merged_summary!$AB:$AB,MATCH(A24,df_EMBAY_merged_summary!A:A,0))/1,NA())</f>
        <v>#N/A</v>
      </c>
      <c r="AF24" s="3" t="e">
        <f>AD24/M24</f>
        <v>#N/A</v>
      </c>
      <c r="AG24" s="3" t="e">
        <f>AE24/AA24</f>
        <v>#N/A</v>
      </c>
      <c r="AH24" s="3">
        <f>IFERROR(INDEX(df_EMBAY_merged_summary!$AI:$AI,MATCH(A24,df_EMBAY_merged_summary!A:A,0))/1,NA())</f>
        <v>0</v>
      </c>
      <c r="AI24" s="7" t="e">
        <f>AH24/AE24</f>
        <v>#N/A</v>
      </c>
      <c r="AJ24" s="3" t="e">
        <f>(10000*M24*0.692)/365.25</f>
        <v>#N/A</v>
      </c>
      <c r="AK24" t="e">
        <f>(10000*M24*0.692)/365.25/(K24*10000)</f>
        <v>#N/A</v>
      </c>
      <c r="AL24" t="e">
        <f>(10000*AD24*0.692)/365.25/(K24*10000)</f>
        <v>#N/A</v>
      </c>
    </row>
    <row r="25" spans="1:38" x14ac:dyDescent="0.25">
      <c r="A25">
        <f>df_EMBAY_merged_summary!A25</f>
        <v>24</v>
      </c>
      <c r="B25" t="str">
        <f>df_EMBAY_merged_summary!B25</f>
        <v>PametRiver</v>
      </c>
      <c r="C25" t="str">
        <f>B25&amp;" ("&amp;A25&amp;")"</f>
        <v>PametRiver (24)</v>
      </c>
      <c r="D25">
        <f>INDEX(df_EMBAY_merged_summary!C:C,MATCH(A25,df_EMBAY_merged_summary!A:A,0))</f>
        <v>1062.1764393159599</v>
      </c>
      <c r="E25" s="4" t="b">
        <f>IF(IFERROR(INDEX(df_EMBAY_merged_summary!L:L,MATCH(A25,df_EMBAY_merged_summary!A:A,0))/1,NA())=0,FALSE,TRUE)</f>
        <v>0</v>
      </c>
      <c r="F25" s="27">
        <f>INDEX(embay!R:R,MATCH(A25,embay!A:A,0))</f>
        <v>0</v>
      </c>
      <c r="G25" s="27">
        <f>F25/D25</f>
        <v>0</v>
      </c>
      <c r="H25" s="27">
        <f>INDEX(embay!G:G,MATCH(A25,embay!A:A,0))*365.25</f>
        <v>0</v>
      </c>
      <c r="I25" s="28" t="e">
        <f>(H25-F25)/F25</f>
        <v>#DIV/0!</v>
      </c>
      <c r="J25" s="12" t="b">
        <f>NOT(ISNA(K25))</f>
        <v>0</v>
      </c>
      <c r="K25" s="5" t="e">
        <f>IFERROR(INDEX(df_EMBAY_merged_summary!$AN:$AN,MATCH(A25,df_EMBAY_merged_summary!A:A,0))/1,NA())</f>
        <v>#N/A</v>
      </c>
      <c r="L25" s="5" t="e">
        <f>IFERROR(INDEX(df_EMBAY_merged_summary!AP:AP,MATCH(A25,df_EMBAY_merged_summary!A:A,0))/1,NA())</f>
        <v>#N/A</v>
      </c>
      <c r="M25" s="3" t="e">
        <f>IFERROR(INDEX(df_EMBAY_merged_summary!$AQ:$AQ,MATCH(A25,df_EMBAY_merged_summary!A:A,0))/1,NA())</f>
        <v>#N/A</v>
      </c>
      <c r="N25" s="7" t="e">
        <f t="shared" si="0"/>
        <v>#N/A</v>
      </c>
      <c r="O25" s="4" t="e">
        <f>F25*N25</f>
        <v>#N/A</v>
      </c>
      <c r="P25" s="35" t="e">
        <f>IFERROR(INDEX(df_EMBAY_merged_summary!BE:BE,MATCH(A25,df_EMBAY_merged_summary!A:A,0))/1,NA())</f>
        <v>#N/A</v>
      </c>
      <c r="Q25" s="9" t="e">
        <f>O25*AI25</f>
        <v>#N/A</v>
      </c>
      <c r="R25" s="12" t="e">
        <f>Q25/H25</f>
        <v>#N/A</v>
      </c>
      <c r="S25" s="9" t="e">
        <f>AC25*O25</f>
        <v>#DIV/0!</v>
      </c>
      <c r="T25" s="12" t="e">
        <f>$S25/$F25</f>
        <v>#DIV/0!</v>
      </c>
      <c r="U25" s="31" t="e">
        <f>AI25*O25</f>
        <v>#N/A</v>
      </c>
      <c r="V25" s="12" t="e">
        <f>$U25/$H25</f>
        <v>#N/A</v>
      </c>
      <c r="W25" s="30">
        <f>AB25</f>
        <v>0</v>
      </c>
      <c r="X25" s="12" t="e">
        <f>AB25/F25</f>
        <v>#DIV/0!</v>
      </c>
      <c r="Y25" s="12">
        <f>AH25</f>
        <v>0</v>
      </c>
      <c r="Z25" s="12" t="e">
        <f>$Y25/$F25</f>
        <v>#DIV/0!</v>
      </c>
      <c r="AA25" s="3">
        <f>IFERROR(INDEX(df_EMBAY_merged_summary!$AG:$AG,MATCH(A25,df_EMBAY_merged_summary!A:A,0))/1,NA())</f>
        <v>0</v>
      </c>
      <c r="AB25">
        <f>IFERROR(INDEX(df_EMBAY_merged_summary!$AJ:$AJ,MATCH(A25,df_EMBAY_merged_summary!A:A,0))/1,NA())</f>
        <v>0</v>
      </c>
      <c r="AC25" s="7" t="e">
        <f>(AB25/AA25)</f>
        <v>#DIV/0!</v>
      </c>
      <c r="AD25" s="3" t="e">
        <f>IFERROR(INDEX(df_EMBAY_merged_summary!$U:$U,MATCH(A25,df_EMBAY_merged_summary!A:A,0))/1,NA())</f>
        <v>#N/A</v>
      </c>
      <c r="AE25" s="3" t="e">
        <f>IFERROR(INDEX(df_EMBAY_merged_summary!$AB:$AB,MATCH(A25,df_EMBAY_merged_summary!A:A,0))/1,NA())</f>
        <v>#N/A</v>
      </c>
      <c r="AF25" s="3" t="e">
        <f>AD25/M25</f>
        <v>#N/A</v>
      </c>
      <c r="AG25" s="3" t="e">
        <f>AE25/AA25</f>
        <v>#N/A</v>
      </c>
      <c r="AH25" s="3">
        <f>IFERROR(INDEX(df_EMBAY_merged_summary!$AI:$AI,MATCH(A25,df_EMBAY_merged_summary!A:A,0))/1,NA())</f>
        <v>0</v>
      </c>
      <c r="AI25" s="7" t="e">
        <f>AH25/AE25</f>
        <v>#N/A</v>
      </c>
      <c r="AJ25" s="3" t="e">
        <f>(10000*M25*0.692)/365.25</f>
        <v>#N/A</v>
      </c>
      <c r="AK25" t="e">
        <f>(10000*M25*0.692)/365.25/(K25*10000)</f>
        <v>#N/A</v>
      </c>
      <c r="AL25" t="e">
        <f>(10000*AD25*0.692)/365.25/(K25*10000)</f>
        <v>#N/A</v>
      </c>
    </row>
    <row r="26" spans="1:38" x14ac:dyDescent="0.25">
      <c r="A26">
        <f>df_EMBAY_merged_summary!A26</f>
        <v>25</v>
      </c>
      <c r="B26" t="str">
        <f>df_EMBAY_merged_summary!B26</f>
        <v>ParkersRiver</v>
      </c>
      <c r="C26" t="str">
        <f>B26&amp;" ("&amp;A26&amp;")"</f>
        <v>ParkersRiver (25)</v>
      </c>
      <c r="D26">
        <f>INDEX(df_EMBAY_merged_summary!C:C,MATCH(A26,df_EMBAY_merged_summary!A:A,0))</f>
        <v>1127.4748309839899</v>
      </c>
      <c r="E26" s="4" t="b">
        <f>IF(IFERROR(INDEX(df_EMBAY_merged_summary!L:L,MATCH(A26,df_EMBAY_merged_summary!A:A,0))/1,NA())=0,FALSE,TRUE)</f>
        <v>1</v>
      </c>
      <c r="F26" s="27">
        <f>INDEX(df_EMBAY_merged_summary!AG:AG,MATCH(A26,embay!A:A,0))</f>
        <v>24479.785500000002</v>
      </c>
      <c r="G26" s="27">
        <f>F26/D26</f>
        <v>21.712046093867627</v>
      </c>
      <c r="H26" s="27">
        <f>INDEX(embay!G:G,MATCH(A26,embay!A:A,0))*365.25</f>
        <v>4915.8997499999996</v>
      </c>
      <c r="I26" s="28">
        <f>(H26-F26)/F26</f>
        <v>-0.79918534212646597</v>
      </c>
      <c r="J26" s="12" t="b">
        <f>NOT(ISNA(K26))</f>
        <v>1</v>
      </c>
      <c r="K26" s="5">
        <f>IFERROR(INDEX(df_EMBAY_merged_summary!$AN:$AN,MATCH(A26,df_EMBAY_merged_summary!A:A,0))/1,NA())</f>
        <v>24.6431819896926</v>
      </c>
      <c r="L26" s="5">
        <f>IFERROR(INDEX(df_EMBAY_merged_summary!AP:AP,MATCH(A26,df_EMBAY_merged_summary!A:A,0))/1,NA())</f>
        <v>4</v>
      </c>
      <c r="M26" s="3">
        <f>IFERROR(INDEX(df_EMBAY_merged_summary!$AQ:$AQ,MATCH(A26,df_EMBAY_merged_summary!A:A,0))/1,NA())</f>
        <v>683.52</v>
      </c>
      <c r="N26" s="7">
        <f t="shared" si="0"/>
        <v>0.60623969707906133</v>
      </c>
      <c r="O26" s="35">
        <f>F26*N26</f>
        <v>14840.617746080399</v>
      </c>
      <c r="P26" s="35">
        <f>IFERROR(INDEX(df_EMBAY_merged_summary!BE:BE,MATCH(A26,df_EMBAY_merged_summary!A:A,0))/1,NA())</f>
        <v>4629.6235197962696</v>
      </c>
      <c r="Q26" s="9">
        <f>O26*0.5</f>
        <v>7420.3088730401996</v>
      </c>
      <c r="R26" s="12">
        <f>Q26/F26</f>
        <v>0.30311984853953067</v>
      </c>
      <c r="S26" s="9">
        <f>AC26*O26</f>
        <v>23335.984659664307</v>
      </c>
      <c r="T26" s="12">
        <f>$S26/$F26</f>
        <v>0.95327570005318496</v>
      </c>
      <c r="U26" s="31">
        <f>AI26*O26</f>
        <v>531786.67579548969</v>
      </c>
      <c r="V26" s="12">
        <f>$U26/$F26</f>
        <v>21.723502266614616</v>
      </c>
      <c r="W26" s="30">
        <f>AB26</f>
        <v>38493</v>
      </c>
      <c r="X26" s="12">
        <f>AB26/F26</f>
        <v>1.5724402487105125</v>
      </c>
      <c r="Y26" s="12">
        <f>AH26</f>
        <v>41674</v>
      </c>
      <c r="Z26" s="12">
        <f>$Y26/$F26</f>
        <v>1.7023841977700334</v>
      </c>
      <c r="AA26" s="3">
        <f>IFERROR(INDEX(df_EMBAY_merged_summary!$AG:$AG,MATCH(A26,df_EMBAY_merged_summary!A:A,0))/1,NA())</f>
        <v>24479.785500000002</v>
      </c>
      <c r="AB26">
        <f>IFERROR(INDEX(df_EMBAY_merged_summary!$AJ:$AJ,MATCH(A26,df_EMBAY_merged_summary!A:A,0))/1,NA())</f>
        <v>38493</v>
      </c>
      <c r="AC26" s="7">
        <f>(AB26/AA26)</f>
        <v>1.5724402487105125</v>
      </c>
      <c r="AD26" s="3">
        <f>IFERROR(INDEX(df_EMBAY_merged_summary!$U:$U,MATCH(A26,df_EMBAY_merged_summary!A:A,0))/1,NA())</f>
        <v>67.022000000000006</v>
      </c>
      <c r="AE26" s="3">
        <f>IFERROR(INDEX(df_EMBAY_merged_summary!$AB:$AB,MATCH(A26,df_EMBAY_merged_summary!A:A,0))/1,NA())</f>
        <v>1163</v>
      </c>
      <c r="AF26" s="3">
        <f>AD26/M26</f>
        <v>9.8054190074906372E-2</v>
      </c>
      <c r="AG26" s="3">
        <f>AE26/AA26</f>
        <v>4.7508586216982986E-2</v>
      </c>
      <c r="AH26" s="3">
        <f>IFERROR(INDEX(df_EMBAY_merged_summary!$AI:$AI,MATCH(A26,df_EMBAY_merged_summary!A:A,0))/1,NA())</f>
        <v>41674</v>
      </c>
      <c r="AI26" s="7">
        <f>AH26/AE26</f>
        <v>35.833190025795354</v>
      </c>
      <c r="AJ26" s="3">
        <f>(10000*M26*0.692)/365.25</f>
        <v>12949.920328542094</v>
      </c>
      <c r="AK26">
        <f>(10000*M26*0.692)/365.25/(K26*10000)</f>
        <v>5.2549708612948616E-2</v>
      </c>
      <c r="AL26">
        <f>(10000*AD26*0.692)/365.25/(K26*10000)</f>
        <v>5.1527191167150075E-3</v>
      </c>
    </row>
    <row r="27" spans="1:38" x14ac:dyDescent="0.25">
      <c r="A27">
        <f>df_EMBAY_merged_summary!A27</f>
        <v>26</v>
      </c>
      <c r="B27" t="str">
        <f>df_EMBAY_merged_summary!B27</f>
        <v>PhinneysHarborEelPondBackRiver</v>
      </c>
      <c r="C27" t="str">
        <f>B27&amp;" ("&amp;A27&amp;")"</f>
        <v>PhinneysHarborEelPondBackRiver (26)</v>
      </c>
      <c r="D27">
        <f>INDEX(df_EMBAY_merged_summary!C:C,MATCH(A27,df_EMBAY_merged_summary!A:A,0))</f>
        <v>1276.51037162022</v>
      </c>
      <c r="E27" s="4" t="b">
        <f>IF(IFERROR(INDEX(df_EMBAY_merged_summary!L:L,MATCH(A27,df_EMBAY_merged_summary!A:A,0))/1,NA())=0,FALSE,TRUE)</f>
        <v>1</v>
      </c>
      <c r="F27" s="27">
        <f>INDEX(df_EMBAY_merged_summary!AG:AG,MATCH(A27,embay!A:A,0))</f>
        <v>10702.5555</v>
      </c>
      <c r="G27" s="27">
        <f>F27/D27</f>
        <v>8.384229175056138</v>
      </c>
      <c r="H27" s="27">
        <f>INDEX(embay!G:G,MATCH(A27,embay!A:A,0))*365.25</f>
        <v>7029.2362499999999</v>
      </c>
      <c r="I27" s="28">
        <f>(H27-F27)/F27</f>
        <v>-0.34321889290833391</v>
      </c>
      <c r="J27" s="12" t="b">
        <f>NOT(ISNA(K27))</f>
        <v>1</v>
      </c>
      <c r="K27" s="5">
        <f>IFERROR(INDEX(df_EMBAY_merged_summary!$AN:$AN,MATCH(A27,df_EMBAY_merged_summary!A:A,0))/1,NA())</f>
        <v>8.5151095845836995</v>
      </c>
      <c r="L27" s="5">
        <f>IFERROR(INDEX(df_EMBAY_merged_summary!AP:AP,MATCH(A27,df_EMBAY_merged_summary!A:A,0))/1,NA())</f>
        <v>3</v>
      </c>
      <c r="M27" s="3">
        <f>IFERROR(INDEX(df_EMBAY_merged_summary!$AQ:$AQ,MATCH(A27,df_EMBAY_merged_summary!A:A,0))/1,NA())</f>
        <v>91.91</v>
      </c>
      <c r="N27" s="7">
        <f t="shared" si="0"/>
        <v>7.2000981772942882E-2</v>
      </c>
      <c r="O27" s="35">
        <f>F27*N27</f>
        <v>770.59450347940958</v>
      </c>
      <c r="P27" s="35">
        <f>IFERROR(INDEX(df_EMBAY_merged_summary!BE:BE,MATCH(A27,df_EMBAY_merged_summary!A:A,0))/1,NA())</f>
        <v>412.07792354531603</v>
      </c>
      <c r="Q27" s="9">
        <f>O27*0.5</f>
        <v>385.29725173970479</v>
      </c>
      <c r="R27" s="12">
        <f>Q27/F27</f>
        <v>3.6000490886471441E-2</v>
      </c>
      <c r="S27" s="9">
        <f>AC27*O27</f>
        <v>1238.1288825675258</v>
      </c>
      <c r="T27" s="12">
        <f>$S27/$F27</f>
        <v>0.11568535034156335</v>
      </c>
      <c r="U27" s="31">
        <f>AI27*O27</f>
        <v>5881.4057694191151</v>
      </c>
      <c r="V27" s="12">
        <f>$U27/$F27</f>
        <v>0.54953284469481278</v>
      </c>
      <c r="W27" s="30">
        <f>AB27</f>
        <v>17196</v>
      </c>
      <c r="X27" s="12">
        <f>AB27/F27</f>
        <v>1.6067190681702141</v>
      </c>
      <c r="Y27" s="12">
        <f>AH27</f>
        <v>17913</v>
      </c>
      <c r="Z27" s="12">
        <f>$Y27/$F27</f>
        <v>1.6737124138249038</v>
      </c>
      <c r="AA27" s="3">
        <f>IFERROR(INDEX(df_EMBAY_merged_summary!$AG:$AG,MATCH(A27,df_EMBAY_merged_summary!A:A,0))/1,NA())</f>
        <v>10702.5555</v>
      </c>
      <c r="AB27">
        <f>IFERROR(INDEX(df_EMBAY_merged_summary!$AJ:$AJ,MATCH(A27,df_EMBAY_merged_summary!A:A,0))/1,NA())</f>
        <v>17196</v>
      </c>
      <c r="AC27" s="7">
        <f>(AB27/AA27)</f>
        <v>1.6067190681702141</v>
      </c>
      <c r="AD27" s="3">
        <f>IFERROR(INDEX(df_EMBAY_merged_summary!$U:$U,MATCH(A27,df_EMBAY_merged_summary!A:A,0))/1,NA())</f>
        <v>29.302</v>
      </c>
      <c r="AE27" s="3">
        <f>IFERROR(INDEX(df_EMBAY_merged_summary!$AB:$AB,MATCH(A27,df_EMBAY_merged_summary!A:A,0))/1,NA())</f>
        <v>2347</v>
      </c>
      <c r="AF27" s="3">
        <f>AD27/M27</f>
        <v>0.31881188118811882</v>
      </c>
      <c r="AG27" s="3">
        <f>AE27/AA27</f>
        <v>0.21929342015558806</v>
      </c>
      <c r="AH27" s="3">
        <f>IFERROR(INDEX(df_EMBAY_merged_summary!$AI:$AI,MATCH(A27,df_EMBAY_merged_summary!A:A,0))/1,NA())</f>
        <v>17913</v>
      </c>
      <c r="AI27" s="7">
        <f>AH27/AE27</f>
        <v>7.6322965487856838</v>
      </c>
      <c r="AJ27" s="3">
        <f>(10000*M27*0.692)/365.25</f>
        <v>1741.320191649555</v>
      </c>
      <c r="AK27">
        <f>(10000*M27*0.692)/365.25/(K27*10000)</f>
        <v>2.044976843048682E-2</v>
      </c>
      <c r="AL27">
        <f>(10000*AD27*0.692)/365.25/(K27*10000)</f>
        <v>6.5196291431849083E-3</v>
      </c>
    </row>
    <row r="28" spans="1:38" x14ac:dyDescent="0.25">
      <c r="A28">
        <f>df_EMBAY_merged_summary!A28</f>
        <v>27</v>
      </c>
      <c r="B28" t="str">
        <f>df_EMBAY_merged_summary!B28</f>
        <v>PleasantBay</v>
      </c>
      <c r="C28" t="str">
        <f>B28&amp;" ("&amp;A28&amp;")"</f>
        <v>PleasantBay (27)</v>
      </c>
      <c r="D28">
        <f>INDEX(df_EMBAY_merged_summary!C:C,MATCH(A28,df_EMBAY_merged_summary!A:A,0))</f>
        <v>6012.28155545155</v>
      </c>
      <c r="E28" s="4" t="b">
        <f>IF(IFERROR(INDEX(df_EMBAY_merged_summary!L:L,MATCH(A28,df_EMBAY_merged_summary!A:A,0))/1,NA())=0,FALSE,TRUE)</f>
        <v>1</v>
      </c>
      <c r="F28" s="27">
        <f>INDEX(df_EMBAY_merged_summary!AG:AG,MATCH(A28,embay!A:A,0))</f>
        <v>46460.895750000003</v>
      </c>
      <c r="G28" s="27">
        <f>F28/D28</f>
        <v>7.7276646679782077</v>
      </c>
      <c r="H28" s="27">
        <f>INDEX(embay!G:G,MATCH(A28,embay!A:A,0))*365.25</f>
        <v>29596.937999999998</v>
      </c>
      <c r="I28" s="28">
        <f>(H28-F28)/F28</f>
        <v>-0.36297099911165626</v>
      </c>
      <c r="J28" s="12" t="b">
        <f>NOT(ISNA(K28))</f>
        <v>1</v>
      </c>
      <c r="K28" s="5">
        <f>IFERROR(INDEX(df_EMBAY_merged_summary!$AN:$AN,MATCH(A28,df_EMBAY_merged_summary!A:A,0))/1,NA())</f>
        <v>7.1735894674135201</v>
      </c>
      <c r="L28" s="5">
        <f>IFERROR(INDEX(df_EMBAY_merged_summary!AP:AP,MATCH(A28,df_EMBAY_merged_summary!A:A,0))/1,NA())</f>
        <v>5</v>
      </c>
      <c r="M28" s="3">
        <f>IFERROR(INDEX(df_EMBAY_merged_summary!$AQ:$AQ,MATCH(A28,df_EMBAY_merged_summary!A:A,0))/1,NA())</f>
        <v>126.58</v>
      </c>
      <c r="N28" s="7">
        <f t="shared" si="0"/>
        <v>2.105357156556073E-2</v>
      </c>
      <c r="O28" s="35">
        <f>F28*N28</f>
        <v>978.16779367268146</v>
      </c>
      <c r="P28" s="35">
        <f>IFERROR(INDEX(df_EMBAY_merged_summary!BE:BE,MATCH(A28,df_EMBAY_merged_summary!A:A,0))/1,NA())</f>
        <v>699.94629682514994</v>
      </c>
      <c r="Q28" s="9">
        <f>O28*0.5</f>
        <v>489.08389683634073</v>
      </c>
      <c r="R28" s="12">
        <f>Q28/F28</f>
        <v>1.0526785782780365E-2</v>
      </c>
      <c r="S28" s="9">
        <f>AC28*O28</f>
        <v>1950.3397091188492</v>
      </c>
      <c r="T28" s="12">
        <f>$S28/$F28</f>
        <v>4.1978090986738006E-2</v>
      </c>
      <c r="U28" s="31">
        <f>AI28*O28</f>
        <v>2805.4788233758613</v>
      </c>
      <c r="V28" s="12">
        <f>$U28/$F28</f>
        <v>6.038365765636064E-2</v>
      </c>
      <c r="W28" s="30">
        <f>AB28</f>
        <v>92637</v>
      </c>
      <c r="X28" s="12">
        <f>AB28/F28</f>
        <v>1.9938702968291349</v>
      </c>
      <c r="Y28" s="12">
        <f>AH28</f>
        <v>95803</v>
      </c>
      <c r="Z28" s="12">
        <f>$Y28/$F28</f>
        <v>2.062013623575047</v>
      </c>
      <c r="AA28" s="3">
        <f>IFERROR(INDEX(df_EMBAY_merged_summary!$AG:$AG,MATCH(A28,df_EMBAY_merged_summary!A:A,0))/1,NA())</f>
        <v>46460.895750000003</v>
      </c>
      <c r="AB28">
        <f>IFERROR(INDEX(df_EMBAY_merged_summary!$AJ:$AJ,MATCH(A28,df_EMBAY_merged_summary!A:A,0))/1,NA())</f>
        <v>92637</v>
      </c>
      <c r="AC28" s="7">
        <f>(AB28/AA28)</f>
        <v>1.9938702968291349</v>
      </c>
      <c r="AD28" s="3">
        <f>IFERROR(INDEX(df_EMBAY_merged_summary!$U:$U,MATCH(A28,df_EMBAY_merged_summary!A:A,0))/1,NA())</f>
        <v>127.203</v>
      </c>
      <c r="AE28" s="3">
        <f>IFERROR(INDEX(df_EMBAY_merged_summary!$AB:$AB,MATCH(A28,df_EMBAY_merged_summary!A:A,0))/1,NA())</f>
        <v>33403</v>
      </c>
      <c r="AF28" s="3">
        <f>AD28/M28</f>
        <v>1.0049217885921946</v>
      </c>
      <c r="AG28" s="3">
        <f>AE28/AA28</f>
        <v>0.71894868707949944</v>
      </c>
      <c r="AH28" s="3">
        <f>IFERROR(INDEX(df_EMBAY_merged_summary!$AI:$AI,MATCH(A28,df_EMBAY_merged_summary!A:A,0))/1,NA())</f>
        <v>95803</v>
      </c>
      <c r="AI28" s="7">
        <f>AH28/AE28</f>
        <v>2.8680956800287398</v>
      </c>
      <c r="AJ28" s="3">
        <f>(10000*M28*0.692)/365.25</f>
        <v>2398.1754962354553</v>
      </c>
      <c r="AK28">
        <f>(10000*M28*0.692)/365.25/(K28*10000)</f>
        <v>3.3430620850681769E-2</v>
      </c>
      <c r="AL28">
        <f>(10000*AD28*0.692)/365.25/(K28*10000)</f>
        <v>3.3595159299014632E-2</v>
      </c>
    </row>
    <row r="29" spans="1:38" x14ac:dyDescent="0.25">
      <c r="A29">
        <f>df_EMBAY_merged_summary!A29</f>
        <v>28</v>
      </c>
      <c r="B29" t="str">
        <f>df_EMBAY_merged_summary!B29</f>
        <v>PlymouthDuxbury</v>
      </c>
      <c r="C29" t="str">
        <f>B29&amp;" ("&amp;A29&amp;")"</f>
        <v>PlymouthDuxbury (28)</v>
      </c>
      <c r="D29">
        <f>INDEX(df_EMBAY_merged_summary!C:C,MATCH(A29,df_EMBAY_merged_summary!A:A,0))</f>
        <v>19337.511051440299</v>
      </c>
      <c r="E29" s="4" t="e">
        <f>IF(IFERROR(INDEX(df_EMBAY_merged_summary!L:L,MATCH(A29,df_EMBAY_merged_summary!A:A,0))/1,NA())=0,FALSE,TRUE)</f>
        <v>#N/A</v>
      </c>
      <c r="F29" s="27">
        <f>INDEX(df_EMBAY_merged_summary!AG:AG,MATCH(A29,embay!A:A,0))</f>
        <v>166082.82750000001</v>
      </c>
      <c r="G29" s="27">
        <f>F29/D29</f>
        <v>8.5886351691382643</v>
      </c>
      <c r="H29" s="27">
        <f>INDEX(embay!G:G,MATCH(A29,embay!A:A,0))*365.25</f>
        <v>153751.98749999999</v>
      </c>
      <c r="I29" s="28">
        <f>(H29-F29)/F29</f>
        <v>-7.4245123265378077E-2</v>
      </c>
      <c r="J29" s="12" t="b">
        <f>NOT(ISNA(K29))</f>
        <v>1</v>
      </c>
      <c r="K29" s="5">
        <f>IFERROR(INDEX(df_EMBAY_merged_summary!$AN:$AN,MATCH(A29,df_EMBAY_merged_summary!A:A,0))/1,NA())</f>
        <v>366.97813508203097</v>
      </c>
      <c r="L29" s="5">
        <f>IFERROR(INDEX(df_EMBAY_merged_summary!AP:AP,MATCH(A29,df_EMBAY_merged_summary!A:A,0))/1,NA())</f>
        <v>112</v>
      </c>
      <c r="M29" s="3">
        <f>IFERROR(INDEX(df_EMBAY_merged_summary!$AQ:$AQ,MATCH(A29,df_EMBAY_merged_summary!A:A,0))/1,NA())</f>
        <v>6673.29</v>
      </c>
      <c r="N29" s="7">
        <f t="shared" si="0"/>
        <v>0.34509560109613791</v>
      </c>
      <c r="O29" s="35">
        <f>F29*N29</f>
        <v>57314.453187858686</v>
      </c>
      <c r="P29" s="35">
        <f>IFERROR(INDEX(df_EMBAY_merged_summary!BE:BE,MATCH(A29,df_EMBAY_merged_summary!A:A,0))/1,NA())</f>
        <v>34239.546149212299</v>
      </c>
      <c r="Q29" s="9">
        <f>O29*0.5</f>
        <v>28657.226593929343</v>
      </c>
      <c r="R29" s="12">
        <f>Q29/F29</f>
        <v>0.17254780054806895</v>
      </c>
      <c r="S29" s="9">
        <f>AC29*O29</f>
        <v>89676.542900842396</v>
      </c>
      <c r="T29" s="12">
        <f>$S29/$F29</f>
        <v>0.53995072368841013</v>
      </c>
      <c r="U29" s="31">
        <f>AI29*O29</f>
        <v>2133668.6487600417</v>
      </c>
      <c r="V29" s="12">
        <f>$U29/$F29</f>
        <v>12.84701543728259</v>
      </c>
      <c r="W29" s="30">
        <f>AB29</f>
        <v>259860</v>
      </c>
      <c r="X29" s="12">
        <f>AB29/F29</f>
        <v>1.564640992157964</v>
      </c>
      <c r="Y29" s="12">
        <f>AH29</f>
        <v>295809</v>
      </c>
      <c r="Z29" s="12">
        <f>$Y29/$F29</f>
        <v>1.7810932319297128</v>
      </c>
      <c r="AA29" s="3">
        <f>IFERROR(INDEX(df_EMBAY_merged_summary!$AG:$AG,MATCH(A29,df_EMBAY_merged_summary!A:A,0))/1,NA())</f>
        <v>166082.82750000001</v>
      </c>
      <c r="AB29">
        <f>IFERROR(INDEX(df_EMBAY_merged_summary!$AJ:$AJ,MATCH(A29,df_EMBAY_merged_summary!A:A,0))/1,NA())</f>
        <v>259860</v>
      </c>
      <c r="AC29" s="7">
        <f>(AB29/AA29)</f>
        <v>1.564640992157964</v>
      </c>
      <c r="AD29" s="3">
        <f>IFERROR(INDEX(df_EMBAY_merged_summary!$U:$U,MATCH(A29,df_EMBAY_merged_summary!A:A,0))/1,NA())</f>
        <v>454.71</v>
      </c>
      <c r="AE29" s="3">
        <f>IFERROR(INDEX(df_EMBAY_merged_summary!$AB:$AB,MATCH(A29,df_EMBAY_merged_summary!A:A,0))/1,NA())</f>
        <v>7946</v>
      </c>
      <c r="AF29" s="3">
        <f>AD29/M29</f>
        <v>6.8138804098128503E-2</v>
      </c>
      <c r="AG29" s="3">
        <f>AE29/AA29</f>
        <v>4.7843597797610951E-2</v>
      </c>
      <c r="AH29" s="3">
        <f>IFERROR(INDEX(df_EMBAY_merged_summary!$AI:$AI,MATCH(A29,df_EMBAY_merged_summary!A:A,0))/1,NA())</f>
        <v>295809</v>
      </c>
      <c r="AI29" s="7">
        <f>AH29/AE29</f>
        <v>37.227410017618929</v>
      </c>
      <c r="AJ29" s="3">
        <f>(10000*M29*0.692)/365.25</f>
        <v>126431.6681724846</v>
      </c>
      <c r="AK29">
        <f>(10000*M29*0.692)/365.25/(K29*10000)</f>
        <v>3.4452098391154339E-2</v>
      </c>
      <c r="AL29">
        <f>(10000*AD29*0.692)/365.25/(K29*10000)</f>
        <v>2.347524783044314E-3</v>
      </c>
    </row>
    <row r="30" spans="1:38" x14ac:dyDescent="0.25">
      <c r="A30">
        <f>df_EMBAY_merged_summary!A30</f>
        <v>29</v>
      </c>
      <c r="B30" t="str">
        <f>df_EMBAY_merged_summary!B30</f>
        <v>PocassetHarbor</v>
      </c>
      <c r="C30" t="str">
        <f>B30&amp;" ("&amp;A30&amp;")"</f>
        <v>PocassetHarbor (29)</v>
      </c>
      <c r="D30">
        <f>INDEX(df_EMBAY_merged_summary!C:C,MATCH(A30,df_EMBAY_merged_summary!A:A,0))</f>
        <v>1697.04929287447</v>
      </c>
      <c r="E30" s="4" t="b">
        <f>IF(IFERROR(INDEX(df_EMBAY_merged_summary!L:L,MATCH(A30,df_EMBAY_merged_summary!A:A,0))/1,NA())=0,FALSE,TRUE)</f>
        <v>0</v>
      </c>
      <c r="F30" s="27" t="e">
        <f>INDEX(embay!R:R,MATCH(A30,embay!A:A,0))</f>
        <v>#N/A</v>
      </c>
      <c r="G30" s="27" t="e">
        <f>F30/D30</f>
        <v>#N/A</v>
      </c>
      <c r="H30" s="27" t="e">
        <f>INDEX(embay!G:G,MATCH(A30,embay!A:A,0))*365.25</f>
        <v>#N/A</v>
      </c>
      <c r="I30" s="28" t="e">
        <f>(H30-F30)/F30</f>
        <v>#N/A</v>
      </c>
      <c r="J30" s="12" t="b">
        <f>NOT(ISNA(K30))</f>
        <v>1</v>
      </c>
      <c r="K30" s="5">
        <f>IFERROR(INDEX(df_EMBAY_merged_summary!$AN:$AN,MATCH(A30,df_EMBAY_merged_summary!A:A,0))/1,NA())</f>
        <v>20.0930151278937</v>
      </c>
      <c r="L30" s="5">
        <f>IFERROR(INDEX(df_EMBAY_merged_summary!AP:AP,MATCH(A30,df_EMBAY_merged_summary!A:A,0))/1,NA())</f>
        <v>6</v>
      </c>
      <c r="M30" s="3">
        <f>IFERROR(INDEX(df_EMBAY_merged_summary!$AQ:$AQ,MATCH(A30,df_EMBAY_merged_summary!A:A,0))/1,NA())</f>
        <v>559.26</v>
      </c>
      <c r="N30" s="7">
        <f t="shared" si="0"/>
        <v>0.32954847118949787</v>
      </c>
      <c r="O30" s="4" t="e">
        <f>F30*N30</f>
        <v>#N/A</v>
      </c>
      <c r="P30" s="35">
        <f>IFERROR(INDEX(df_EMBAY_merged_summary!BE:BE,MATCH(A30,df_EMBAY_merged_summary!A:A,0))/1,NA())</f>
        <v>2414.8042276698102</v>
      </c>
      <c r="Q30" s="9" t="e">
        <f>O30*0.5</f>
        <v>#N/A</v>
      </c>
      <c r="R30" s="12" t="e">
        <f>Q30/F30</f>
        <v>#N/A</v>
      </c>
      <c r="S30" s="9" t="e">
        <f>AC30*O30</f>
        <v>#N/A</v>
      </c>
      <c r="T30" s="12" t="e">
        <f>$S30/$F30</f>
        <v>#N/A</v>
      </c>
      <c r="U30" s="31" t="e">
        <f>AI30*O30</f>
        <v>#N/A</v>
      </c>
      <c r="V30" s="12" t="e">
        <f>$U30/$H30</f>
        <v>#N/A</v>
      </c>
      <c r="W30" s="30" t="e">
        <f>AB30</f>
        <v>#N/A</v>
      </c>
      <c r="X30" s="12" t="e">
        <f>AB30/F30</f>
        <v>#N/A</v>
      </c>
      <c r="Y30" s="12" t="e">
        <f>AH30</f>
        <v>#N/A</v>
      </c>
      <c r="Z30" s="12" t="e">
        <f>$Y30/$F30</f>
        <v>#N/A</v>
      </c>
      <c r="AA30" s="3">
        <f>IFERROR(INDEX(df_EMBAY_merged_summary!$AG:$AG,MATCH(A30,df_EMBAY_merged_summary!A:A,0))/1,NA())</f>
        <v>8884.7999999999993</v>
      </c>
      <c r="AB30" t="e">
        <f>IFERROR(INDEX(df_EMBAY_merged_summary!$AJ:$AJ,MATCH(A30,df_EMBAY_merged_summary!A:A,0))/1,NA())</f>
        <v>#N/A</v>
      </c>
      <c r="AC30" s="7" t="e">
        <f>(AB30/AA30)</f>
        <v>#N/A</v>
      </c>
      <c r="AD30" s="3" t="e">
        <f>IFERROR(INDEX(df_EMBAY_merged_summary!$U:$U,MATCH(A30,df_EMBAY_merged_summary!A:A,0))/1,NA())</f>
        <v>#N/A</v>
      </c>
      <c r="AE30" s="3" t="e">
        <f>IFERROR(INDEX(df_EMBAY_merged_summary!$AB:$AB,MATCH(A30,df_EMBAY_merged_summary!A:A,0))/1,NA())</f>
        <v>#N/A</v>
      </c>
      <c r="AF30" s="3" t="e">
        <f>AD30/M30</f>
        <v>#N/A</v>
      </c>
      <c r="AG30" s="3" t="e">
        <f>AE30/AA30</f>
        <v>#N/A</v>
      </c>
      <c r="AH30" s="3" t="e">
        <f>IFERROR(INDEX(df_EMBAY_merged_summary!$AI:$AI,MATCH(A30,df_EMBAY_merged_summary!A:A,0))/1,NA())</f>
        <v>#N/A</v>
      </c>
      <c r="AI30" s="7" t="e">
        <f>AH30/AE30</f>
        <v>#N/A</v>
      </c>
      <c r="AJ30" s="3">
        <f>(10000*M30*0.692)/365.25</f>
        <v>10595.699383983572</v>
      </c>
      <c r="AK30">
        <f>(10000*M30*0.692)/365.25/(K30*10000)</f>
        <v>5.2733247432210001E-2</v>
      </c>
      <c r="AL30" t="e">
        <f>(10000*AD30*0.692)/365.25/(K30*10000)</f>
        <v>#N/A</v>
      </c>
    </row>
    <row r="31" spans="1:38" x14ac:dyDescent="0.25">
      <c r="A31">
        <f>df_EMBAY_merged_summary!A31</f>
        <v>30</v>
      </c>
      <c r="B31" t="str">
        <f>df_EMBAY_merged_summary!B31</f>
        <v>PocassetRiver</v>
      </c>
      <c r="C31" t="str">
        <f>B31&amp;" ("&amp;A31&amp;")"</f>
        <v>PocassetRiver (30)</v>
      </c>
      <c r="D31">
        <f>INDEX(df_EMBAY_merged_summary!C:C,MATCH(A31,df_EMBAY_merged_summary!A:A,0))</f>
        <v>880.13844331285395</v>
      </c>
      <c r="E31" s="4" t="b">
        <f>IF(IFERROR(INDEX(df_EMBAY_merged_summary!L:L,MATCH(A31,df_EMBAY_merged_summary!A:A,0))/1,NA())=0,FALSE,TRUE)</f>
        <v>0</v>
      </c>
      <c r="F31" s="27">
        <f>INDEX(embay!R:R,MATCH(A31,embay!A:A,0))</f>
        <v>0</v>
      </c>
      <c r="G31" s="27">
        <f>F31/D31</f>
        <v>0</v>
      </c>
      <c r="H31" s="27">
        <f>INDEX(embay!G:G,MATCH(A31,embay!A:A,0))*365.25</f>
        <v>0</v>
      </c>
      <c r="I31" s="28" t="e">
        <f>(H31-F31)/F31</f>
        <v>#DIV/0!</v>
      </c>
      <c r="J31" s="12" t="b">
        <f>NOT(ISNA(K31))</f>
        <v>0</v>
      </c>
      <c r="K31" s="5" t="e">
        <f>IFERROR(INDEX(df_EMBAY_merged_summary!$AN:$AN,MATCH(A31,df_EMBAY_merged_summary!A:A,0))/1,NA())</f>
        <v>#N/A</v>
      </c>
      <c r="L31" s="5" t="e">
        <f>IFERROR(INDEX(df_EMBAY_merged_summary!AP:AP,MATCH(A31,df_EMBAY_merged_summary!A:A,0))/1,NA())</f>
        <v>#N/A</v>
      </c>
      <c r="M31" s="3" t="e">
        <f>IFERROR(INDEX(df_EMBAY_merged_summary!$AQ:$AQ,MATCH(A31,df_EMBAY_merged_summary!A:A,0))/1,NA())</f>
        <v>#N/A</v>
      </c>
      <c r="N31" s="7" t="e">
        <f t="shared" si="0"/>
        <v>#N/A</v>
      </c>
      <c r="O31" s="4" t="e">
        <f>F31*N31</f>
        <v>#N/A</v>
      </c>
      <c r="P31" s="35" t="e">
        <f>IFERROR(INDEX(df_EMBAY_merged_summary!BE:BE,MATCH(A31,df_EMBAY_merged_summary!A:A,0))/1,NA())</f>
        <v>#N/A</v>
      </c>
      <c r="Q31" s="9" t="e">
        <f>O31*AI31</f>
        <v>#N/A</v>
      </c>
      <c r="R31" s="12" t="e">
        <f>Q31/H31</f>
        <v>#N/A</v>
      </c>
      <c r="S31" s="9" t="e">
        <f>AC31*O31</f>
        <v>#DIV/0!</v>
      </c>
      <c r="T31" s="12" t="e">
        <f>$S31/$F31</f>
        <v>#DIV/0!</v>
      </c>
      <c r="U31" s="31" t="e">
        <f>AI31*O31</f>
        <v>#N/A</v>
      </c>
      <c r="V31" s="12" t="e">
        <f>$U31/$H31</f>
        <v>#N/A</v>
      </c>
      <c r="W31" s="30">
        <f>AB31</f>
        <v>0</v>
      </c>
      <c r="X31" s="12" t="e">
        <f>AB31/F31</f>
        <v>#DIV/0!</v>
      </c>
      <c r="Y31" s="12">
        <f>AH31</f>
        <v>0</v>
      </c>
      <c r="Z31" s="12" t="e">
        <f>$Y31/$F31</f>
        <v>#DIV/0!</v>
      </c>
      <c r="AA31" s="3">
        <f>IFERROR(INDEX(df_EMBAY_merged_summary!$AG:$AG,MATCH(A31,df_EMBAY_merged_summary!A:A,0))/1,NA())</f>
        <v>0</v>
      </c>
      <c r="AB31">
        <f>IFERROR(INDEX(df_EMBAY_merged_summary!$AJ:$AJ,MATCH(A31,df_EMBAY_merged_summary!A:A,0))/1,NA())</f>
        <v>0</v>
      </c>
      <c r="AC31" s="7" t="e">
        <f>(AB31/AA31)</f>
        <v>#DIV/0!</v>
      </c>
      <c r="AD31" s="3" t="e">
        <f>IFERROR(INDEX(df_EMBAY_merged_summary!$U:$U,MATCH(A31,df_EMBAY_merged_summary!A:A,0))/1,NA())</f>
        <v>#N/A</v>
      </c>
      <c r="AE31" s="3" t="e">
        <f>IFERROR(INDEX(df_EMBAY_merged_summary!$AB:$AB,MATCH(A31,df_EMBAY_merged_summary!A:A,0))/1,NA())</f>
        <v>#N/A</v>
      </c>
      <c r="AF31" s="3" t="e">
        <f>AD31/M31</f>
        <v>#N/A</v>
      </c>
      <c r="AG31" s="3" t="e">
        <f>AE31/AA31</f>
        <v>#N/A</v>
      </c>
      <c r="AH31" s="3">
        <f>IFERROR(INDEX(df_EMBAY_merged_summary!$AI:$AI,MATCH(A31,df_EMBAY_merged_summary!A:A,0))/1,NA())</f>
        <v>0</v>
      </c>
      <c r="AI31" s="7" t="e">
        <f>AH31/AE31</f>
        <v>#N/A</v>
      </c>
      <c r="AJ31" s="3" t="e">
        <f>(10000*M31*0.692)/365.25</f>
        <v>#N/A</v>
      </c>
      <c r="AK31" t="e">
        <f>(10000*M31*0.692)/365.25/(K31*10000)</f>
        <v>#N/A</v>
      </c>
      <c r="AL31" t="e">
        <f>(10000*AD31*0.692)/365.25/(K31*10000)</f>
        <v>#N/A</v>
      </c>
    </row>
    <row r="32" spans="1:38" x14ac:dyDescent="0.25">
      <c r="A32">
        <f>df_EMBAY_merged_summary!A32</f>
        <v>31</v>
      </c>
      <c r="B32" t="str">
        <f>df_EMBAY_merged_summary!B32</f>
        <v>PopponessetBay</v>
      </c>
      <c r="C32" t="str">
        <f>B32&amp;" ("&amp;A32&amp;")"</f>
        <v>PopponessetBay (31)</v>
      </c>
      <c r="D32">
        <f>INDEX(df_EMBAY_merged_summary!C:C,MATCH(A32,df_EMBAY_merged_summary!A:A,0))</f>
        <v>5300.3633572647504</v>
      </c>
      <c r="E32" s="4" t="b">
        <f>IF(IFERROR(INDEX(df_EMBAY_merged_summary!L:L,MATCH(A32,df_EMBAY_merged_summary!A:A,0))/1,NA())=0,FALSE,TRUE)</f>
        <v>1</v>
      </c>
      <c r="F32" s="27">
        <f>INDEX(df_EMBAY_merged_summary!AG:AG,MATCH(A32,embay!A:A,0))</f>
        <v>25242.427500000002</v>
      </c>
      <c r="G32" s="27">
        <f>F32/D32</f>
        <v>4.7623956696105347</v>
      </c>
      <c r="H32" s="27">
        <f>INDEX(embay!G:G,MATCH(A32,embay!A:A,0))*365.25</f>
        <v>13861.237499999999</v>
      </c>
      <c r="I32" s="28">
        <f>(H32-F32)/F32</f>
        <v>-0.45087541600347281</v>
      </c>
      <c r="J32" s="12" t="b">
        <f>NOT(ISNA(K32))</f>
        <v>1</v>
      </c>
      <c r="K32" s="5">
        <f>IFERROR(INDEX(df_EMBAY_merged_summary!$AN:$AN,MATCH(A32,df_EMBAY_merged_summary!A:A,0))/1,NA())</f>
        <v>15.767232126754999</v>
      </c>
      <c r="L32" s="5">
        <f>IFERROR(INDEX(df_EMBAY_merged_summary!AP:AP,MATCH(A32,df_EMBAY_merged_summary!A:A,0))/1,NA())</f>
        <v>12</v>
      </c>
      <c r="M32" s="3">
        <f>IFERROR(INDEX(df_EMBAY_merged_summary!$AQ:$AQ,MATCH(A32,df_EMBAY_merged_summary!A:A,0))/1,NA())</f>
        <v>288.47000000000003</v>
      </c>
      <c r="N32" s="7">
        <f t="shared" si="0"/>
        <v>5.4424570648466793E-2</v>
      </c>
      <c r="O32" s="35">
        <f>F32*N32</f>
        <v>1373.8082788125512</v>
      </c>
      <c r="P32" s="35">
        <f>IFERROR(INDEX(df_EMBAY_merged_summary!BE:BE,MATCH(A32,df_EMBAY_merged_summary!A:A,0))/1,NA())</f>
        <v>1568.3780396592299</v>
      </c>
      <c r="Q32" s="9">
        <f>O32*0.5</f>
        <v>686.90413940627559</v>
      </c>
      <c r="R32" s="12">
        <f>Q32/F32</f>
        <v>2.72122853242334E-2</v>
      </c>
      <c r="S32" s="9">
        <f>AC32*O32</f>
        <v>2246.5918517980608</v>
      </c>
      <c r="T32" s="12">
        <f>$S32/$F32</f>
        <v>8.9000626100562655E-2</v>
      </c>
      <c r="U32" s="31">
        <f>AI32*O32</f>
        <v>10489.598628850001</v>
      </c>
      <c r="V32" s="12">
        <f>$U32/$F32</f>
        <v>0.41555427380548088</v>
      </c>
      <c r="W32" s="30">
        <f>AB32</f>
        <v>41279</v>
      </c>
      <c r="X32" s="12">
        <f>AB32/F32</f>
        <v>1.6353023099699899</v>
      </c>
      <c r="Y32" s="12">
        <f>AH32</f>
        <v>57907</v>
      </c>
      <c r="Z32" s="12">
        <f>$Y32/$F32</f>
        <v>2.2940345178766979</v>
      </c>
      <c r="AA32" s="3">
        <f>IFERROR(INDEX(df_EMBAY_merged_summary!$AG:$AG,MATCH(A32,df_EMBAY_merged_summary!A:A,0))/1,NA())</f>
        <v>25242.427500000002</v>
      </c>
      <c r="AB32">
        <f>IFERROR(INDEX(df_EMBAY_merged_summary!$AJ:$AJ,MATCH(A32,df_EMBAY_merged_summary!A:A,0))/1,NA())</f>
        <v>41279</v>
      </c>
      <c r="AC32" s="7">
        <f>(AB32/AA32)</f>
        <v>1.6353023099699899</v>
      </c>
      <c r="AD32" s="3">
        <f>IFERROR(INDEX(df_EMBAY_merged_summary!$U:$U,MATCH(A32,df_EMBAY_merged_summary!A:A,0))/1,NA())</f>
        <v>69.11</v>
      </c>
      <c r="AE32" s="3">
        <f>IFERROR(INDEX(df_EMBAY_merged_summary!$AB:$AB,MATCH(A32,df_EMBAY_merged_summary!A:A,0))/1,NA())</f>
        <v>7584</v>
      </c>
      <c r="AF32" s="3">
        <f>AD32/M32</f>
        <v>0.23957430582036257</v>
      </c>
      <c r="AG32" s="3">
        <f>AE32/AA32</f>
        <v>0.30044653985833969</v>
      </c>
      <c r="AH32" s="3">
        <f>IFERROR(INDEX(df_EMBAY_merged_summary!$AI:$AI,MATCH(A32,df_EMBAY_merged_summary!A:A,0))/1,NA())</f>
        <v>57907</v>
      </c>
      <c r="AI32" s="7">
        <f>AH32/AE32</f>
        <v>7.635416666666667</v>
      </c>
      <c r="AJ32" s="3">
        <f>(10000*M32*0.692)/365.25</f>
        <v>5465.3316906228611</v>
      </c>
      <c r="AK32">
        <f>(10000*M32*0.692)/365.25/(K32*10000)</f>
        <v>3.4662594212391179E-2</v>
      </c>
      <c r="AL32">
        <f>(10000*AD32*0.692)/365.25/(K32*10000)</f>
        <v>8.3042669463665349E-3</v>
      </c>
    </row>
    <row r="33" spans="1:38" x14ac:dyDescent="0.25">
      <c r="A33">
        <f>df_EMBAY_merged_summary!A33</f>
        <v>32</v>
      </c>
      <c r="B33" t="str">
        <f>df_EMBAY_merged_summary!B33</f>
        <v>ProvincetownHarbor</v>
      </c>
      <c r="C33" t="str">
        <f>B33&amp;" ("&amp;A33&amp;")"</f>
        <v>ProvincetownHarbor (32)</v>
      </c>
      <c r="D33">
        <f>INDEX(df_EMBAY_merged_summary!C:C,MATCH(A33,df_EMBAY_merged_summary!A:A,0))</f>
        <v>1652.86848108043</v>
      </c>
      <c r="E33" s="4" t="b">
        <f>IF(IFERROR(INDEX(df_EMBAY_merged_summary!L:L,MATCH(A33,df_EMBAY_merged_summary!A:A,0))/1,NA())=0,FALSE,TRUE)</f>
        <v>0</v>
      </c>
      <c r="F33" s="27">
        <f>INDEX(embay!R:R,MATCH(A33,embay!A:A,0))</f>
        <v>0</v>
      </c>
      <c r="G33" s="27">
        <f>F33/D33</f>
        <v>0</v>
      </c>
      <c r="H33" s="27">
        <f>INDEX(embay!G:G,MATCH(A33,embay!A:A,0))*365.25</f>
        <v>0</v>
      </c>
      <c r="I33" s="28" t="e">
        <f>(H33-F33)/F33</f>
        <v>#DIV/0!</v>
      </c>
      <c r="J33" s="12" t="b">
        <f>NOT(ISNA(K33))</f>
        <v>0</v>
      </c>
      <c r="K33" s="5" t="e">
        <f>IFERROR(INDEX(df_EMBAY_merged_summary!$AN:$AN,MATCH(A33,df_EMBAY_merged_summary!A:A,0))/1,NA())</f>
        <v>#N/A</v>
      </c>
      <c r="L33" s="5" t="e">
        <f>IFERROR(INDEX(df_EMBAY_merged_summary!AP:AP,MATCH(A33,df_EMBAY_merged_summary!A:A,0))/1,NA())</f>
        <v>#N/A</v>
      </c>
      <c r="M33" s="3" t="e">
        <f>IFERROR(INDEX(df_EMBAY_merged_summary!$AQ:$AQ,MATCH(A33,df_EMBAY_merged_summary!A:A,0))/1,NA())</f>
        <v>#N/A</v>
      </c>
      <c r="N33" s="7" t="e">
        <f t="shared" si="0"/>
        <v>#N/A</v>
      </c>
      <c r="O33" s="4" t="e">
        <f>F33*N33</f>
        <v>#N/A</v>
      </c>
      <c r="P33" s="35" t="e">
        <f>IFERROR(INDEX(df_EMBAY_merged_summary!BE:BE,MATCH(A33,df_EMBAY_merged_summary!A:A,0))/1,NA())</f>
        <v>#N/A</v>
      </c>
      <c r="Q33" s="9" t="e">
        <f>O33*AI33</f>
        <v>#N/A</v>
      </c>
      <c r="R33" s="12" t="e">
        <f>Q33/H33</f>
        <v>#N/A</v>
      </c>
      <c r="S33" s="9" t="e">
        <f>AC33*O33</f>
        <v>#DIV/0!</v>
      </c>
      <c r="T33" s="12" t="e">
        <f>$S33/$F33</f>
        <v>#DIV/0!</v>
      </c>
      <c r="U33" s="31" t="e">
        <f>AI33*O33</f>
        <v>#N/A</v>
      </c>
      <c r="V33" s="12" t="e">
        <f>$U33/$H33</f>
        <v>#N/A</v>
      </c>
      <c r="W33" s="30">
        <f>AB33</f>
        <v>0</v>
      </c>
      <c r="X33" s="12" t="e">
        <f>AB33/F33</f>
        <v>#DIV/0!</v>
      </c>
      <c r="Y33" s="12">
        <f>AH33</f>
        <v>0</v>
      </c>
      <c r="Z33" s="12" t="e">
        <f>$Y33/$F33</f>
        <v>#DIV/0!</v>
      </c>
      <c r="AA33" s="3">
        <f>IFERROR(INDEX(df_EMBAY_merged_summary!$AG:$AG,MATCH(A33,df_EMBAY_merged_summary!A:A,0))/1,NA())</f>
        <v>0</v>
      </c>
      <c r="AB33">
        <f>IFERROR(INDEX(df_EMBAY_merged_summary!$AJ:$AJ,MATCH(A33,df_EMBAY_merged_summary!A:A,0))/1,NA())</f>
        <v>0</v>
      </c>
      <c r="AC33" s="7" t="e">
        <f>(AB33/AA33)</f>
        <v>#DIV/0!</v>
      </c>
      <c r="AD33" s="3" t="e">
        <f>IFERROR(INDEX(df_EMBAY_merged_summary!$U:$U,MATCH(A33,df_EMBAY_merged_summary!A:A,0))/1,NA())</f>
        <v>#N/A</v>
      </c>
      <c r="AE33" s="3" t="e">
        <f>IFERROR(INDEX(df_EMBAY_merged_summary!$AB:$AB,MATCH(A33,df_EMBAY_merged_summary!A:A,0))/1,NA())</f>
        <v>#N/A</v>
      </c>
      <c r="AF33" s="3" t="e">
        <f>AD33/M33</f>
        <v>#N/A</v>
      </c>
      <c r="AG33" s="3" t="e">
        <f>AE33/AA33</f>
        <v>#N/A</v>
      </c>
      <c r="AH33" s="3">
        <f>IFERROR(INDEX(df_EMBAY_merged_summary!$AI:$AI,MATCH(A33,df_EMBAY_merged_summary!A:A,0))/1,NA())</f>
        <v>0</v>
      </c>
      <c r="AI33" s="7" t="e">
        <f>AH33/AE33</f>
        <v>#N/A</v>
      </c>
      <c r="AJ33" s="3" t="e">
        <f>(10000*M33*0.692)/365.25</f>
        <v>#N/A</v>
      </c>
      <c r="AK33" t="e">
        <f>(10000*M33*0.692)/365.25/(K33*10000)</f>
        <v>#N/A</v>
      </c>
      <c r="AL33" t="e">
        <f>(10000*AD33*0.692)/365.25/(K33*10000)</f>
        <v>#N/A</v>
      </c>
    </row>
    <row r="34" spans="1:38" x14ac:dyDescent="0.25">
      <c r="A34">
        <f>df_EMBAY_merged_summary!A34</f>
        <v>33</v>
      </c>
      <c r="B34" t="str">
        <f>df_EMBAY_merged_summary!B34</f>
        <v>QuissettHarbor</v>
      </c>
      <c r="C34" t="str">
        <f>B34&amp;" ("&amp;A34&amp;")"</f>
        <v>QuissettHarbor (33)</v>
      </c>
      <c r="D34">
        <f>INDEX(df_EMBAY_merged_summary!C:C,MATCH(A34,df_EMBAY_merged_summary!A:A,0))</f>
        <v>125.654640164078</v>
      </c>
      <c r="E34" s="4" t="b">
        <f>IF(IFERROR(INDEX(df_EMBAY_merged_summary!L:L,MATCH(A34,df_EMBAY_merged_summary!A:A,0))/1,NA())=0,FALSE,TRUE)</f>
        <v>1</v>
      </c>
      <c r="F34" s="27">
        <f>INDEX(embay!R:R,MATCH(A34,embay!A:A,0))</f>
        <v>0</v>
      </c>
      <c r="G34" s="27">
        <f>F34/D34</f>
        <v>0</v>
      </c>
      <c r="H34" s="27">
        <f>INDEX(embay!G:G,MATCH(A34,embay!A:A,0))*365.25</f>
        <v>0</v>
      </c>
      <c r="I34" s="28" t="e">
        <f>(H34-F34)/F34</f>
        <v>#DIV/0!</v>
      </c>
      <c r="J34" s="12" t="b">
        <f>NOT(ISNA(K34))</f>
        <v>0</v>
      </c>
      <c r="K34" s="5" t="e">
        <f>IFERROR(INDEX(df_EMBAY_merged_summary!$AN:$AN,MATCH(A34,df_EMBAY_merged_summary!A:A,0))/1,NA())</f>
        <v>#N/A</v>
      </c>
      <c r="L34" s="5" t="e">
        <f>IFERROR(INDEX(df_EMBAY_merged_summary!AP:AP,MATCH(A34,df_EMBAY_merged_summary!A:A,0))/1,NA())</f>
        <v>#N/A</v>
      </c>
      <c r="M34" s="3" t="e">
        <f>IFERROR(INDEX(df_EMBAY_merged_summary!$AQ:$AQ,MATCH(A34,df_EMBAY_merged_summary!A:A,0))/1,NA())</f>
        <v>#N/A</v>
      </c>
      <c r="N34" s="7" t="e">
        <f t="shared" si="0"/>
        <v>#N/A</v>
      </c>
      <c r="O34" s="4" t="e">
        <f>F34*N34</f>
        <v>#N/A</v>
      </c>
      <c r="P34" s="35" t="e">
        <f>IFERROR(INDEX(df_EMBAY_merged_summary!BE:BE,MATCH(A34,df_EMBAY_merged_summary!A:A,0))/1,NA())</f>
        <v>#N/A</v>
      </c>
      <c r="Q34" s="9" t="e">
        <f>O34*AI34</f>
        <v>#N/A</v>
      </c>
      <c r="R34" s="12" t="e">
        <f>Q34/H34</f>
        <v>#N/A</v>
      </c>
      <c r="S34" s="9" t="e">
        <f>AC34*O34</f>
        <v>#DIV/0!</v>
      </c>
      <c r="T34" s="12" t="e">
        <f>$S34/$F34</f>
        <v>#DIV/0!</v>
      </c>
      <c r="U34" s="31" t="e">
        <f>AI34*O34</f>
        <v>#N/A</v>
      </c>
      <c r="V34" s="12" t="e">
        <f>$U34/$H34</f>
        <v>#N/A</v>
      </c>
      <c r="W34" s="30">
        <f>AB34</f>
        <v>0</v>
      </c>
      <c r="X34" s="12" t="e">
        <f>AB34/F34</f>
        <v>#DIV/0!</v>
      </c>
      <c r="Y34" s="12">
        <f>AH34</f>
        <v>0</v>
      </c>
      <c r="Z34" s="12" t="e">
        <f>$Y34/$F34</f>
        <v>#DIV/0!</v>
      </c>
      <c r="AA34" s="3">
        <f>IFERROR(INDEX(df_EMBAY_merged_summary!$AG:$AG,MATCH(A34,df_EMBAY_merged_summary!A:A,0))/1,NA())</f>
        <v>0</v>
      </c>
      <c r="AB34">
        <f>IFERROR(INDEX(df_EMBAY_merged_summary!$AJ:$AJ,MATCH(A34,df_EMBAY_merged_summary!A:A,0))/1,NA())</f>
        <v>0</v>
      </c>
      <c r="AC34" s="7" t="e">
        <f>(AB34/AA34)</f>
        <v>#DIV/0!</v>
      </c>
      <c r="AD34" s="3" t="e">
        <f>IFERROR(INDEX(df_EMBAY_merged_summary!$U:$U,MATCH(A34,df_EMBAY_merged_summary!A:A,0))/1,NA())</f>
        <v>#N/A</v>
      </c>
      <c r="AE34" s="3" t="e">
        <f>IFERROR(INDEX(df_EMBAY_merged_summary!$AB:$AB,MATCH(A34,df_EMBAY_merged_summary!A:A,0))/1,NA())</f>
        <v>#N/A</v>
      </c>
      <c r="AF34" s="3" t="e">
        <f>AD34/M34</f>
        <v>#N/A</v>
      </c>
      <c r="AG34" s="3" t="e">
        <f>AE34/AA34</f>
        <v>#N/A</v>
      </c>
      <c r="AH34" s="3">
        <f>IFERROR(INDEX(df_EMBAY_merged_summary!$AI:$AI,MATCH(A34,df_EMBAY_merged_summary!A:A,0))/1,NA())</f>
        <v>0</v>
      </c>
      <c r="AI34" s="7" t="e">
        <f>AH34/AE34</f>
        <v>#N/A</v>
      </c>
      <c r="AJ34" s="3" t="e">
        <f>(10000*M34*0.692)/365.25</f>
        <v>#N/A</v>
      </c>
      <c r="AK34" t="e">
        <f>(10000*M34*0.692)/365.25/(K34*10000)</f>
        <v>#N/A</v>
      </c>
      <c r="AL34" t="e">
        <f>(10000*AD34*0.692)/365.25/(K34*10000)</f>
        <v>#N/A</v>
      </c>
    </row>
    <row r="35" spans="1:38" x14ac:dyDescent="0.25">
      <c r="A35">
        <f>df_EMBAY_merged_summary!A35</f>
        <v>34</v>
      </c>
      <c r="B35" t="str">
        <f>df_EMBAY_merged_summary!B35</f>
        <v>QuivettCreek</v>
      </c>
      <c r="C35" t="str">
        <f>B35&amp;" ("&amp;A35&amp;")"</f>
        <v>QuivettCreek (34)</v>
      </c>
      <c r="D35">
        <f>INDEX(df_EMBAY_merged_summary!C:C,MATCH(A35,df_EMBAY_merged_summary!A:A,0))</f>
        <v>568.15319837541301</v>
      </c>
      <c r="E35" s="4" t="b">
        <f>IF(IFERROR(INDEX(df_EMBAY_merged_summary!L:L,MATCH(A35,df_EMBAY_merged_summary!A:A,0))/1,NA())=0,FALSE,TRUE)</f>
        <v>0</v>
      </c>
      <c r="F35" s="27">
        <f>INDEX(embay!R:R,MATCH(A35,embay!A:A,0))</f>
        <v>0</v>
      </c>
      <c r="G35" s="27">
        <f>F35/D35</f>
        <v>0</v>
      </c>
      <c r="H35" s="27">
        <f>INDEX(embay!G:G,MATCH(A35,embay!A:A,0))*365.25</f>
        <v>0</v>
      </c>
      <c r="I35" s="28" t="e">
        <f>(H35-F35)/F35</f>
        <v>#DIV/0!</v>
      </c>
      <c r="J35" s="12" t="b">
        <f>NOT(ISNA(K35))</f>
        <v>0</v>
      </c>
      <c r="K35" s="5" t="e">
        <f>IFERROR(INDEX(df_EMBAY_merged_summary!$AN:$AN,MATCH(A35,df_EMBAY_merged_summary!A:A,0))/1,NA())</f>
        <v>#N/A</v>
      </c>
      <c r="L35" s="5" t="e">
        <f>IFERROR(INDEX(df_EMBAY_merged_summary!AP:AP,MATCH(A35,df_EMBAY_merged_summary!A:A,0))/1,NA())</f>
        <v>#N/A</v>
      </c>
      <c r="M35" s="3" t="e">
        <f>IFERROR(INDEX(df_EMBAY_merged_summary!$AQ:$AQ,MATCH(A35,df_EMBAY_merged_summary!A:A,0))/1,NA())</f>
        <v>#N/A</v>
      </c>
      <c r="N35" s="7" t="e">
        <f t="shared" si="0"/>
        <v>#N/A</v>
      </c>
      <c r="O35" s="4" t="e">
        <f>F35*N35</f>
        <v>#N/A</v>
      </c>
      <c r="P35" s="35" t="e">
        <f>IFERROR(INDEX(df_EMBAY_merged_summary!BE:BE,MATCH(A35,df_EMBAY_merged_summary!A:A,0))/1,NA())</f>
        <v>#N/A</v>
      </c>
      <c r="Q35" s="9" t="e">
        <f>O35*AI35</f>
        <v>#N/A</v>
      </c>
      <c r="R35" s="12" t="e">
        <f>Q35/H35</f>
        <v>#N/A</v>
      </c>
      <c r="S35" s="9" t="e">
        <f>AC35*O35</f>
        <v>#DIV/0!</v>
      </c>
      <c r="T35" s="12" t="e">
        <f>$S35/$F35</f>
        <v>#DIV/0!</v>
      </c>
      <c r="U35" s="31" t="e">
        <f>AI35*O35</f>
        <v>#N/A</v>
      </c>
      <c r="V35" s="12" t="e">
        <f>$U35/$H35</f>
        <v>#N/A</v>
      </c>
      <c r="W35" s="30">
        <f>AB35</f>
        <v>0</v>
      </c>
      <c r="X35" s="12" t="e">
        <f>AB35/F35</f>
        <v>#DIV/0!</v>
      </c>
      <c r="Y35" s="12">
        <f>AH35</f>
        <v>0</v>
      </c>
      <c r="Z35" s="12" t="e">
        <f>$Y35/$F35</f>
        <v>#DIV/0!</v>
      </c>
      <c r="AA35" s="3">
        <f>IFERROR(INDEX(df_EMBAY_merged_summary!$AG:$AG,MATCH(A35,df_EMBAY_merged_summary!A:A,0))/1,NA())</f>
        <v>0</v>
      </c>
      <c r="AB35">
        <f>IFERROR(INDEX(df_EMBAY_merged_summary!$AJ:$AJ,MATCH(A35,df_EMBAY_merged_summary!A:A,0))/1,NA())</f>
        <v>0</v>
      </c>
      <c r="AC35" s="7" t="e">
        <f>(AB35/AA35)</f>
        <v>#DIV/0!</v>
      </c>
      <c r="AD35" s="3" t="e">
        <f>IFERROR(INDEX(df_EMBAY_merged_summary!$U:$U,MATCH(A35,df_EMBAY_merged_summary!A:A,0))/1,NA())</f>
        <v>#N/A</v>
      </c>
      <c r="AE35" s="3" t="e">
        <f>IFERROR(INDEX(df_EMBAY_merged_summary!$AB:$AB,MATCH(A35,df_EMBAY_merged_summary!A:A,0))/1,NA())</f>
        <v>#N/A</v>
      </c>
      <c r="AF35" s="3" t="e">
        <f>AD35/M35</f>
        <v>#N/A</v>
      </c>
      <c r="AG35" s="3" t="e">
        <f>AE35/AA35</f>
        <v>#N/A</v>
      </c>
      <c r="AH35" s="3">
        <f>IFERROR(INDEX(df_EMBAY_merged_summary!$AI:$AI,MATCH(A35,df_EMBAY_merged_summary!A:A,0))/1,NA())</f>
        <v>0</v>
      </c>
      <c r="AI35" s="7" t="e">
        <f>AH35/AE35</f>
        <v>#N/A</v>
      </c>
      <c r="AJ35" s="3" t="e">
        <f>(10000*M35*0.692)/365.25</f>
        <v>#N/A</v>
      </c>
      <c r="AK35" t="e">
        <f>(10000*M35*0.692)/365.25/(K35*10000)</f>
        <v>#N/A</v>
      </c>
      <c r="AL35" t="e">
        <f>(10000*AD35*0.692)/365.25/(K35*10000)</f>
        <v>#N/A</v>
      </c>
    </row>
    <row r="36" spans="1:38" x14ac:dyDescent="0.25">
      <c r="A36">
        <f>df_EMBAY_merged_summary!A36</f>
        <v>35</v>
      </c>
      <c r="B36" t="str">
        <f>df_EMBAY_merged_summary!B36</f>
        <v>RandHarbor</v>
      </c>
      <c r="C36" t="str">
        <f>B36&amp;" ("&amp;A36&amp;")"</f>
        <v>RandHarbor (35)</v>
      </c>
      <c r="D36">
        <f>INDEX(df_EMBAY_merged_summary!C:C,MATCH(A36,df_EMBAY_merged_summary!A:A,0))</f>
        <v>507.34119053263998</v>
      </c>
      <c r="E36" s="4" t="b">
        <f>IF(IFERROR(INDEX(df_EMBAY_merged_summary!L:L,MATCH(A36,df_EMBAY_merged_summary!A:A,0))/1,NA())=0,FALSE,TRUE)</f>
        <v>1</v>
      </c>
      <c r="F36" s="27">
        <f>INDEX(embay!R:R,MATCH(A36,embay!A:A,0))</f>
        <v>0</v>
      </c>
      <c r="G36" s="27">
        <f>F36/D36</f>
        <v>0</v>
      </c>
      <c r="H36" s="27">
        <f>INDEX(embay!G:G,MATCH(A36,embay!A:A,0))*365.25</f>
        <v>0</v>
      </c>
      <c r="I36" s="28" t="e">
        <f>(H36-F36)/F36</f>
        <v>#DIV/0!</v>
      </c>
      <c r="J36" s="12" t="b">
        <f>NOT(ISNA(K36))</f>
        <v>0</v>
      </c>
      <c r="K36" s="5" t="e">
        <f>IFERROR(INDEX(df_EMBAY_merged_summary!$AN:$AN,MATCH(A36,df_EMBAY_merged_summary!A:A,0))/1,NA())</f>
        <v>#N/A</v>
      </c>
      <c r="L36" s="5" t="e">
        <f>IFERROR(INDEX(df_EMBAY_merged_summary!AP:AP,MATCH(A36,df_EMBAY_merged_summary!A:A,0))/1,NA())</f>
        <v>#N/A</v>
      </c>
      <c r="M36" s="3" t="e">
        <f>IFERROR(INDEX(df_EMBAY_merged_summary!$AQ:$AQ,MATCH(A36,df_EMBAY_merged_summary!A:A,0))/1,NA())</f>
        <v>#N/A</v>
      </c>
      <c r="N36" s="7" t="e">
        <f t="shared" si="0"/>
        <v>#N/A</v>
      </c>
      <c r="O36" s="4" t="e">
        <f>F36*N36</f>
        <v>#N/A</v>
      </c>
      <c r="P36" s="35" t="e">
        <f>IFERROR(INDEX(df_EMBAY_merged_summary!BE:BE,MATCH(A36,df_EMBAY_merged_summary!A:A,0))/1,NA())</f>
        <v>#N/A</v>
      </c>
      <c r="Q36" s="9" t="e">
        <f>O36*AI36</f>
        <v>#N/A</v>
      </c>
      <c r="R36" s="12" t="e">
        <f>Q36/H36</f>
        <v>#N/A</v>
      </c>
      <c r="S36" s="9" t="e">
        <f>AC36*O36</f>
        <v>#DIV/0!</v>
      </c>
      <c r="T36" s="12" t="e">
        <f>$S36/$F36</f>
        <v>#DIV/0!</v>
      </c>
      <c r="U36" s="31" t="e">
        <f>AI36*O36</f>
        <v>#N/A</v>
      </c>
      <c r="V36" s="12" t="e">
        <f>$U36/$H36</f>
        <v>#N/A</v>
      </c>
      <c r="W36" s="30">
        <f>AB36</f>
        <v>0</v>
      </c>
      <c r="X36" s="12" t="e">
        <f>AB36/F36</f>
        <v>#DIV/0!</v>
      </c>
      <c r="Y36" s="12">
        <f>AH36</f>
        <v>0</v>
      </c>
      <c r="Z36" s="12" t="e">
        <f>$Y36/$F36</f>
        <v>#DIV/0!</v>
      </c>
      <c r="AA36" s="3">
        <f>IFERROR(INDEX(df_EMBAY_merged_summary!$AG:$AG,MATCH(A36,df_EMBAY_merged_summary!A:A,0))/1,NA())</f>
        <v>0</v>
      </c>
      <c r="AB36">
        <f>IFERROR(INDEX(df_EMBAY_merged_summary!$AJ:$AJ,MATCH(A36,df_EMBAY_merged_summary!A:A,0))/1,NA())</f>
        <v>0</v>
      </c>
      <c r="AC36" s="7" t="e">
        <f>(AB36/AA36)</f>
        <v>#DIV/0!</v>
      </c>
      <c r="AD36" s="3" t="e">
        <f>IFERROR(INDEX(df_EMBAY_merged_summary!$U:$U,MATCH(A36,df_EMBAY_merged_summary!A:A,0))/1,NA())</f>
        <v>#N/A</v>
      </c>
      <c r="AE36" s="3" t="e">
        <f>IFERROR(INDEX(df_EMBAY_merged_summary!$AB:$AB,MATCH(A36,df_EMBAY_merged_summary!A:A,0))/1,NA())</f>
        <v>#N/A</v>
      </c>
      <c r="AF36" s="3" t="e">
        <f>AD36/M36</f>
        <v>#N/A</v>
      </c>
      <c r="AG36" s="3" t="e">
        <f>AE36/AA36</f>
        <v>#N/A</v>
      </c>
      <c r="AH36" s="3">
        <f>IFERROR(INDEX(df_EMBAY_merged_summary!$AI:$AI,MATCH(A36,df_EMBAY_merged_summary!A:A,0))/1,NA())</f>
        <v>0</v>
      </c>
      <c r="AI36" s="7" t="e">
        <f>AH36/AE36</f>
        <v>#N/A</v>
      </c>
      <c r="AJ36" s="3" t="e">
        <f>(10000*M36*0.692)/365.25</f>
        <v>#N/A</v>
      </c>
      <c r="AK36" t="e">
        <f>(10000*M36*0.692)/365.25/(K36*10000)</f>
        <v>#N/A</v>
      </c>
      <c r="AL36" t="e">
        <f>(10000*AD36*0.692)/365.25/(K36*10000)</f>
        <v>#N/A</v>
      </c>
    </row>
    <row r="37" spans="1:38" x14ac:dyDescent="0.25">
      <c r="A37">
        <f>df_EMBAY_merged_summary!A37</f>
        <v>36</v>
      </c>
      <c r="B37" t="str">
        <f>df_EMBAY_merged_summary!B37</f>
        <v>RedRiver</v>
      </c>
      <c r="C37" t="str">
        <f>B37&amp;" ("&amp;A37&amp;")"</f>
        <v>RedRiver (36)</v>
      </c>
      <c r="D37">
        <f>INDEX(df_EMBAY_merged_summary!C:C,MATCH(A37,df_EMBAY_merged_summary!A:A,0))</f>
        <v>712.48653148448795</v>
      </c>
      <c r="E37" s="4" t="b">
        <f>IF(IFERROR(INDEX(df_EMBAY_merged_summary!L:L,MATCH(A37,df_EMBAY_merged_summary!A:A,0))/1,NA())=0,FALSE,TRUE)</f>
        <v>0</v>
      </c>
      <c r="F37" s="27">
        <f>INDEX(embay!R:R,MATCH(A37,embay!A:A,0))</f>
        <v>0</v>
      </c>
      <c r="G37" s="27">
        <f>F37/D37</f>
        <v>0</v>
      </c>
      <c r="H37" s="27">
        <f>INDEX(embay!G:G,MATCH(A37,embay!A:A,0))*365.25</f>
        <v>0</v>
      </c>
      <c r="I37" s="28" t="e">
        <f>(H37-F37)/F37</f>
        <v>#DIV/0!</v>
      </c>
      <c r="J37" s="12" t="b">
        <f>NOT(ISNA(K37))</f>
        <v>0</v>
      </c>
      <c r="K37" s="5" t="e">
        <f>IFERROR(INDEX(df_EMBAY_merged_summary!$AN:$AN,MATCH(A37,df_EMBAY_merged_summary!A:A,0))/1,NA())</f>
        <v>#N/A</v>
      </c>
      <c r="L37" s="5" t="e">
        <f>IFERROR(INDEX(df_EMBAY_merged_summary!AP:AP,MATCH(A37,df_EMBAY_merged_summary!A:A,0))/1,NA())</f>
        <v>#N/A</v>
      </c>
      <c r="M37" s="3" t="e">
        <f>IFERROR(INDEX(df_EMBAY_merged_summary!$AQ:$AQ,MATCH(A37,df_EMBAY_merged_summary!A:A,0))/1,NA())</f>
        <v>#N/A</v>
      </c>
      <c r="N37" s="7" t="e">
        <f t="shared" si="0"/>
        <v>#N/A</v>
      </c>
      <c r="O37" s="4" t="e">
        <f>F37*N37</f>
        <v>#N/A</v>
      </c>
      <c r="P37" s="35" t="e">
        <f>IFERROR(INDEX(df_EMBAY_merged_summary!BE:BE,MATCH(A37,df_EMBAY_merged_summary!A:A,0))/1,NA())</f>
        <v>#N/A</v>
      </c>
      <c r="Q37" s="9" t="e">
        <f>O37*AI37</f>
        <v>#N/A</v>
      </c>
      <c r="R37" s="12" t="e">
        <f>Q37/H37</f>
        <v>#N/A</v>
      </c>
      <c r="S37" s="9" t="e">
        <f>AC37*O37</f>
        <v>#DIV/0!</v>
      </c>
      <c r="T37" s="12" t="e">
        <f>$S37/$F37</f>
        <v>#DIV/0!</v>
      </c>
      <c r="U37" s="31" t="e">
        <f>AI37*O37</f>
        <v>#N/A</v>
      </c>
      <c r="V37" s="12" t="e">
        <f>$U37/$H37</f>
        <v>#N/A</v>
      </c>
      <c r="W37" s="30">
        <f>AB37</f>
        <v>0</v>
      </c>
      <c r="X37" s="12" t="e">
        <f>AB37/F37</f>
        <v>#DIV/0!</v>
      </c>
      <c r="Y37" s="12">
        <f>AH37</f>
        <v>0</v>
      </c>
      <c r="Z37" s="12" t="e">
        <f>$Y37/$F37</f>
        <v>#DIV/0!</v>
      </c>
      <c r="AA37" s="3">
        <f>IFERROR(INDEX(df_EMBAY_merged_summary!$AG:$AG,MATCH(A37,df_EMBAY_merged_summary!A:A,0))/1,NA())</f>
        <v>0</v>
      </c>
      <c r="AB37">
        <f>IFERROR(INDEX(df_EMBAY_merged_summary!$AJ:$AJ,MATCH(A37,df_EMBAY_merged_summary!A:A,0))/1,NA())</f>
        <v>0</v>
      </c>
      <c r="AC37" s="7" t="e">
        <f>(AB37/AA37)</f>
        <v>#DIV/0!</v>
      </c>
      <c r="AD37" s="3" t="e">
        <f>IFERROR(INDEX(df_EMBAY_merged_summary!$U:$U,MATCH(A37,df_EMBAY_merged_summary!A:A,0))/1,NA())</f>
        <v>#N/A</v>
      </c>
      <c r="AE37" s="3" t="e">
        <f>IFERROR(INDEX(df_EMBAY_merged_summary!$AB:$AB,MATCH(A37,df_EMBAY_merged_summary!A:A,0))/1,NA())</f>
        <v>#N/A</v>
      </c>
      <c r="AF37" s="3" t="e">
        <f>AD37/M37</f>
        <v>#N/A</v>
      </c>
      <c r="AG37" s="3" t="e">
        <f>AE37/AA37</f>
        <v>#N/A</v>
      </c>
      <c r="AH37" s="3">
        <f>IFERROR(INDEX(df_EMBAY_merged_summary!$AI:$AI,MATCH(A37,df_EMBAY_merged_summary!A:A,0))/1,NA())</f>
        <v>0</v>
      </c>
      <c r="AI37" s="7" t="e">
        <f>AH37/AE37</f>
        <v>#N/A</v>
      </c>
      <c r="AJ37" s="3" t="e">
        <f>(10000*M37*0.692)/365.25</f>
        <v>#N/A</v>
      </c>
      <c r="AK37" t="e">
        <f>(10000*M37*0.692)/365.25/(K37*10000)</f>
        <v>#N/A</v>
      </c>
      <c r="AL37" t="e">
        <f>(10000*AD37*0.692)/365.25/(K37*10000)</f>
        <v>#N/A</v>
      </c>
    </row>
    <row r="38" spans="1:38" x14ac:dyDescent="0.25">
      <c r="A38">
        <f>df_EMBAY_merged_summary!A38</f>
        <v>37</v>
      </c>
      <c r="B38" t="str">
        <f>df_EMBAY_merged_summary!B38</f>
        <v>RockHarbor</v>
      </c>
      <c r="C38" t="str">
        <f>B38&amp;" ("&amp;A38&amp;")"</f>
        <v>RockHarbor (37)</v>
      </c>
      <c r="D38">
        <f>INDEX(df_EMBAY_merged_summary!C:C,MATCH(A38,df_EMBAY_merged_summary!A:A,0))</f>
        <v>245.999581599897</v>
      </c>
      <c r="E38" s="4" t="b">
        <f>IF(IFERROR(INDEX(df_EMBAY_merged_summary!L:L,MATCH(A38,df_EMBAY_merged_summary!A:A,0))/1,NA())=0,FALSE,TRUE)</f>
        <v>1</v>
      </c>
      <c r="F38" s="27">
        <f>INDEX(embay!R:R,MATCH(A38,embay!A:A,0))</f>
        <v>0</v>
      </c>
      <c r="G38" s="27">
        <f>F38/D38</f>
        <v>0</v>
      </c>
      <c r="H38" s="27">
        <f>INDEX(embay!G:G,MATCH(A38,embay!A:A,0))*365.25</f>
        <v>0</v>
      </c>
      <c r="I38" s="28" t="e">
        <f>(H38-F38)/F38</f>
        <v>#DIV/0!</v>
      </c>
      <c r="J38" s="12" t="b">
        <f>NOT(ISNA(K38))</f>
        <v>0</v>
      </c>
      <c r="K38" s="5" t="e">
        <f>IFERROR(INDEX(df_EMBAY_merged_summary!$AN:$AN,MATCH(A38,df_EMBAY_merged_summary!A:A,0))/1,NA())</f>
        <v>#N/A</v>
      </c>
      <c r="L38" s="5" t="e">
        <f>IFERROR(INDEX(df_EMBAY_merged_summary!AP:AP,MATCH(A38,df_EMBAY_merged_summary!A:A,0))/1,NA())</f>
        <v>#N/A</v>
      </c>
      <c r="M38" s="3" t="e">
        <f>IFERROR(INDEX(df_EMBAY_merged_summary!$AQ:$AQ,MATCH(A38,df_EMBAY_merged_summary!A:A,0))/1,NA())</f>
        <v>#N/A</v>
      </c>
      <c r="N38" s="7" t="e">
        <f t="shared" si="0"/>
        <v>#N/A</v>
      </c>
      <c r="O38" s="4" t="e">
        <f>F38*N38</f>
        <v>#N/A</v>
      </c>
      <c r="P38" s="35" t="e">
        <f>IFERROR(INDEX(df_EMBAY_merged_summary!BE:BE,MATCH(A38,df_EMBAY_merged_summary!A:A,0))/1,NA())</f>
        <v>#N/A</v>
      </c>
      <c r="Q38" s="9" t="e">
        <f>O38*AI38</f>
        <v>#N/A</v>
      </c>
      <c r="R38" s="12" t="e">
        <f>Q38/H38</f>
        <v>#N/A</v>
      </c>
      <c r="S38" s="9" t="e">
        <f>AC38*O38</f>
        <v>#DIV/0!</v>
      </c>
      <c r="T38" s="12" t="e">
        <f>$S38/$F38</f>
        <v>#DIV/0!</v>
      </c>
      <c r="U38" s="31" t="e">
        <f>AI38*O38</f>
        <v>#N/A</v>
      </c>
      <c r="V38" s="12" t="e">
        <f>$U38/$H38</f>
        <v>#N/A</v>
      </c>
      <c r="W38" s="30">
        <f>AB38</f>
        <v>0</v>
      </c>
      <c r="X38" s="12" t="e">
        <f>AB38/F38</f>
        <v>#DIV/0!</v>
      </c>
      <c r="Y38" s="12">
        <f>AH38</f>
        <v>0</v>
      </c>
      <c r="Z38" s="12" t="e">
        <f>$Y38/$F38</f>
        <v>#DIV/0!</v>
      </c>
      <c r="AA38" s="3">
        <f>IFERROR(INDEX(df_EMBAY_merged_summary!$AG:$AG,MATCH(A38,df_EMBAY_merged_summary!A:A,0))/1,NA())</f>
        <v>0</v>
      </c>
      <c r="AB38">
        <f>IFERROR(INDEX(df_EMBAY_merged_summary!$AJ:$AJ,MATCH(A38,df_EMBAY_merged_summary!A:A,0))/1,NA())</f>
        <v>0</v>
      </c>
      <c r="AC38" s="7" t="e">
        <f>(AB38/AA38)</f>
        <v>#DIV/0!</v>
      </c>
      <c r="AD38" s="3" t="e">
        <f>IFERROR(INDEX(df_EMBAY_merged_summary!$U:$U,MATCH(A38,df_EMBAY_merged_summary!A:A,0))/1,NA())</f>
        <v>#N/A</v>
      </c>
      <c r="AE38" s="3" t="e">
        <f>IFERROR(INDEX(df_EMBAY_merged_summary!$AB:$AB,MATCH(A38,df_EMBAY_merged_summary!A:A,0))/1,NA())</f>
        <v>#N/A</v>
      </c>
      <c r="AF38" s="3" t="e">
        <f>AD38/M38</f>
        <v>#N/A</v>
      </c>
      <c r="AG38" s="3" t="e">
        <f>AE38/AA38</f>
        <v>#N/A</v>
      </c>
      <c r="AH38" s="3">
        <f>IFERROR(INDEX(df_EMBAY_merged_summary!$AI:$AI,MATCH(A38,df_EMBAY_merged_summary!A:A,0))/1,NA())</f>
        <v>0</v>
      </c>
      <c r="AI38" s="7" t="e">
        <f>AH38/AE38</f>
        <v>#N/A</v>
      </c>
      <c r="AJ38" s="3" t="e">
        <f>(10000*M38*0.692)/365.25</f>
        <v>#N/A</v>
      </c>
      <c r="AK38" t="e">
        <f>(10000*M38*0.692)/365.25/(K38*10000)</f>
        <v>#N/A</v>
      </c>
      <c r="AL38" t="e">
        <f>(10000*AD38*0.692)/365.25/(K38*10000)</f>
        <v>#N/A</v>
      </c>
    </row>
    <row r="39" spans="1:38" x14ac:dyDescent="0.25">
      <c r="A39">
        <f>df_EMBAY_merged_summary!A39</f>
        <v>38</v>
      </c>
      <c r="B39" t="str">
        <f>df_EMBAY_merged_summary!B39</f>
        <v>RushyMarshPond</v>
      </c>
      <c r="C39" t="str">
        <f>B39&amp;" ("&amp;A39&amp;")"</f>
        <v>RushyMarshPond (38)</v>
      </c>
      <c r="D39">
        <f>INDEX(df_EMBAY_merged_summary!C:C,MATCH(A39,df_EMBAY_merged_summary!A:A,0))</f>
        <v>28.6351422526966</v>
      </c>
      <c r="E39" s="4" t="b">
        <f>IF(IFERROR(INDEX(df_EMBAY_merged_summary!L:L,MATCH(A39,df_EMBAY_merged_summary!A:A,0))/1,NA())=0,FALSE,TRUE)</f>
        <v>1</v>
      </c>
      <c r="F39" s="27">
        <f>INDEX(embay!R:R,MATCH(A39,embay!A:A,0))</f>
        <v>0</v>
      </c>
      <c r="G39" s="27">
        <f>F39/D39</f>
        <v>0</v>
      </c>
      <c r="H39" s="27">
        <f>INDEX(embay!G:G,MATCH(A39,embay!A:A,0))*365.25</f>
        <v>0</v>
      </c>
      <c r="I39" s="28" t="e">
        <f>(H39-F39)/F39</f>
        <v>#DIV/0!</v>
      </c>
      <c r="J39" s="12" t="b">
        <f>NOT(ISNA(K39))</f>
        <v>0</v>
      </c>
      <c r="K39" s="5" t="e">
        <f>IFERROR(INDEX(df_EMBAY_merged_summary!$AN:$AN,MATCH(A39,df_EMBAY_merged_summary!A:A,0))/1,NA())</f>
        <v>#N/A</v>
      </c>
      <c r="L39" s="5" t="e">
        <f>IFERROR(INDEX(df_EMBAY_merged_summary!AP:AP,MATCH(A39,df_EMBAY_merged_summary!A:A,0))/1,NA())</f>
        <v>#N/A</v>
      </c>
      <c r="M39" s="3" t="e">
        <f>IFERROR(INDEX(df_EMBAY_merged_summary!$AQ:$AQ,MATCH(A39,df_EMBAY_merged_summary!A:A,0))/1,NA())</f>
        <v>#N/A</v>
      </c>
      <c r="N39" s="7" t="e">
        <f t="shared" si="0"/>
        <v>#N/A</v>
      </c>
      <c r="O39" s="4" t="e">
        <f>F39*N39</f>
        <v>#N/A</v>
      </c>
      <c r="P39" s="35" t="e">
        <f>IFERROR(INDEX(df_EMBAY_merged_summary!BE:BE,MATCH(A39,df_EMBAY_merged_summary!A:A,0))/1,NA())</f>
        <v>#N/A</v>
      </c>
      <c r="Q39" s="9" t="e">
        <f>O39*AI39</f>
        <v>#N/A</v>
      </c>
      <c r="R39" s="12" t="e">
        <f>Q39/H39</f>
        <v>#N/A</v>
      </c>
      <c r="S39" s="9" t="e">
        <f>AC39*O39</f>
        <v>#DIV/0!</v>
      </c>
      <c r="T39" s="12" t="e">
        <f>$S39/$F39</f>
        <v>#DIV/0!</v>
      </c>
      <c r="U39" s="31" t="e">
        <f>AI39*O39</f>
        <v>#N/A</v>
      </c>
      <c r="V39" s="12" t="e">
        <f>$U39/$H39</f>
        <v>#N/A</v>
      </c>
      <c r="W39" s="30">
        <f>AB39</f>
        <v>0</v>
      </c>
      <c r="X39" s="12" t="e">
        <f>AB39/F39</f>
        <v>#DIV/0!</v>
      </c>
      <c r="Y39" s="12">
        <f>AH39</f>
        <v>0</v>
      </c>
      <c r="Z39" s="12" t="e">
        <f>$Y39/$F39</f>
        <v>#DIV/0!</v>
      </c>
      <c r="AA39" s="3">
        <f>IFERROR(INDEX(df_EMBAY_merged_summary!$AG:$AG,MATCH(A39,df_EMBAY_merged_summary!A:A,0))/1,NA())</f>
        <v>0</v>
      </c>
      <c r="AB39">
        <f>IFERROR(INDEX(df_EMBAY_merged_summary!$AJ:$AJ,MATCH(A39,df_EMBAY_merged_summary!A:A,0))/1,NA())</f>
        <v>0</v>
      </c>
      <c r="AC39" s="7" t="e">
        <f>(AB39/AA39)</f>
        <v>#DIV/0!</v>
      </c>
      <c r="AD39" s="3" t="e">
        <f>IFERROR(INDEX(df_EMBAY_merged_summary!$U:$U,MATCH(A39,df_EMBAY_merged_summary!A:A,0))/1,NA())</f>
        <v>#N/A</v>
      </c>
      <c r="AE39" s="3" t="e">
        <f>IFERROR(INDEX(df_EMBAY_merged_summary!$AB:$AB,MATCH(A39,df_EMBAY_merged_summary!A:A,0))/1,NA())</f>
        <v>#N/A</v>
      </c>
      <c r="AF39" s="3" t="e">
        <f>AD39/M39</f>
        <v>#N/A</v>
      </c>
      <c r="AG39" s="3" t="e">
        <f>AE39/AA39</f>
        <v>#N/A</v>
      </c>
      <c r="AH39" s="3">
        <f>IFERROR(INDEX(df_EMBAY_merged_summary!$AI:$AI,MATCH(A39,df_EMBAY_merged_summary!A:A,0))/1,NA())</f>
        <v>0</v>
      </c>
      <c r="AI39" s="7" t="e">
        <f>AH39/AE39</f>
        <v>#N/A</v>
      </c>
      <c r="AJ39" s="3" t="e">
        <f>(10000*M39*0.692)/365.25</f>
        <v>#N/A</v>
      </c>
      <c r="AK39" t="e">
        <f>(10000*M39*0.692)/365.25/(K39*10000)</f>
        <v>#N/A</v>
      </c>
      <c r="AL39" t="e">
        <f>(10000*AD39*0.692)/365.25/(K39*10000)</f>
        <v>#N/A</v>
      </c>
    </row>
    <row r="40" spans="1:38" x14ac:dyDescent="0.25">
      <c r="A40">
        <f>df_EMBAY_merged_summary!A40</f>
        <v>39</v>
      </c>
      <c r="B40" t="str">
        <f>df_EMBAY_merged_summary!B40</f>
        <v>SaltPond</v>
      </c>
      <c r="C40" t="str">
        <f>B40&amp;" ("&amp;A40&amp;")"</f>
        <v>SaltPond (39)</v>
      </c>
      <c r="D40">
        <f>INDEX(df_EMBAY_merged_summary!C:C,MATCH(A40,df_EMBAY_merged_summary!A:A,0))</f>
        <v>190.27735865033199</v>
      </c>
      <c r="E40" s="4" t="b">
        <f>IF(IFERROR(INDEX(df_EMBAY_merged_summary!L:L,MATCH(A40,df_EMBAY_merged_summary!A:A,0))/1,NA())=0,FALSE,TRUE)</f>
        <v>1</v>
      </c>
      <c r="F40" s="27">
        <f>INDEX(embay!R:R,MATCH(A40,embay!A:A,0))</f>
        <v>0</v>
      </c>
      <c r="G40" s="27">
        <f>F40/D40</f>
        <v>0</v>
      </c>
      <c r="H40" s="27">
        <f>INDEX(embay!G:G,MATCH(A40,embay!A:A,0))*365.25</f>
        <v>0</v>
      </c>
      <c r="I40" s="28" t="e">
        <f>(H40-F40)/F40</f>
        <v>#DIV/0!</v>
      </c>
      <c r="J40" s="12" t="b">
        <f>NOT(ISNA(K40))</f>
        <v>0</v>
      </c>
      <c r="K40" s="5" t="e">
        <f>IFERROR(INDEX(df_EMBAY_merged_summary!$AN:$AN,MATCH(A40,df_EMBAY_merged_summary!A:A,0))/1,NA())</f>
        <v>#N/A</v>
      </c>
      <c r="L40" s="5" t="e">
        <f>IFERROR(INDEX(df_EMBAY_merged_summary!AP:AP,MATCH(A40,df_EMBAY_merged_summary!A:A,0))/1,NA())</f>
        <v>#N/A</v>
      </c>
      <c r="M40" s="3" t="e">
        <f>IFERROR(INDEX(df_EMBAY_merged_summary!$AQ:$AQ,MATCH(A40,df_EMBAY_merged_summary!A:A,0))/1,NA())</f>
        <v>#N/A</v>
      </c>
      <c r="N40" s="7" t="e">
        <f t="shared" si="0"/>
        <v>#N/A</v>
      </c>
      <c r="O40" s="4" t="e">
        <f>F40*N40</f>
        <v>#N/A</v>
      </c>
      <c r="P40" s="35" t="e">
        <f>IFERROR(INDEX(df_EMBAY_merged_summary!BE:BE,MATCH(A40,df_EMBAY_merged_summary!A:A,0))/1,NA())</f>
        <v>#N/A</v>
      </c>
      <c r="Q40" s="9" t="e">
        <f>O40*AI40</f>
        <v>#N/A</v>
      </c>
      <c r="R40" s="12" t="e">
        <f>Q40/H40</f>
        <v>#N/A</v>
      </c>
      <c r="S40" s="9" t="e">
        <f>AC40*O40</f>
        <v>#DIV/0!</v>
      </c>
      <c r="T40" s="12" t="e">
        <f>$S40/$F40</f>
        <v>#DIV/0!</v>
      </c>
      <c r="U40" s="31" t="e">
        <f>AI40*O40</f>
        <v>#N/A</v>
      </c>
      <c r="V40" s="12" t="e">
        <f>$U40/$H40</f>
        <v>#N/A</v>
      </c>
      <c r="W40" s="30">
        <f>AB40</f>
        <v>0</v>
      </c>
      <c r="X40" s="12" t="e">
        <f>AB40/F40</f>
        <v>#DIV/0!</v>
      </c>
      <c r="Y40" s="12">
        <f>AH40</f>
        <v>0</v>
      </c>
      <c r="Z40" s="12" t="e">
        <f>$Y40/$F40</f>
        <v>#DIV/0!</v>
      </c>
      <c r="AA40" s="3">
        <f>IFERROR(INDEX(df_EMBAY_merged_summary!$AG:$AG,MATCH(A40,df_EMBAY_merged_summary!A:A,0))/1,NA())</f>
        <v>0</v>
      </c>
      <c r="AB40">
        <f>IFERROR(INDEX(df_EMBAY_merged_summary!$AJ:$AJ,MATCH(A40,df_EMBAY_merged_summary!A:A,0))/1,NA())</f>
        <v>0</v>
      </c>
      <c r="AC40" s="7" t="e">
        <f>(AB40/AA40)</f>
        <v>#DIV/0!</v>
      </c>
      <c r="AD40" s="3" t="e">
        <f>IFERROR(INDEX(df_EMBAY_merged_summary!$U:$U,MATCH(A40,df_EMBAY_merged_summary!A:A,0))/1,NA())</f>
        <v>#N/A</v>
      </c>
      <c r="AE40" s="3" t="e">
        <f>IFERROR(INDEX(df_EMBAY_merged_summary!$AB:$AB,MATCH(A40,df_EMBAY_merged_summary!A:A,0))/1,NA())</f>
        <v>#N/A</v>
      </c>
      <c r="AF40" s="3" t="e">
        <f>AD40/M40</f>
        <v>#N/A</v>
      </c>
      <c r="AG40" s="3" t="e">
        <f>AE40/AA40</f>
        <v>#N/A</v>
      </c>
      <c r="AH40" s="3">
        <f>IFERROR(INDEX(df_EMBAY_merged_summary!$AI:$AI,MATCH(A40,df_EMBAY_merged_summary!A:A,0))/1,NA())</f>
        <v>0</v>
      </c>
      <c r="AI40" s="7" t="e">
        <f>AH40/AE40</f>
        <v>#N/A</v>
      </c>
      <c r="AJ40" s="3" t="e">
        <f>(10000*M40*0.692)/365.25</f>
        <v>#N/A</v>
      </c>
      <c r="AK40" t="e">
        <f>(10000*M40*0.692)/365.25/(K40*10000)</f>
        <v>#N/A</v>
      </c>
      <c r="AL40" t="e">
        <f>(10000*AD40*0.692)/365.25/(K40*10000)</f>
        <v>#N/A</v>
      </c>
    </row>
    <row r="41" spans="1:38" x14ac:dyDescent="0.25">
      <c r="A41">
        <f>df_EMBAY_merged_summary!A41</f>
        <v>40</v>
      </c>
      <c r="B41" t="str">
        <f>df_EMBAY_merged_summary!B41</f>
        <v>SandwichHarbor</v>
      </c>
      <c r="C41" t="str">
        <f>B41&amp;" ("&amp;A41&amp;")"</f>
        <v>SandwichHarbor (40)</v>
      </c>
      <c r="D41">
        <f>INDEX(df_EMBAY_merged_summary!C:C,MATCH(A41,df_EMBAY_merged_summary!A:A,0))</f>
        <v>2768.84443917407</v>
      </c>
      <c r="E41" s="4" t="b">
        <f>IF(IFERROR(INDEX(df_EMBAY_merged_summary!L:L,MATCH(A41,df_EMBAY_merged_summary!A:A,0))/1,NA())=0,FALSE,TRUE)</f>
        <v>1</v>
      </c>
      <c r="F41" s="27">
        <f>INDEX(df_EMBAY_merged_summary!AG:AG,MATCH(A41,embay!A:A,0))</f>
        <v>14749.160250000001</v>
      </c>
      <c r="G41" s="27">
        <f>F41/D41</f>
        <v>5.3268287814679791</v>
      </c>
      <c r="H41" s="27">
        <f>INDEX(embay!G:G,MATCH(A41,embay!A:A,0))*365.25</f>
        <v>34970.861250000002</v>
      </c>
      <c r="I41" s="28">
        <f>(H41-F41)/F41</f>
        <v>1.3710408360367499</v>
      </c>
      <c r="J41" s="12" t="b">
        <f>NOT(ISNA(K41))</f>
        <v>1</v>
      </c>
      <c r="K41" s="5">
        <f>IFERROR(INDEX(df_EMBAY_merged_summary!$AN:$AN,MATCH(A41,df_EMBAY_merged_summary!A:A,0))/1,NA())</f>
        <v>3.6769419409427999</v>
      </c>
      <c r="L41" s="5">
        <f>IFERROR(INDEX(df_EMBAY_merged_summary!AP:AP,MATCH(A41,df_EMBAY_merged_summary!A:A,0))/1,NA())</f>
        <v>2</v>
      </c>
      <c r="M41" s="3">
        <f>IFERROR(INDEX(df_EMBAY_merged_summary!$AQ:$AQ,MATCH(A41,df_EMBAY_merged_summary!A:A,0))/1,NA())</f>
        <v>6.78</v>
      </c>
      <c r="N41" s="7">
        <f t="shared" si="0"/>
        <v>2.4486749432634917E-3</v>
      </c>
      <c r="O41" s="35">
        <f>F41*N41</f>
        <v>36.115899138352901</v>
      </c>
      <c r="P41" s="35">
        <f>IFERROR(INDEX(df_EMBAY_merged_summary!BE:BE,MATCH(A41,df_EMBAY_merged_summary!A:A,0))/1,NA())</f>
        <v>26.150464399727799</v>
      </c>
      <c r="Q41" s="9">
        <f>O41*0.5</f>
        <v>18.057949569176451</v>
      </c>
      <c r="R41" s="12">
        <f>Q41/F41</f>
        <v>1.2243374716317458E-3</v>
      </c>
      <c r="S41" s="9">
        <f>AC41*O41</f>
        <v>46.926406612701562</v>
      </c>
      <c r="T41" s="12">
        <f>$S41/$F41</f>
        <v>3.1816324331211711E-3</v>
      </c>
      <c r="U41" s="31">
        <f>AI41*O41</f>
        <v>1287.6214536773052</v>
      </c>
      <c r="V41" s="12">
        <f>$U41/$F41</f>
        <v>8.7301339998479249E-2</v>
      </c>
      <c r="W41" s="30">
        <f>AB41</f>
        <v>19164</v>
      </c>
      <c r="X41" s="12">
        <f>AB41/F41</f>
        <v>1.2993282109061091</v>
      </c>
      <c r="Y41" s="12">
        <f>AH41</f>
        <v>20108</v>
      </c>
      <c r="Z41" s="12">
        <f>$Y41/$F41</f>
        <v>1.3633318547745794</v>
      </c>
      <c r="AA41" s="3">
        <f>IFERROR(INDEX(df_EMBAY_merged_summary!$AG:$AG,MATCH(A41,df_EMBAY_merged_summary!A:A,0))/1,NA())</f>
        <v>14749.160250000001</v>
      </c>
      <c r="AB41">
        <f>IFERROR(INDEX(df_EMBAY_merged_summary!$AJ:$AJ,MATCH(A41,df_EMBAY_merged_summary!A:A,0))/1,NA())</f>
        <v>19164</v>
      </c>
      <c r="AC41" s="7">
        <f>(AB41/AA41)</f>
        <v>1.2993282109061091</v>
      </c>
      <c r="AD41" s="3">
        <f>IFERROR(INDEX(df_EMBAY_merged_summary!$U:$U,MATCH(A41,df_EMBAY_merged_summary!A:A,0))/1,NA())</f>
        <v>40.381</v>
      </c>
      <c r="AE41" s="3">
        <f>IFERROR(INDEX(df_EMBAY_merged_summary!$AB:$AB,MATCH(A41,df_EMBAY_merged_summary!A:A,0))/1,NA())</f>
        <v>564</v>
      </c>
      <c r="AF41" s="3">
        <f>AD41/M41</f>
        <v>5.9558997050147493</v>
      </c>
      <c r="AG41" s="3">
        <f>AE41/AA41</f>
        <v>3.823946519260308E-2</v>
      </c>
      <c r="AH41" s="3">
        <f>IFERROR(INDEX(df_EMBAY_merged_summary!$AI:$AI,MATCH(A41,df_EMBAY_merged_summary!A:A,0))/1,NA())</f>
        <v>20108</v>
      </c>
      <c r="AI41" s="7">
        <f>AH41/AE41</f>
        <v>35.652482269503544</v>
      </c>
      <c r="AJ41" s="3">
        <f>(10000*M41*0.692)/365.25</f>
        <v>128.45338809034908</v>
      </c>
      <c r="AK41">
        <f>(10000*M41*0.692)/365.25/(K41*10000)</f>
        <v>3.4934842636490616E-3</v>
      </c>
      <c r="AL41">
        <f>(10000*AD41*0.692)/365.25/(K41*10000)</f>
        <v>2.0806841895341113E-2</v>
      </c>
    </row>
    <row r="42" spans="1:38" x14ac:dyDescent="0.25">
      <c r="A42">
        <f>df_EMBAY_merged_summary!A42</f>
        <v>41</v>
      </c>
      <c r="B42" t="str">
        <f>df_EMBAY_merged_summary!B42</f>
        <v>SaquatucketHarbor</v>
      </c>
      <c r="C42" t="str">
        <f>B42&amp;" ("&amp;A42&amp;")"</f>
        <v>SaquatucketHarbor (41)</v>
      </c>
      <c r="D42">
        <f>INDEX(df_EMBAY_merged_summary!C:C,MATCH(A42,df_EMBAY_merged_summary!A:A,0))</f>
        <v>713.25120549181202</v>
      </c>
      <c r="E42" s="4" t="b">
        <f>IF(IFERROR(INDEX(df_EMBAY_merged_summary!L:L,MATCH(A42,df_EMBAY_merged_summary!A:A,0))/1,NA())=0,FALSE,TRUE)</f>
        <v>1</v>
      </c>
      <c r="F42" s="27">
        <f>INDEX(df_EMBAY_merged_summary!AG:AG,MATCH(A42,embay!A:A,0))</f>
        <v>6298.0057500000003</v>
      </c>
      <c r="G42" s="27">
        <f>F42/D42</f>
        <v>8.8299966428480161</v>
      </c>
      <c r="H42" s="27">
        <f>INDEX(embay!G:G,MATCH(A42,embay!A:A,0))*365.25</f>
        <v>3388.4242499999996</v>
      </c>
      <c r="I42" s="28">
        <f>(H42-F42)/F42</f>
        <v>-0.4619845734500958</v>
      </c>
      <c r="J42" s="12" t="b">
        <f>NOT(ISNA(K42))</f>
        <v>1</v>
      </c>
      <c r="K42" s="5">
        <f>IFERROR(INDEX(df_EMBAY_merged_summary!$AN:$AN,MATCH(A42,df_EMBAY_merged_summary!A:A,0))/1,NA())</f>
        <v>14.127144267534799</v>
      </c>
      <c r="L42" s="5">
        <f>IFERROR(INDEX(df_EMBAY_merged_summary!AP:AP,MATCH(A42,df_EMBAY_merged_summary!A:A,0))/1,NA())</f>
        <v>2</v>
      </c>
      <c r="M42" s="3">
        <f>IFERROR(INDEX(df_EMBAY_merged_summary!$AQ:$AQ,MATCH(A42,df_EMBAY_merged_summary!A:A,0))/1,NA())</f>
        <v>548.5</v>
      </c>
      <c r="N42" s="7">
        <f t="shared" si="0"/>
        <v>0.76901377211383726</v>
      </c>
      <c r="O42" s="35">
        <f>F42*N42</f>
        <v>4843.2531586021369</v>
      </c>
      <c r="P42" s="35">
        <f>IFERROR(INDEX(df_EMBAY_merged_summary!BE:BE,MATCH(A42,df_EMBAY_merged_summary!A:A,0))/1,NA())</f>
        <v>4269.1922687291999</v>
      </c>
      <c r="Q42" s="9">
        <f>O42*0.5</f>
        <v>2421.6265793010684</v>
      </c>
      <c r="R42" s="12">
        <f>Q42/F42</f>
        <v>0.38450688605691863</v>
      </c>
      <c r="S42" s="9">
        <f>AC42*O42</f>
        <v>5942.1694171236204</v>
      </c>
      <c r="T42" s="12">
        <f>$S42/$F42</f>
        <v>0.94350015750995786</v>
      </c>
      <c r="U42" s="31">
        <f>AI42*O42</f>
        <v>320056.08303889591</v>
      </c>
      <c r="V42" s="12">
        <f>$U42/$F42</f>
        <v>50.818639382616617</v>
      </c>
      <c r="W42" s="30">
        <f>AB42</f>
        <v>7727</v>
      </c>
      <c r="X42" s="12">
        <f>AB42/F42</f>
        <v>1.2268963076129296</v>
      </c>
      <c r="Y42" s="12">
        <f>AH42</f>
        <v>11961</v>
      </c>
      <c r="Z42" s="12">
        <f>$Y42/$F42</f>
        <v>1.8991726071383785</v>
      </c>
      <c r="AA42" s="3">
        <f>IFERROR(INDEX(df_EMBAY_merged_summary!$AG:$AG,MATCH(A42,df_EMBAY_merged_summary!A:A,0))/1,NA())</f>
        <v>6298.0057500000003</v>
      </c>
      <c r="AB42">
        <f>IFERROR(INDEX(df_EMBAY_merged_summary!$AJ:$AJ,MATCH(A42,df_EMBAY_merged_summary!A:A,0))/1,NA())</f>
        <v>7727</v>
      </c>
      <c r="AC42" s="7">
        <f>(AB42/AA42)</f>
        <v>1.2268963076129296</v>
      </c>
      <c r="AD42" s="3">
        <f>IFERROR(INDEX(df_EMBAY_merged_summary!$U:$U,MATCH(A42,df_EMBAY_merged_summary!A:A,0))/1,NA())</f>
        <v>17.242999999999999</v>
      </c>
      <c r="AE42" s="3">
        <f>IFERROR(INDEX(df_EMBAY_merged_summary!$AB:$AB,MATCH(A42,df_EMBAY_merged_summary!A:A,0))/1,NA())</f>
        <v>181</v>
      </c>
      <c r="AF42" s="3">
        <f>AD42/M42</f>
        <v>3.1436645396536005E-2</v>
      </c>
      <c r="AG42" s="3">
        <f>AE42/AA42</f>
        <v>2.8739256073241914E-2</v>
      </c>
      <c r="AH42" s="3">
        <f>IFERROR(INDEX(df_EMBAY_merged_summary!$AI:$AI,MATCH(A42,df_EMBAY_merged_summary!A:A,0))/1,NA())</f>
        <v>11961</v>
      </c>
      <c r="AI42" s="7">
        <f>AH42/AE42</f>
        <v>66.082872928176798</v>
      </c>
      <c r="AJ42" s="3">
        <f>(10000*M42*0.692)/365.25</f>
        <v>10391.841204654345</v>
      </c>
      <c r="AK42">
        <f>(10000*M42*0.692)/365.25/(K42*10000)</f>
        <v>7.3559390403731842E-2</v>
      </c>
      <c r="AL42">
        <f>(10000*AD42*0.692)/365.25/(K42*10000)</f>
        <v>2.3124604717074714E-3</v>
      </c>
    </row>
    <row r="43" spans="1:38" x14ac:dyDescent="0.25">
      <c r="A43">
        <f>df_EMBAY_merged_summary!A43</f>
        <v>42</v>
      </c>
      <c r="B43" t="str">
        <f>df_EMBAY_merged_summary!B43</f>
        <v>ScortonHarbor</v>
      </c>
      <c r="C43" t="str">
        <f>B43&amp;" ("&amp;A43&amp;")"</f>
        <v>ScortonHarbor (42)</v>
      </c>
      <c r="D43">
        <f>INDEX(df_EMBAY_merged_summary!C:C,MATCH(A43,df_EMBAY_merged_summary!A:A,0))</f>
        <v>2837.17497040833</v>
      </c>
      <c r="E43" s="4" t="b">
        <f>IF(IFERROR(INDEX(df_EMBAY_merged_summary!L:L,MATCH(A43,df_EMBAY_merged_summary!A:A,0))/1,NA())=0,FALSE,TRUE)</f>
        <v>1</v>
      </c>
      <c r="F43" s="27">
        <f>INDEX(df_EMBAY_merged_summary!AG:AG,MATCH(A43,embay!A:A,0))</f>
        <v>14515.035</v>
      </c>
      <c r="G43" s="27">
        <f>F43/D43</f>
        <v>5.1160168658582865</v>
      </c>
      <c r="H43" s="27">
        <f>INDEX(embay!G:G,MATCH(A43,embay!A:A,0))*365.25</f>
        <v>57735.43275</v>
      </c>
      <c r="I43" s="28">
        <f>(H43-F43)/F43</f>
        <v>2.9776295923502771</v>
      </c>
      <c r="J43" s="12" t="b">
        <f>NOT(ISNA(K43))</f>
        <v>1</v>
      </c>
      <c r="K43" s="5">
        <f>IFERROR(INDEX(df_EMBAY_merged_summary!$AN:$AN,MATCH(A43,df_EMBAY_merged_summary!A:A,0))/1,NA())</f>
        <v>22.7758819837122</v>
      </c>
      <c r="L43" s="5">
        <f>IFERROR(INDEX(df_EMBAY_merged_summary!AP:AP,MATCH(A43,df_EMBAY_merged_summary!A:A,0))/1,NA())</f>
        <v>7</v>
      </c>
      <c r="M43" s="3">
        <f>IFERROR(INDEX(df_EMBAY_merged_summary!$AQ:$AQ,MATCH(A43,df_EMBAY_merged_summary!A:A,0))/1,NA())</f>
        <v>632.24</v>
      </c>
      <c r="N43" s="7">
        <f t="shared" si="0"/>
        <v>0.22284138503766907</v>
      </c>
      <c r="O43" s="35">
        <f>F43*N43</f>
        <v>3234.5505032702426</v>
      </c>
      <c r="P43" s="35">
        <f>IFERROR(INDEX(df_EMBAY_merged_summary!BE:BE,MATCH(A43,df_EMBAY_merged_summary!A:A,0))/1,NA())</f>
        <v>2794.8853432749202</v>
      </c>
      <c r="Q43" s="9">
        <f>O43*0.5</f>
        <v>1617.2752516351213</v>
      </c>
      <c r="R43" s="12">
        <f>Q43/F43</f>
        <v>0.11142069251883453</v>
      </c>
      <c r="S43" s="9">
        <f>AC43*O43</f>
        <v>4638.6662709441189</v>
      </c>
      <c r="T43" s="12">
        <f>$S43/$F43</f>
        <v>0.31957665075861813</v>
      </c>
      <c r="U43" s="31">
        <f>AI43*O43</f>
        <v>84108.245174596232</v>
      </c>
      <c r="V43" s="12">
        <f>$U43/$F43</f>
        <v>5.7945602731647723</v>
      </c>
      <c r="W43" s="30">
        <f>AB43</f>
        <v>20816</v>
      </c>
      <c r="X43" s="12">
        <f>AB43/F43</f>
        <v>1.4340991943870613</v>
      </c>
      <c r="Y43" s="12">
        <f>AH43</f>
        <v>25405</v>
      </c>
      <c r="Z43" s="12">
        <f>$Y43/$F43</f>
        <v>1.7502541330420491</v>
      </c>
      <c r="AA43" s="3">
        <f>IFERROR(INDEX(df_EMBAY_merged_summary!$AG:$AG,MATCH(A43,df_EMBAY_merged_summary!A:A,0))/1,NA())</f>
        <v>14515.035</v>
      </c>
      <c r="AB43">
        <f>IFERROR(INDEX(df_EMBAY_merged_summary!$AJ:$AJ,MATCH(A43,df_EMBAY_merged_summary!A:A,0))/1,NA())</f>
        <v>20816</v>
      </c>
      <c r="AC43" s="7">
        <f>(AB43/AA43)</f>
        <v>1.4340991943870613</v>
      </c>
      <c r="AD43" s="3">
        <f>IFERROR(INDEX(df_EMBAY_merged_summary!$U:$U,MATCH(A43,df_EMBAY_merged_summary!A:A,0))/1,NA())</f>
        <v>39.74</v>
      </c>
      <c r="AE43" s="3">
        <f>IFERROR(INDEX(df_EMBAY_merged_summary!$AB:$AB,MATCH(A43,df_EMBAY_merged_summary!A:A,0))/1,NA())</f>
        <v>977</v>
      </c>
      <c r="AF43" s="3">
        <f>AD43/M43</f>
        <v>6.2855877514867778E-2</v>
      </c>
      <c r="AG43" s="3">
        <f>AE43/AA43</f>
        <v>6.7309517338401181E-2</v>
      </c>
      <c r="AH43" s="3">
        <f>IFERROR(INDEX(df_EMBAY_merged_summary!$AI:$AI,MATCH(A43,df_EMBAY_merged_summary!A:A,0))/1,NA())</f>
        <v>25405</v>
      </c>
      <c r="AI43" s="7">
        <f>AH43/AE43</f>
        <v>26.003070624360287</v>
      </c>
      <c r="AJ43" s="3">
        <f>(10000*M43*0.692)/365.25</f>
        <v>11978.373169062286</v>
      </c>
      <c r="AK43">
        <f>(10000*M43*0.692)/365.25/(K43*10000)</f>
        <v>5.2592357027615548E-2</v>
      </c>
      <c r="AL43">
        <f>(10000*AD43*0.692)/365.25/(K43*10000)</f>
        <v>3.3057387515459976E-3</v>
      </c>
    </row>
    <row r="44" spans="1:38" x14ac:dyDescent="0.25">
      <c r="A44">
        <f>df_EMBAY_merged_summary!A44</f>
        <v>43</v>
      </c>
      <c r="B44" t="str">
        <f>df_EMBAY_merged_summary!B44</f>
        <v>SesuitHarbor</v>
      </c>
      <c r="C44" t="str">
        <f>B44&amp;" ("&amp;A44&amp;")"</f>
        <v>SesuitHarbor (43)</v>
      </c>
      <c r="D44">
        <f>INDEX(df_EMBAY_merged_summary!C:C,MATCH(A44,df_EMBAY_merged_summary!A:A,0))</f>
        <v>665.39807944466997</v>
      </c>
      <c r="E44" s="4" t="b">
        <f>IF(IFERROR(INDEX(df_EMBAY_merged_summary!L:L,MATCH(A44,df_EMBAY_merged_summary!A:A,0))/1,NA())=0,FALSE,TRUE)</f>
        <v>0</v>
      </c>
      <c r="F44" s="27">
        <f>INDEX(embay!R:R,MATCH(A44,embay!A:A,0))</f>
        <v>0</v>
      </c>
      <c r="G44" s="27">
        <f>F44/D44</f>
        <v>0</v>
      </c>
      <c r="H44" s="27">
        <f>INDEX(embay!G:G,MATCH(A44,embay!A:A,0))*365.25</f>
        <v>0</v>
      </c>
      <c r="I44" s="28" t="e">
        <f>(H44-F44)/F44</f>
        <v>#DIV/0!</v>
      </c>
      <c r="J44" s="12" t="b">
        <f>NOT(ISNA(K44))</f>
        <v>0</v>
      </c>
      <c r="K44" s="5" t="e">
        <f>IFERROR(INDEX(df_EMBAY_merged_summary!$AN:$AN,MATCH(A44,df_EMBAY_merged_summary!A:A,0))/1,NA())</f>
        <v>#N/A</v>
      </c>
      <c r="L44" s="5" t="e">
        <f>IFERROR(INDEX(df_EMBAY_merged_summary!AP:AP,MATCH(A44,df_EMBAY_merged_summary!A:A,0))/1,NA())</f>
        <v>#N/A</v>
      </c>
      <c r="M44" s="3" t="e">
        <f>IFERROR(INDEX(df_EMBAY_merged_summary!$AQ:$AQ,MATCH(A44,df_EMBAY_merged_summary!A:A,0))/1,NA())</f>
        <v>#N/A</v>
      </c>
      <c r="N44" s="7" t="e">
        <f t="shared" si="0"/>
        <v>#N/A</v>
      </c>
      <c r="O44" s="4" t="e">
        <f>F44*N44</f>
        <v>#N/A</v>
      </c>
      <c r="P44" s="35" t="e">
        <f>IFERROR(INDEX(df_EMBAY_merged_summary!BE:BE,MATCH(A44,df_EMBAY_merged_summary!A:A,0))/1,NA())</f>
        <v>#N/A</v>
      </c>
      <c r="Q44" s="9" t="e">
        <f>O44*AI44</f>
        <v>#N/A</v>
      </c>
      <c r="R44" s="12" t="e">
        <f>Q44/H44</f>
        <v>#N/A</v>
      </c>
      <c r="S44" s="9" t="e">
        <f>AC44*O44</f>
        <v>#DIV/0!</v>
      </c>
      <c r="T44" s="12" t="e">
        <f>$S44/$F44</f>
        <v>#DIV/0!</v>
      </c>
      <c r="U44" s="31" t="e">
        <f>AI44*O44</f>
        <v>#N/A</v>
      </c>
      <c r="V44" s="12" t="e">
        <f>$U44/$H44</f>
        <v>#N/A</v>
      </c>
      <c r="W44" s="30">
        <f>AB44</f>
        <v>0</v>
      </c>
      <c r="X44" s="12" t="e">
        <f>AB44/F44</f>
        <v>#DIV/0!</v>
      </c>
      <c r="Y44" s="12">
        <f>AH44</f>
        <v>0</v>
      </c>
      <c r="Z44" s="12" t="e">
        <f>$Y44/$F44</f>
        <v>#DIV/0!</v>
      </c>
      <c r="AA44" s="3">
        <f>IFERROR(INDEX(df_EMBAY_merged_summary!$AG:$AG,MATCH(A44,df_EMBAY_merged_summary!A:A,0))/1,NA())</f>
        <v>0</v>
      </c>
      <c r="AB44">
        <f>IFERROR(INDEX(df_EMBAY_merged_summary!$AJ:$AJ,MATCH(A44,df_EMBAY_merged_summary!A:A,0))/1,NA())</f>
        <v>0</v>
      </c>
      <c r="AC44" s="7" t="e">
        <f>(AB44/AA44)</f>
        <v>#DIV/0!</v>
      </c>
      <c r="AD44" s="3" t="e">
        <f>IFERROR(INDEX(df_EMBAY_merged_summary!$U:$U,MATCH(A44,df_EMBAY_merged_summary!A:A,0))/1,NA())</f>
        <v>#N/A</v>
      </c>
      <c r="AE44" s="3" t="e">
        <f>IFERROR(INDEX(df_EMBAY_merged_summary!$AB:$AB,MATCH(A44,df_EMBAY_merged_summary!A:A,0))/1,NA())</f>
        <v>#N/A</v>
      </c>
      <c r="AF44" s="3" t="e">
        <f>AD44/M44</f>
        <v>#N/A</v>
      </c>
      <c r="AG44" s="3" t="e">
        <f>AE44/AA44</f>
        <v>#N/A</v>
      </c>
      <c r="AH44" s="3">
        <f>IFERROR(INDEX(df_EMBAY_merged_summary!$AI:$AI,MATCH(A44,df_EMBAY_merged_summary!A:A,0))/1,NA())</f>
        <v>0</v>
      </c>
      <c r="AI44" s="7" t="e">
        <f>AH44/AE44</f>
        <v>#N/A</v>
      </c>
      <c r="AJ44" s="3" t="e">
        <f>(10000*M44*0.692)/365.25</f>
        <v>#N/A</v>
      </c>
      <c r="AK44" t="e">
        <f>(10000*M44*0.692)/365.25/(K44*10000)</f>
        <v>#N/A</v>
      </c>
      <c r="AL44" t="e">
        <f>(10000*AD44*0.692)/365.25/(K44*10000)</f>
        <v>#N/A</v>
      </c>
    </row>
    <row r="45" spans="1:38" x14ac:dyDescent="0.25">
      <c r="A45">
        <f>df_EMBAY_merged_summary!A45</f>
        <v>44</v>
      </c>
      <c r="B45" t="str">
        <f>df_EMBAY_merged_summary!B45</f>
        <v>StageHarbor</v>
      </c>
      <c r="C45" t="str">
        <f>B45&amp;" ("&amp;A45&amp;")"</f>
        <v>StageHarbor (44)</v>
      </c>
      <c r="D45">
        <f>INDEX(df_EMBAY_merged_summary!C:C,MATCH(A45,df_EMBAY_merged_summary!A:A,0))</f>
        <v>1021.1072363282</v>
      </c>
      <c r="E45" s="4" t="b">
        <f>IF(IFERROR(INDEX(df_EMBAY_merged_summary!L:L,MATCH(A45,df_EMBAY_merged_summary!A:A,0))/1,NA())=0,FALSE,TRUE)</f>
        <v>1</v>
      </c>
      <c r="F45" s="27">
        <f>INDEX(df_EMBAY_merged_summary!AG:AG,MATCH(A45,embay!A:A,0))</f>
        <v>10547.32425</v>
      </c>
      <c r="G45" s="27">
        <f>F45/D45</f>
        <v>10.329301247464594</v>
      </c>
      <c r="H45" s="27">
        <f>INDEX(embay!G:G,MATCH(A45,embay!A:A,0))*365.25</f>
        <v>3794.9475000000002</v>
      </c>
      <c r="I45" s="28">
        <f>(H45-F45)/F45</f>
        <v>-0.64019808151816326</v>
      </c>
      <c r="J45" s="12" t="b">
        <f>NOT(ISNA(K45))</f>
        <v>1</v>
      </c>
      <c r="K45" s="5">
        <f>IFERROR(INDEX(df_EMBAY_merged_summary!$AN:$AN,MATCH(A45,df_EMBAY_merged_summary!A:A,0))/1,NA())</f>
        <v>1.7764690145664901</v>
      </c>
      <c r="L45" s="5">
        <f>IFERROR(INDEX(df_EMBAY_merged_summary!AP:AP,MATCH(A45,df_EMBAY_merged_summary!A:A,0))/1,NA())</f>
        <v>1</v>
      </c>
      <c r="M45" s="3">
        <f>IFERROR(INDEX(df_EMBAY_merged_summary!$AQ:$AQ,MATCH(A45,df_EMBAY_merged_summary!A:A,0))/1,NA())</f>
        <v>0.92</v>
      </c>
      <c r="N45" s="7">
        <f t="shared" si="0"/>
        <v>9.0098274428866893E-4</v>
      </c>
      <c r="O45" s="35">
        <f>F45*N45</f>
        <v>9.5029571476674271</v>
      </c>
      <c r="P45" s="35">
        <f>IFERROR(INDEX(df_EMBAY_merged_summary!BE:BE,MATCH(A45,df_EMBAY_merged_summary!A:A,0))/1,NA())</f>
        <v>5.3711864882028104</v>
      </c>
      <c r="Q45" s="9">
        <f>O45*0.5</f>
        <v>4.7514785738337135</v>
      </c>
      <c r="R45" s="12">
        <f>Q45/F45</f>
        <v>4.5049137214433447E-4</v>
      </c>
      <c r="S45" s="9">
        <f>AC45*O45</f>
        <v>14.569791957892065</v>
      </c>
      <c r="T45" s="12">
        <f>$S45/$F45</f>
        <v>1.381373286015367E-3</v>
      </c>
      <c r="U45" s="31">
        <f>AI45*O45</f>
        <v>50.36720809380823</v>
      </c>
      <c r="V45" s="12">
        <f>$U45/$F45</f>
        <v>4.7753540992928351E-3</v>
      </c>
      <c r="W45" s="30">
        <f>AB45</f>
        <v>16171</v>
      </c>
      <c r="X45" s="12">
        <f>AB45/F45</f>
        <v>1.5331850635008211</v>
      </c>
      <c r="Y45" s="12">
        <f>AH45</f>
        <v>16404</v>
      </c>
      <c r="Z45" s="12">
        <f>$Y45/$F45</f>
        <v>1.5552759743780515</v>
      </c>
      <c r="AA45" s="3">
        <f>IFERROR(INDEX(df_EMBAY_merged_summary!$AG:$AG,MATCH(A45,df_EMBAY_merged_summary!A:A,0))/1,NA())</f>
        <v>10547.32425</v>
      </c>
      <c r="AB45">
        <f>IFERROR(INDEX(df_EMBAY_merged_summary!$AJ:$AJ,MATCH(A45,df_EMBAY_merged_summary!A:A,0))/1,NA())</f>
        <v>16171</v>
      </c>
      <c r="AC45" s="7">
        <f>(AB45/AA45)</f>
        <v>1.5331850635008211</v>
      </c>
      <c r="AD45" s="3">
        <f>IFERROR(INDEX(df_EMBAY_merged_summary!$U:$U,MATCH(A45,df_EMBAY_merged_summary!A:A,0))/1,NA())</f>
        <v>28.876999999999999</v>
      </c>
      <c r="AE45" s="3">
        <f>IFERROR(INDEX(df_EMBAY_merged_summary!$AB:$AB,MATCH(A45,df_EMBAY_merged_summary!A:A,0))/1,NA())</f>
        <v>3095</v>
      </c>
      <c r="AF45" s="3">
        <f>AD45/M45</f>
        <v>31.388043478260865</v>
      </c>
      <c r="AG45" s="3">
        <f>AE45/AA45</f>
        <v>0.2934393526396043</v>
      </c>
      <c r="AH45" s="3">
        <f>IFERROR(INDEX(df_EMBAY_merged_summary!$AI:$AI,MATCH(A45,df_EMBAY_merged_summary!A:A,0))/1,NA())</f>
        <v>16404</v>
      </c>
      <c r="AI45" s="7">
        <f>AH45/AE45</f>
        <v>5.3001615508885296</v>
      </c>
      <c r="AJ45" s="3">
        <f>(10000*M45*0.692)/365.25</f>
        <v>17.430253251197808</v>
      </c>
      <c r="AK45">
        <f>(10000*M45*0.692)/365.25/(K45*10000)</f>
        <v>9.811740654227677E-4</v>
      </c>
      <c r="AL45">
        <f>(10000*AD45*0.692)/365.25/(K45*10000)</f>
        <v>3.0797134225231806E-2</v>
      </c>
    </row>
    <row r="46" spans="1:38" x14ac:dyDescent="0.25">
      <c r="A46">
        <f>df_EMBAY_merged_summary!A46</f>
        <v>45</v>
      </c>
      <c r="B46" t="str">
        <f>df_EMBAY_merged_summary!B46</f>
        <v>SulfurSpringsBucksCreek</v>
      </c>
      <c r="C46" t="str">
        <f>B46&amp;" ("&amp;A46&amp;")"</f>
        <v>SulfurSpringsBucksCreek (45)</v>
      </c>
      <c r="D46">
        <f>INDEX(df_EMBAY_merged_summary!C:C,MATCH(A46,df_EMBAY_merged_summary!A:A,0))</f>
        <v>464.500666000303</v>
      </c>
      <c r="E46" s="4" t="b">
        <f>IF(IFERROR(INDEX(df_EMBAY_merged_summary!L:L,MATCH(A46,df_EMBAY_merged_summary!A:A,0))/1,NA())=0,FALSE,TRUE)</f>
        <v>1</v>
      </c>
      <c r="F46" s="27">
        <f>INDEX(df_EMBAY_merged_summary!AG:AG,MATCH(A46,embay!A:A,0))</f>
        <v>8957.0257500000007</v>
      </c>
      <c r="G46" s="27">
        <f>F46/D46</f>
        <v>19.28312789543806</v>
      </c>
      <c r="H46" s="27">
        <f>INDEX(embay!G:G,MATCH(A46,embay!A:A,0))*365.25</f>
        <v>3813.21</v>
      </c>
      <c r="I46" s="28">
        <f>(H46-F46)/F46</f>
        <v>-0.57427720915059333</v>
      </c>
      <c r="J46" s="12" t="b">
        <f>NOT(ISNA(K46))</f>
        <v>1</v>
      </c>
      <c r="K46" s="5">
        <f>IFERROR(INDEX(df_EMBAY_merged_summary!$AN:$AN,MATCH(A46,df_EMBAY_merged_summary!A:A,0))/1,NA())</f>
        <v>5.4808256918302201</v>
      </c>
      <c r="L46" s="5">
        <f>IFERROR(INDEX(df_EMBAY_merged_summary!AP:AP,MATCH(A46,df_EMBAY_merged_summary!A:A,0))/1,NA())</f>
        <v>1</v>
      </c>
      <c r="M46" s="3">
        <f>IFERROR(INDEX(df_EMBAY_merged_summary!$AQ:$AQ,MATCH(A46,df_EMBAY_merged_summary!A:A,0))/1,NA())</f>
        <v>25.72</v>
      </c>
      <c r="N46" s="7">
        <f t="shared" si="0"/>
        <v>5.5371287669979834E-2</v>
      </c>
      <c r="O46" s="35">
        <f>F46*N46</f>
        <v>495.9620494706669</v>
      </c>
      <c r="P46" s="35">
        <f>IFERROR(INDEX(df_EMBAY_merged_summary!BE:BE,MATCH(A46,df_EMBAY_merged_summary!A:A,0))/1,NA())</f>
        <v>167.36590842068</v>
      </c>
      <c r="Q46" s="9">
        <f>O46*0.5</f>
        <v>247.98102473533345</v>
      </c>
      <c r="R46" s="12">
        <f>Q46/F46</f>
        <v>2.7685643834989917E-2</v>
      </c>
      <c r="S46" s="9">
        <f>AC46*O46</f>
        <v>535.32960919336506</v>
      </c>
      <c r="T46" s="12">
        <f>$S46/$F46</f>
        <v>5.9766447494400139E-2</v>
      </c>
      <c r="U46" s="31">
        <f>AI46*O46</f>
        <v>14295.376720036869</v>
      </c>
      <c r="V46" s="12">
        <f>$U46/$F46</f>
        <v>1.5959959387229481</v>
      </c>
      <c r="W46" s="30">
        <f>AB46</f>
        <v>9668</v>
      </c>
      <c r="X46" s="12">
        <f>AB46/F46</f>
        <v>1.0793761534067265</v>
      </c>
      <c r="Y46" s="12">
        <f>AH46</f>
        <v>9800</v>
      </c>
      <c r="Z46" s="12">
        <f>$Y46/$F46</f>
        <v>1.0941131881863797</v>
      </c>
      <c r="AA46" s="3">
        <f>IFERROR(INDEX(df_EMBAY_merged_summary!$AG:$AG,MATCH(A46,df_EMBAY_merged_summary!A:A,0))/1,NA())</f>
        <v>8957.0257500000007</v>
      </c>
      <c r="AB46">
        <f>IFERROR(INDEX(df_EMBAY_merged_summary!$AJ:$AJ,MATCH(A46,df_EMBAY_merged_summary!A:A,0))/1,NA())</f>
        <v>9668</v>
      </c>
      <c r="AC46" s="7">
        <f>(AB46/AA46)</f>
        <v>1.0793761534067265</v>
      </c>
      <c r="AD46" s="3">
        <f>IFERROR(INDEX(df_EMBAY_merged_summary!$U:$U,MATCH(A46,df_EMBAY_merged_summary!A:A,0))/1,NA())</f>
        <v>24.523</v>
      </c>
      <c r="AE46" s="3">
        <f>IFERROR(INDEX(df_EMBAY_merged_summary!$AB:$AB,MATCH(A46,df_EMBAY_merged_summary!A:A,0))/1,NA())</f>
        <v>340</v>
      </c>
      <c r="AF46" s="3">
        <f>AD46/M46</f>
        <v>0.9534603421461898</v>
      </c>
      <c r="AG46" s="3">
        <f>AE46/AA46</f>
        <v>3.7959028977894806E-2</v>
      </c>
      <c r="AH46" s="3">
        <f>IFERROR(INDEX(df_EMBAY_merged_summary!$AI:$AI,MATCH(A46,df_EMBAY_merged_summary!A:A,0))/1,NA())</f>
        <v>9800</v>
      </c>
      <c r="AI46" s="7">
        <f>AH46/AE46</f>
        <v>28.823529411764707</v>
      </c>
      <c r="AJ46" s="3">
        <f>(10000*M46*0.692)/365.25</f>
        <v>487.2892539356605</v>
      </c>
      <c r="AK46">
        <f>(10000*M46*0.692)/365.25/(K46*10000)</f>
        <v>8.8908000606919384E-3</v>
      </c>
      <c r="AL46">
        <f>(10000*AD46*0.692)/365.25/(K46*10000)</f>
        <v>8.4770252678206988E-3</v>
      </c>
    </row>
    <row r="47" spans="1:38" x14ac:dyDescent="0.25">
      <c r="A47">
        <f>df_EMBAY_merged_summary!A47</f>
        <v>46</v>
      </c>
      <c r="B47" t="str">
        <f>df_EMBAY_merged_summary!B47</f>
        <v>SwanPondRiver</v>
      </c>
      <c r="C47" t="str">
        <f>B47&amp;" ("&amp;A47&amp;")"</f>
        <v>SwanPondRiver (46)</v>
      </c>
      <c r="D47">
        <f>INDEX(df_EMBAY_merged_summary!C:C,MATCH(A47,df_EMBAY_merged_summary!A:A,0))</f>
        <v>842.18229420125999</v>
      </c>
      <c r="E47" s="4" t="b">
        <f>IF(IFERROR(INDEX(df_EMBAY_merged_summary!L:L,MATCH(A47,df_EMBAY_merged_summary!A:A,0))/1,NA())=0,FALSE,TRUE)</f>
        <v>1</v>
      </c>
      <c r="F47" s="27">
        <f>INDEX(embay!R:R,MATCH(A47,embay!A:A,0))</f>
        <v>0</v>
      </c>
      <c r="G47" s="27">
        <f>F47/D47</f>
        <v>0</v>
      </c>
      <c r="H47" s="27">
        <f>INDEX(embay!G:G,MATCH(A47,embay!A:A,0))*365.25</f>
        <v>0</v>
      </c>
      <c r="I47" s="28" t="e">
        <f>(H47-F47)/F47</f>
        <v>#DIV/0!</v>
      </c>
      <c r="J47" s="12" t="b">
        <f>NOT(ISNA(K47))</f>
        <v>0</v>
      </c>
      <c r="K47" s="5" t="e">
        <f>IFERROR(INDEX(df_EMBAY_merged_summary!$AN:$AN,MATCH(A47,df_EMBAY_merged_summary!A:A,0))/1,NA())</f>
        <v>#N/A</v>
      </c>
      <c r="L47" s="5" t="e">
        <f>IFERROR(INDEX(df_EMBAY_merged_summary!AP:AP,MATCH(A47,df_EMBAY_merged_summary!A:A,0))/1,NA())</f>
        <v>#N/A</v>
      </c>
      <c r="M47" s="3" t="e">
        <f>IFERROR(INDEX(df_EMBAY_merged_summary!$AQ:$AQ,MATCH(A47,df_EMBAY_merged_summary!A:A,0))/1,NA())</f>
        <v>#N/A</v>
      </c>
      <c r="N47" s="7" t="e">
        <f t="shared" si="0"/>
        <v>#N/A</v>
      </c>
      <c r="O47" s="4" t="e">
        <f>F47*N47</f>
        <v>#N/A</v>
      </c>
      <c r="P47" s="35" t="e">
        <f>IFERROR(INDEX(df_EMBAY_merged_summary!BE:BE,MATCH(A47,df_EMBAY_merged_summary!A:A,0))/1,NA())</f>
        <v>#N/A</v>
      </c>
      <c r="Q47" s="9" t="e">
        <f>O47*AI47</f>
        <v>#N/A</v>
      </c>
      <c r="R47" s="12" t="e">
        <f>Q47/H47</f>
        <v>#N/A</v>
      </c>
      <c r="S47" s="9" t="e">
        <f>AC47*O47</f>
        <v>#DIV/0!</v>
      </c>
      <c r="T47" s="12" t="e">
        <f>$S47/$F47</f>
        <v>#DIV/0!</v>
      </c>
      <c r="U47" s="31" t="e">
        <f>AI47*O47</f>
        <v>#N/A</v>
      </c>
      <c r="V47" s="12" t="e">
        <f>$U47/$H47</f>
        <v>#N/A</v>
      </c>
      <c r="W47" s="30">
        <f>AB47</f>
        <v>0</v>
      </c>
      <c r="X47" s="12" t="e">
        <f>AB47/F47</f>
        <v>#DIV/0!</v>
      </c>
      <c r="Y47" s="12">
        <f>AH47</f>
        <v>0</v>
      </c>
      <c r="Z47" s="12" t="e">
        <f>$Y47/$F47</f>
        <v>#DIV/0!</v>
      </c>
      <c r="AA47" s="3">
        <f>IFERROR(INDEX(df_EMBAY_merged_summary!$AG:$AG,MATCH(A47,df_EMBAY_merged_summary!A:A,0))/1,NA())</f>
        <v>0</v>
      </c>
      <c r="AB47">
        <f>IFERROR(INDEX(df_EMBAY_merged_summary!$AJ:$AJ,MATCH(A47,df_EMBAY_merged_summary!A:A,0))/1,NA())</f>
        <v>0</v>
      </c>
      <c r="AC47" s="7" t="e">
        <f>(AB47/AA47)</f>
        <v>#DIV/0!</v>
      </c>
      <c r="AD47" s="3" t="e">
        <f>IFERROR(INDEX(df_EMBAY_merged_summary!$U:$U,MATCH(A47,df_EMBAY_merged_summary!A:A,0))/1,NA())</f>
        <v>#N/A</v>
      </c>
      <c r="AE47" s="3" t="e">
        <f>IFERROR(INDEX(df_EMBAY_merged_summary!$AB:$AB,MATCH(A47,df_EMBAY_merged_summary!A:A,0))/1,NA())</f>
        <v>#N/A</v>
      </c>
      <c r="AF47" s="3" t="e">
        <f>AD47/M47</f>
        <v>#N/A</v>
      </c>
      <c r="AG47" s="3" t="e">
        <f>AE47/AA47</f>
        <v>#N/A</v>
      </c>
      <c r="AH47" s="3">
        <f>IFERROR(INDEX(df_EMBAY_merged_summary!$AI:$AI,MATCH(A47,df_EMBAY_merged_summary!A:A,0))/1,NA())</f>
        <v>0</v>
      </c>
      <c r="AI47" s="7" t="e">
        <f>AH47/AE47</f>
        <v>#N/A</v>
      </c>
      <c r="AJ47" s="3" t="e">
        <f>(10000*M47*0.692)/365.25</f>
        <v>#N/A</v>
      </c>
      <c r="AK47" t="e">
        <f>(10000*M47*0.692)/365.25/(K47*10000)</f>
        <v>#N/A</v>
      </c>
      <c r="AL47" t="e">
        <f>(10000*AD47*0.692)/365.25/(K47*10000)</f>
        <v>#N/A</v>
      </c>
    </row>
    <row r="48" spans="1:38" x14ac:dyDescent="0.25">
      <c r="A48">
        <f>df_EMBAY_merged_summary!A48</f>
        <v>47</v>
      </c>
      <c r="B48" t="str">
        <f>df_EMBAY_merged_summary!B48</f>
        <v>TaylorsPondMillCreek</v>
      </c>
      <c r="C48" t="str">
        <f>B48&amp;" ("&amp;A48&amp;")"</f>
        <v>TaylorsPondMillCreek (47)</v>
      </c>
      <c r="D48">
        <f>INDEX(df_EMBAY_merged_summary!C:C,MATCH(A48,df_EMBAY_merged_summary!A:A,0))</f>
        <v>257.82588911729403</v>
      </c>
      <c r="E48" s="4" t="b">
        <f>IF(IFERROR(INDEX(df_EMBAY_merged_summary!L:L,MATCH(A48,df_EMBAY_merged_summary!A:A,0))/1,NA())=0,FALSE,TRUE)</f>
        <v>1</v>
      </c>
      <c r="F48" s="27">
        <f>INDEX(embay!R:R,MATCH(A48,embay!A:A,0))</f>
        <v>3936.6645000000003</v>
      </c>
      <c r="G48" s="27">
        <f>F48/D48</f>
        <v>15.268693588055751</v>
      </c>
      <c r="H48" s="27">
        <f>INDEX(embay!G:G,MATCH(A48,embay!A:A,0))*365.25</f>
        <v>2571.3599999999997</v>
      </c>
      <c r="I48" s="28">
        <f>(H48-F48)/F48</f>
        <v>-0.3468175913898684</v>
      </c>
      <c r="J48" s="12" t="b">
        <f>NOT(ISNA(K48))</f>
        <v>0</v>
      </c>
      <c r="K48" s="5" t="e">
        <f>IFERROR(INDEX(df_EMBAY_merged_summary!$AN:$AN,MATCH(A48,df_EMBAY_merged_summary!A:A,0))/1,NA())</f>
        <v>#N/A</v>
      </c>
      <c r="L48" s="5" t="e">
        <f>IFERROR(INDEX(df_EMBAY_merged_summary!AP:AP,MATCH(A48,df_EMBAY_merged_summary!A:A,0))/1,NA())</f>
        <v>#N/A</v>
      </c>
      <c r="M48" s="3" t="e">
        <f>IFERROR(INDEX(df_EMBAY_merged_summary!$AQ:$AQ,MATCH(A48,df_EMBAY_merged_summary!A:A,0))/1,NA())</f>
        <v>#N/A</v>
      </c>
      <c r="N48" s="7" t="e">
        <f t="shared" si="0"/>
        <v>#N/A</v>
      </c>
      <c r="O48" s="4" t="e">
        <f>F48*N48</f>
        <v>#N/A</v>
      </c>
      <c r="P48" s="35" t="e">
        <f>IFERROR(INDEX(df_EMBAY_merged_summary!BE:BE,MATCH(A48,df_EMBAY_merged_summary!A:A,0))/1,NA())</f>
        <v>#N/A</v>
      </c>
      <c r="Q48" s="9" t="e">
        <f>O48*AI48</f>
        <v>#N/A</v>
      </c>
      <c r="R48" s="12" t="e">
        <f>Q48/H48</f>
        <v>#N/A</v>
      </c>
      <c r="S48" s="9" t="e">
        <f>AC48*O48</f>
        <v>#N/A</v>
      </c>
      <c r="T48" s="12" t="e">
        <f>$S48/$F48</f>
        <v>#N/A</v>
      </c>
      <c r="U48" s="31" t="e">
        <f>AI48*O48</f>
        <v>#N/A</v>
      </c>
      <c r="V48" s="12" t="e">
        <f>$U48/$H48</f>
        <v>#N/A</v>
      </c>
      <c r="W48" s="30">
        <f>AB48</f>
        <v>5334</v>
      </c>
      <c r="X48" s="12">
        <f>AB48/F48</f>
        <v>1.3549541750382843</v>
      </c>
      <c r="Y48" s="12">
        <f>AH48</f>
        <v>5538</v>
      </c>
      <c r="Z48" s="12">
        <f>$Y48/$F48</f>
        <v>1.4067746946685449</v>
      </c>
      <c r="AA48" s="3">
        <f>IFERROR(INDEX(df_EMBAY_merged_summary!$AG:$AG,MATCH(A48,df_EMBAY_merged_summary!A:A,0))/1,NA())</f>
        <v>3936.6644999999999</v>
      </c>
      <c r="AB48">
        <f>IFERROR(INDEX(df_EMBAY_merged_summary!$AJ:$AJ,MATCH(A48,df_EMBAY_merged_summary!A:A,0))/1,NA())</f>
        <v>5334</v>
      </c>
      <c r="AC48" s="7">
        <f>(AB48/AA48)</f>
        <v>1.3549541750382843</v>
      </c>
      <c r="AD48" s="3">
        <f>IFERROR(INDEX(df_EMBAY_merged_summary!$U:$U,MATCH(A48,df_EMBAY_merged_summary!A:A,0))/1,NA())</f>
        <v>10.778</v>
      </c>
      <c r="AE48" s="3">
        <f>IFERROR(INDEX(df_EMBAY_merged_summary!$AB:$AB,MATCH(A48,df_EMBAY_merged_summary!A:A,0))/1,NA())</f>
        <v>208</v>
      </c>
      <c r="AF48" s="3" t="e">
        <f>AD48/M48</f>
        <v>#N/A</v>
      </c>
      <c r="AG48" s="3">
        <f>AE48/AA48</f>
        <v>5.2836608250461783E-2</v>
      </c>
      <c r="AH48" s="3">
        <f>IFERROR(INDEX(df_EMBAY_merged_summary!$AI:$AI,MATCH(A48,df_EMBAY_merged_summary!A:A,0))/1,NA())</f>
        <v>5538</v>
      </c>
      <c r="AI48" s="7">
        <f>AH48/AE48</f>
        <v>26.625</v>
      </c>
      <c r="AJ48" s="3" t="e">
        <f>(10000*M48*0.692)/365.25</f>
        <v>#N/A</v>
      </c>
      <c r="AK48" t="e">
        <f>(10000*M48*0.692)/365.25/(K48*10000)</f>
        <v>#N/A</v>
      </c>
      <c r="AL48" t="e">
        <f>(10000*AD48*0.692)/365.25/(K48*10000)</f>
        <v>#N/A</v>
      </c>
    </row>
    <row r="49" spans="1:38" x14ac:dyDescent="0.25">
      <c r="A49">
        <f>df_EMBAY_merged_summary!A49</f>
        <v>48</v>
      </c>
      <c r="B49" t="str">
        <f>df_EMBAY_merged_summary!B49</f>
        <v>ThreeBays</v>
      </c>
      <c r="C49" t="str">
        <f>B49&amp;" ("&amp;A49&amp;")"</f>
        <v>ThreeBays (48)</v>
      </c>
      <c r="D49">
        <f>INDEX(df_EMBAY_merged_summary!C:C,MATCH(A49,df_EMBAY_merged_summary!A:A,0))</f>
        <v>5028.3203347819799</v>
      </c>
      <c r="E49" s="4" t="b">
        <f>IF(IFERROR(INDEX(df_EMBAY_merged_summary!L:L,MATCH(A49,df_EMBAY_merged_summary!A:A,0))/1,NA())=0,FALSE,TRUE)</f>
        <v>1</v>
      </c>
      <c r="F49" s="27">
        <f>INDEX(df_EMBAY_merged_summary!AG:AG,MATCH(A49,embay!A:A,0))</f>
        <v>47759.724750000001</v>
      </c>
      <c r="G49" s="27">
        <f>F49/D49</f>
        <v>9.4981468105036289</v>
      </c>
      <c r="H49" s="27">
        <f>INDEX(embay!G:G,MATCH(A49,embay!A:A,0))*365.25</f>
        <v>25660.273500000003</v>
      </c>
      <c r="I49" s="28">
        <f>(H49-F49)/F49</f>
        <v>-0.46272149526992401</v>
      </c>
      <c r="J49" s="12" t="b">
        <f>NOT(ISNA(K49))</f>
        <v>1</v>
      </c>
      <c r="K49" s="5">
        <f>IFERROR(INDEX(df_EMBAY_merged_summary!$AN:$AN,MATCH(A49,df_EMBAY_merged_summary!A:A,0))/1,NA())</f>
        <v>67.150064000663804</v>
      </c>
      <c r="L49" s="5">
        <f>IFERROR(INDEX(df_EMBAY_merged_summary!AP:AP,MATCH(A49,df_EMBAY_merged_summary!A:A,0))/1,NA())</f>
        <v>23</v>
      </c>
      <c r="M49" s="3">
        <f>IFERROR(INDEX(df_EMBAY_merged_summary!$AQ:$AQ,MATCH(A49,df_EMBAY_merged_summary!A:A,0))/1,NA())</f>
        <v>1441.8799999999901</v>
      </c>
      <c r="N49" s="7">
        <f t="shared" si="0"/>
        <v>0.28675181850014492</v>
      </c>
      <c r="O49" s="35">
        <f>F49*N49</f>
        <v>13695.187923128879</v>
      </c>
      <c r="P49" s="35">
        <f>IFERROR(INDEX(df_EMBAY_merged_summary!BE:BE,MATCH(A49,df_EMBAY_merged_summary!A:A,0))/1,NA())</f>
        <v>6967.0185441581598</v>
      </c>
      <c r="Q49" s="9">
        <f>O49*0.5</f>
        <v>6847.5939615644393</v>
      </c>
      <c r="R49" s="12">
        <f>Q49/F49</f>
        <v>0.14337590925007246</v>
      </c>
      <c r="S49" s="9">
        <f>AC49*O49</f>
        <v>18647.184005245923</v>
      </c>
      <c r="T49" s="12">
        <f>$S49/$F49</f>
        <v>0.39043742615467902</v>
      </c>
      <c r="U49" s="31">
        <f>AI49*O49</f>
        <v>135973.76586822252</v>
      </c>
      <c r="V49" s="12">
        <f>$U49/$F49</f>
        <v>2.8470383064387845</v>
      </c>
      <c r="W49" s="30">
        <f>AB49</f>
        <v>65029</v>
      </c>
      <c r="X49" s="12">
        <f>AB49/F49</f>
        <v>1.361586574051602</v>
      </c>
      <c r="Y49" s="12">
        <f>AH49</f>
        <v>84939</v>
      </c>
      <c r="Z49" s="12">
        <f>$Y49/$F49</f>
        <v>1.7784650235028836</v>
      </c>
      <c r="AA49" s="3">
        <f>IFERROR(INDEX(df_EMBAY_merged_summary!$AG:$AG,MATCH(A49,df_EMBAY_merged_summary!A:A,0))/1,NA())</f>
        <v>47759.724750000001</v>
      </c>
      <c r="AB49">
        <f>IFERROR(INDEX(df_EMBAY_merged_summary!$AJ:$AJ,MATCH(A49,df_EMBAY_merged_summary!A:A,0))/1,NA())</f>
        <v>65029</v>
      </c>
      <c r="AC49" s="7">
        <f>(AB49/AA49)</f>
        <v>1.361586574051602</v>
      </c>
      <c r="AD49" s="3">
        <f>IFERROR(INDEX(df_EMBAY_merged_summary!$U:$U,MATCH(A49,df_EMBAY_merged_summary!A:A,0))/1,NA())</f>
        <v>130.75899999999999</v>
      </c>
      <c r="AE49" s="3">
        <f>IFERROR(INDEX(df_EMBAY_merged_summary!$AB:$AB,MATCH(A49,df_EMBAY_merged_summary!A:A,0))/1,NA())</f>
        <v>8555</v>
      </c>
      <c r="AF49" s="3">
        <f>AD49/M49</f>
        <v>9.0686464893056901E-2</v>
      </c>
      <c r="AG49" s="3">
        <f>AE49/AA49</f>
        <v>0.17912582295608812</v>
      </c>
      <c r="AH49" s="3">
        <f>IFERROR(INDEX(df_EMBAY_merged_summary!$AI:$AI,MATCH(A49,df_EMBAY_merged_summary!A:A,0))/1,NA())</f>
        <v>84939</v>
      </c>
      <c r="AI49" s="7">
        <f>AH49/AE49</f>
        <v>9.9285797779076557</v>
      </c>
      <c r="AJ49" s="3">
        <f>(10000*M49*0.692)/365.25</f>
        <v>27317.753867214047</v>
      </c>
      <c r="AK49">
        <f>(10000*M49*0.692)/365.25/(K49*10000)</f>
        <v>4.0681649785090306E-2</v>
      </c>
      <c r="AL49">
        <f>(10000*AD49*0.692)/365.25/(K49*10000)</f>
        <v>3.6892750050272279E-3</v>
      </c>
    </row>
    <row r="50" spans="1:38" x14ac:dyDescent="0.25">
      <c r="A50">
        <f>df_EMBAY_merged_summary!A50</f>
        <v>49</v>
      </c>
      <c r="B50" t="str">
        <f>df_EMBAY_merged_summary!B50</f>
        <v>WaquoitBay</v>
      </c>
      <c r="C50" t="str">
        <f>B50&amp;" ("&amp;A50&amp;")"</f>
        <v>WaquoitBay (49)</v>
      </c>
      <c r="D50">
        <f>INDEX(df_EMBAY_merged_summary!C:C,MATCH(A50,df_EMBAY_merged_summary!A:A,0))</f>
        <v>5562.1631537970798</v>
      </c>
      <c r="E50" s="4" t="b">
        <f>IF(IFERROR(INDEX(df_EMBAY_merged_summary!L:L,MATCH(A50,df_EMBAY_merged_summary!A:A,0))/1,NA())=0,FALSE,TRUE)</f>
        <v>1</v>
      </c>
      <c r="F50" s="27">
        <f>INDEX(df_EMBAY_merged_summary!AG:AG,MATCH(A50,embay!A:A,0))</f>
        <v>33188.806499999999</v>
      </c>
      <c r="G50" s="27">
        <f>F50/D50</f>
        <v>5.9668883458305695</v>
      </c>
      <c r="H50" s="27">
        <f>INDEX(embay!G:G,MATCH(A50,embay!A:A,0))*365.25</f>
        <v>15450.074999999999</v>
      </c>
      <c r="I50" s="28">
        <f>(H50-F50)/F50</f>
        <v>-0.53447934320868096</v>
      </c>
      <c r="J50" s="12" t="b">
        <f>NOT(ISNA(K50))</f>
        <v>1</v>
      </c>
      <c r="K50" s="5">
        <f>IFERROR(INDEX(df_EMBAY_merged_summary!$AN:$AN,MATCH(A50,df_EMBAY_merged_summary!A:A,0))/1,NA())</f>
        <v>17.088560953221599</v>
      </c>
      <c r="L50" s="5">
        <f>IFERROR(INDEX(df_EMBAY_merged_summary!AP:AP,MATCH(A50,df_EMBAY_merged_summary!A:A,0))/1,NA())</f>
        <v>7</v>
      </c>
      <c r="M50" s="3">
        <f>IFERROR(INDEX(df_EMBAY_merged_summary!$AQ:$AQ,MATCH(A50,df_EMBAY_merged_summary!A:A,0))/1,NA())</f>
        <v>1388.37</v>
      </c>
      <c r="N50" s="7">
        <f t="shared" si="0"/>
        <v>0.24960972226285952</v>
      </c>
      <c r="O50" s="35">
        <f>F50*N50</f>
        <v>8284.2487727007865</v>
      </c>
      <c r="P50" s="35">
        <f>IFERROR(INDEX(df_EMBAY_merged_summary!BE:BE,MATCH(A50,df_EMBAY_merged_summary!A:A,0))/1,NA())</f>
        <v>6659.2417307837004</v>
      </c>
      <c r="Q50" s="9">
        <f>O50*0.5</f>
        <v>4142.1243863503933</v>
      </c>
      <c r="R50" s="12">
        <f>Q50/F50</f>
        <v>0.12480486113142976</v>
      </c>
      <c r="S50" s="9">
        <f>AC50*O50</f>
        <v>14996.052894108074</v>
      </c>
      <c r="T50" s="12">
        <f>$S50/$F50</f>
        <v>0.45184067990236632</v>
      </c>
      <c r="U50" s="31">
        <f>AI50*O50</f>
        <v>55199.172369733766</v>
      </c>
      <c r="V50" s="12">
        <f>$U50/$F50</f>
        <v>1.6631864231012274</v>
      </c>
      <c r="W50" s="30">
        <f>AB50</f>
        <v>60078</v>
      </c>
      <c r="X50" s="12">
        <f>AB50/F50</f>
        <v>1.8101886248907444</v>
      </c>
      <c r="Y50" s="12">
        <f>AH50</f>
        <v>68164</v>
      </c>
      <c r="Z50" s="12">
        <f>$Y50/$F50</f>
        <v>2.0538249846375165</v>
      </c>
      <c r="AA50" s="3">
        <f>IFERROR(INDEX(df_EMBAY_merged_summary!$AG:$AG,MATCH(A50,df_EMBAY_merged_summary!A:A,0))/1,NA())</f>
        <v>33188.806499999999</v>
      </c>
      <c r="AB50">
        <f>IFERROR(INDEX(df_EMBAY_merged_summary!$AJ:$AJ,MATCH(A50,df_EMBAY_merged_summary!A:A,0))/1,NA())</f>
        <v>60078</v>
      </c>
      <c r="AC50" s="7">
        <f>(AB50/AA50)</f>
        <v>1.8101886248907444</v>
      </c>
      <c r="AD50" s="3">
        <f>IFERROR(INDEX(df_EMBAY_merged_summary!$U:$U,MATCH(A50,df_EMBAY_merged_summary!A:A,0))/1,NA())</f>
        <v>90.866</v>
      </c>
      <c r="AE50" s="3">
        <f>IFERROR(INDEX(df_EMBAY_merged_summary!$AB:$AB,MATCH(A50,df_EMBAY_merged_summary!A:A,0))/1,NA())</f>
        <v>10230</v>
      </c>
      <c r="AF50" s="3">
        <f>AD50/M50</f>
        <v>6.5447971362100885E-2</v>
      </c>
      <c r="AG50" s="3">
        <f>AE50/AA50</f>
        <v>0.30823645315477072</v>
      </c>
      <c r="AH50" s="3">
        <f>IFERROR(INDEX(df_EMBAY_merged_summary!$AI:$AI,MATCH(A50,df_EMBAY_merged_summary!A:A,0))/1,NA())</f>
        <v>68164</v>
      </c>
      <c r="AI50" s="7">
        <f>AH50/AE50</f>
        <v>6.6631476050830889</v>
      </c>
      <c r="AJ50" s="3">
        <f>(10000*M50*0.692)/365.25</f>
        <v>26303.957289527716</v>
      </c>
      <c r="AK50">
        <f>(10000*M50*0.692)/365.25/(K50*10000)</f>
        <v>0.15392728130550279</v>
      </c>
      <c r="AL50">
        <f>(10000*AD50*0.692)/365.25/(K50*10000)</f>
        <v>1.0074228298728593E-2</v>
      </c>
    </row>
    <row r="51" spans="1:38" x14ac:dyDescent="0.25">
      <c r="A51">
        <f>df_EMBAY_merged_summary!A51</f>
        <v>50</v>
      </c>
      <c r="B51" t="str">
        <f>df_EMBAY_merged_summary!B51</f>
        <v>Wareham</v>
      </c>
      <c r="C51" t="str">
        <f>B51&amp;" ("&amp;A51&amp;")"</f>
        <v>Wareham (50)</v>
      </c>
      <c r="D51">
        <f>INDEX(df_EMBAY_merged_summary!C:C,MATCH(A51,df_EMBAY_merged_summary!A:A,0))</f>
        <v>11077.5731120075</v>
      </c>
      <c r="E51" s="4" t="e">
        <f>IF(IFERROR(INDEX(df_EMBAY_merged_summary!L:L,MATCH(A51,df_EMBAY_merged_summary!A:A,0))/1,NA())=0,FALSE,TRUE)</f>
        <v>#N/A</v>
      </c>
      <c r="F51" s="27">
        <f>INDEX(df_EMBAY_merged_summary!AG:AG,MATCH(A51,embay!A:A,0))</f>
        <v>47292.57</v>
      </c>
      <c r="G51" s="27">
        <f>F51/D51</f>
        <v>4.2692175914178687</v>
      </c>
      <c r="H51" s="27">
        <f>INDEX(embay!G:G,MATCH(A51,embay!A:A,0))*365.25</f>
        <v>29431.845000000001</v>
      </c>
      <c r="I51" s="28">
        <f>(H51-F51)/F51</f>
        <v>-0.37766450417052821</v>
      </c>
      <c r="J51" s="12" t="b">
        <f>NOT(ISNA(K51))</f>
        <v>1</v>
      </c>
      <c r="K51" s="5">
        <f>IFERROR(INDEX(df_EMBAY_merged_summary!$AN:$AN,MATCH(A51,df_EMBAY_merged_summary!A:A,0))/1,NA())</f>
        <v>596.75255233815199</v>
      </c>
      <c r="L51" s="5">
        <f>IFERROR(INDEX(df_EMBAY_merged_summary!AP:AP,MATCH(A51,df_EMBAY_merged_summary!A:A,0))/1,NA())</f>
        <v>95</v>
      </c>
      <c r="M51" s="3">
        <f>IFERROR(INDEX(df_EMBAY_merged_summary!$AQ:$AQ,MATCH(A51,df_EMBAY_merged_summary!A:A,0))/1,NA())</f>
        <v>7145.17</v>
      </c>
      <c r="N51" s="7">
        <f t="shared" si="0"/>
        <v>0.64501221772619277</v>
      </c>
      <c r="O51" s="35">
        <f>F51*N51</f>
        <v>30504.285457671212</v>
      </c>
      <c r="P51" s="35">
        <f>IFERROR(INDEX(df_EMBAY_merged_summary!BE:BE,MATCH(A51,df_EMBAY_merged_summary!A:A,0))/1,NA())</f>
        <v>28334.6748627985</v>
      </c>
      <c r="Q51" s="9">
        <f>O51*0.5</f>
        <v>15252.142728835606</v>
      </c>
      <c r="R51" s="12">
        <f>Q51/F51</f>
        <v>0.32250610886309639</v>
      </c>
      <c r="S51" s="9">
        <f>AC51*O51</f>
        <v>47203.929129855969</v>
      </c>
      <c r="T51" s="12">
        <f>$S51/$F51</f>
        <v>0.99812569141106033</v>
      </c>
      <c r="U51" s="31">
        <f>AI51*O51</f>
        <v>264609.8315707994</v>
      </c>
      <c r="V51" s="12">
        <f>$U51/$F51</f>
        <v>5.5951670964550964</v>
      </c>
      <c r="W51" s="30">
        <f>AB51</f>
        <v>73183</v>
      </c>
      <c r="X51" s="12">
        <f>AB51/F51</f>
        <v>1.5474523799404432</v>
      </c>
      <c r="Y51" s="12">
        <f>AH51</f>
        <v>76648</v>
      </c>
      <c r="Z51" s="12">
        <f>$Y51/$F51</f>
        <v>1.6207197029047058</v>
      </c>
      <c r="AA51" s="3">
        <f>IFERROR(INDEX(df_EMBAY_merged_summary!$AG:$AG,MATCH(A51,df_EMBAY_merged_summary!A:A,0))/1,NA())</f>
        <v>47292.57</v>
      </c>
      <c r="AB51">
        <f>IFERROR(INDEX(df_EMBAY_merged_summary!$AJ:$AJ,MATCH(A51,df_EMBAY_merged_summary!A:A,0))/1,NA())</f>
        <v>73183</v>
      </c>
      <c r="AC51" s="7">
        <f>(AB51/AA51)</f>
        <v>1.5474523799404432</v>
      </c>
      <c r="AD51" s="3">
        <f>IFERROR(INDEX(df_EMBAY_merged_summary!$U:$U,MATCH(A51,df_EMBAY_merged_summary!A:A,0))/1,NA())</f>
        <v>129.47999999999999</v>
      </c>
      <c r="AE51" s="3">
        <f>IFERROR(INDEX(df_EMBAY_merged_summary!$AB:$AB,MATCH(A51,df_EMBAY_merged_summary!A:A,0))/1,NA())</f>
        <v>8836</v>
      </c>
      <c r="AF51" s="3">
        <f>AD51/M51</f>
        <v>1.8121332312597178E-2</v>
      </c>
      <c r="AG51" s="3">
        <f>AE51/AA51</f>
        <v>0.18683695980150794</v>
      </c>
      <c r="AH51" s="3">
        <f>IFERROR(INDEX(df_EMBAY_merged_summary!$AI:$AI,MATCH(A51,df_EMBAY_merged_summary!A:A,0))/1,NA())</f>
        <v>76648</v>
      </c>
      <c r="AI51" s="7">
        <f>AH51/AE51</f>
        <v>8.674513354459032</v>
      </c>
      <c r="AJ51" s="3">
        <f>(10000*M51*0.692)/365.25</f>
        <v>135371.87241615332</v>
      </c>
      <c r="AK51">
        <f>(10000*M51*0.692)/365.25/(K51*10000)</f>
        <v>2.268475800995726E-2</v>
      </c>
      <c r="AL51">
        <f>(10000*AD51*0.692)/365.25/(K51*10000)</f>
        <v>4.1107803832928619E-4</v>
      </c>
    </row>
    <row r="52" spans="1:38" x14ac:dyDescent="0.25">
      <c r="A52">
        <f>df_EMBAY_merged_summary!A52</f>
        <v>51</v>
      </c>
      <c r="B52" t="str">
        <f>df_EMBAY_merged_summary!B52</f>
        <v>WellfleetHarbor</v>
      </c>
      <c r="C52" t="str">
        <f>B52&amp;" ("&amp;A52&amp;")"</f>
        <v>WellfleetHarbor (51)</v>
      </c>
      <c r="D52">
        <f>INDEX(df_EMBAY_merged_summary!C:C,MATCH(A52,df_EMBAY_merged_summary!A:A,0))</f>
        <v>4495.8012948836003</v>
      </c>
      <c r="E52" s="4" t="b">
        <f>IF(IFERROR(INDEX(df_EMBAY_merged_summary!L:L,MATCH(A52,df_EMBAY_merged_summary!A:A,0))/1,NA())=0,FALSE,TRUE)</f>
        <v>1</v>
      </c>
      <c r="F52" s="27">
        <f>INDEX(embay!R:R,MATCH(A52,embay!A:A,0))</f>
        <v>0</v>
      </c>
      <c r="G52" s="27">
        <f>F52/D52</f>
        <v>0</v>
      </c>
      <c r="H52" s="27">
        <f>INDEX(embay!G:G,MATCH(A52,embay!A:A,0))*365.25</f>
        <v>0</v>
      </c>
      <c r="I52" s="28" t="e">
        <f>(H52-F52)/F52</f>
        <v>#DIV/0!</v>
      </c>
      <c r="J52" s="12" t="b">
        <f>NOT(ISNA(K52))</f>
        <v>0</v>
      </c>
      <c r="K52" s="5" t="e">
        <f>IFERROR(INDEX(df_EMBAY_merged_summary!$AN:$AN,MATCH(A52,df_EMBAY_merged_summary!A:A,0))/1,NA())</f>
        <v>#N/A</v>
      </c>
      <c r="L52" s="5" t="e">
        <f>IFERROR(INDEX(df_EMBAY_merged_summary!AP:AP,MATCH(A52,df_EMBAY_merged_summary!A:A,0))/1,NA())</f>
        <v>#N/A</v>
      </c>
      <c r="M52" s="3" t="e">
        <f>IFERROR(INDEX(df_EMBAY_merged_summary!$AQ:$AQ,MATCH(A52,df_EMBAY_merged_summary!A:A,0))/1,NA())</f>
        <v>#N/A</v>
      </c>
      <c r="N52" s="7" t="e">
        <f t="shared" si="0"/>
        <v>#N/A</v>
      </c>
      <c r="O52" s="4" t="e">
        <f>F52*N52</f>
        <v>#N/A</v>
      </c>
      <c r="P52" s="35" t="e">
        <f>IFERROR(INDEX(df_EMBAY_merged_summary!BE:BE,MATCH(A52,df_EMBAY_merged_summary!A:A,0))/1,NA())</f>
        <v>#N/A</v>
      </c>
      <c r="Q52" s="9" t="e">
        <f>O52*AI52</f>
        <v>#N/A</v>
      </c>
      <c r="R52" s="12" t="e">
        <f>Q52/H52</f>
        <v>#N/A</v>
      </c>
      <c r="S52" s="9" t="e">
        <f>AC52*O52</f>
        <v>#DIV/0!</v>
      </c>
      <c r="T52" s="12" t="e">
        <f>$S52/$F52</f>
        <v>#DIV/0!</v>
      </c>
      <c r="U52" s="31" t="e">
        <f>AI52*O52</f>
        <v>#N/A</v>
      </c>
      <c r="V52" s="12" t="e">
        <f>$U52/$H52</f>
        <v>#N/A</v>
      </c>
      <c r="W52" s="30">
        <f>AB52</f>
        <v>0</v>
      </c>
      <c r="X52" s="12" t="e">
        <f>AB52/F52</f>
        <v>#DIV/0!</v>
      </c>
      <c r="Y52" s="12">
        <f>AH52</f>
        <v>0</v>
      </c>
      <c r="Z52" s="12" t="e">
        <f>$Y52/$F52</f>
        <v>#DIV/0!</v>
      </c>
      <c r="AA52" s="3">
        <f>IFERROR(INDEX(df_EMBAY_merged_summary!$AG:$AG,MATCH(A52,df_EMBAY_merged_summary!A:A,0))/1,NA())</f>
        <v>0</v>
      </c>
      <c r="AB52">
        <f>IFERROR(INDEX(df_EMBAY_merged_summary!$AJ:$AJ,MATCH(A52,df_EMBAY_merged_summary!A:A,0))/1,NA())</f>
        <v>0</v>
      </c>
      <c r="AC52" s="7" t="e">
        <f>(AB52/AA52)</f>
        <v>#DIV/0!</v>
      </c>
      <c r="AD52" s="3" t="e">
        <f>IFERROR(INDEX(df_EMBAY_merged_summary!$U:$U,MATCH(A52,df_EMBAY_merged_summary!A:A,0))/1,NA())</f>
        <v>#N/A</v>
      </c>
      <c r="AE52" s="3" t="e">
        <f>IFERROR(INDEX(df_EMBAY_merged_summary!$AB:$AB,MATCH(A52,df_EMBAY_merged_summary!A:A,0))/1,NA())</f>
        <v>#N/A</v>
      </c>
      <c r="AF52" s="3" t="e">
        <f>AD52/M52</f>
        <v>#N/A</v>
      </c>
      <c r="AG52" s="3" t="e">
        <f>AE52/AA52</f>
        <v>#N/A</v>
      </c>
      <c r="AH52" s="3">
        <f>IFERROR(INDEX(df_EMBAY_merged_summary!$AI:$AI,MATCH(A52,df_EMBAY_merged_summary!A:A,0))/1,NA())</f>
        <v>0</v>
      </c>
      <c r="AI52" s="7" t="e">
        <f>AH52/AE52</f>
        <v>#N/A</v>
      </c>
      <c r="AJ52" s="3" t="e">
        <f>(10000*M52*0.692)/365.25</f>
        <v>#N/A</v>
      </c>
      <c r="AK52" t="e">
        <f>(10000*M52*0.692)/365.25/(K52*10000)</f>
        <v>#N/A</v>
      </c>
      <c r="AL52" t="e">
        <f>(10000*AD52*0.692)/365.25/(K52*10000)</f>
        <v>#N/A</v>
      </c>
    </row>
    <row r="53" spans="1:38" x14ac:dyDescent="0.25">
      <c r="A53">
        <f>df_EMBAY_merged_summary!A53</f>
        <v>52</v>
      </c>
      <c r="B53" t="str">
        <f>df_EMBAY_merged_summary!B53</f>
        <v>WestFalmouthHarbor</v>
      </c>
      <c r="C53" t="str">
        <f>B53&amp;" ("&amp;A53&amp;")"</f>
        <v>WestFalmouthHarbor (52)</v>
      </c>
      <c r="D53">
        <f>INDEX(df_EMBAY_merged_summary!C:C,MATCH(A53,df_EMBAY_merged_summary!A:A,0))</f>
        <v>685.32708042688898</v>
      </c>
      <c r="E53" s="4" t="b">
        <f>IF(IFERROR(INDEX(df_EMBAY_merged_summary!L:L,MATCH(A53,df_EMBAY_merged_summary!A:A,0))/1,NA())=0,FALSE,TRUE)</f>
        <v>1</v>
      </c>
      <c r="F53" s="27">
        <f>INDEX(embay!R:R,MATCH(A53,embay!A:A,0))</f>
        <v>0</v>
      </c>
      <c r="G53" s="27">
        <f>F53/D53</f>
        <v>0</v>
      </c>
      <c r="H53" s="27">
        <f>INDEX(embay!G:G,MATCH(A53,embay!A:A,0))*365.25</f>
        <v>0</v>
      </c>
      <c r="I53" s="28" t="e">
        <f>(H53-F53)/F53</f>
        <v>#DIV/0!</v>
      </c>
      <c r="J53" s="12" t="b">
        <f>NOT(ISNA(K53))</f>
        <v>0</v>
      </c>
      <c r="K53" s="5" t="e">
        <f>IFERROR(INDEX(df_EMBAY_merged_summary!$AN:$AN,MATCH(A53,df_EMBAY_merged_summary!A:A,0))/1,NA())</f>
        <v>#N/A</v>
      </c>
      <c r="L53" s="5" t="e">
        <f>IFERROR(INDEX(df_EMBAY_merged_summary!AP:AP,MATCH(A53,df_EMBAY_merged_summary!A:A,0))/1,NA())</f>
        <v>#N/A</v>
      </c>
      <c r="M53" s="3" t="e">
        <f>IFERROR(INDEX(df_EMBAY_merged_summary!$AQ:$AQ,MATCH(A53,df_EMBAY_merged_summary!A:A,0))/1,NA())</f>
        <v>#N/A</v>
      </c>
      <c r="N53" s="7" t="e">
        <f t="shared" si="0"/>
        <v>#N/A</v>
      </c>
      <c r="O53" s="4" t="e">
        <f>F53*N53</f>
        <v>#N/A</v>
      </c>
      <c r="P53" s="35" t="e">
        <f>IFERROR(INDEX(df_EMBAY_merged_summary!BE:BE,MATCH(A53,df_EMBAY_merged_summary!A:A,0))/1,NA())</f>
        <v>#N/A</v>
      </c>
      <c r="Q53" s="9" t="e">
        <f>O53*AI53</f>
        <v>#N/A</v>
      </c>
      <c r="R53" s="12" t="e">
        <f>Q53/H53</f>
        <v>#N/A</v>
      </c>
      <c r="S53" s="9" t="e">
        <f>AC53*O53</f>
        <v>#DIV/0!</v>
      </c>
      <c r="T53" s="12" t="e">
        <f>$S53/$F53</f>
        <v>#DIV/0!</v>
      </c>
      <c r="U53" s="31" t="e">
        <f>AI53*O53</f>
        <v>#N/A</v>
      </c>
      <c r="V53" s="12" t="e">
        <f>$U53/$H53</f>
        <v>#N/A</v>
      </c>
      <c r="W53" s="30">
        <f>AB53</f>
        <v>0</v>
      </c>
      <c r="X53" s="12" t="e">
        <f>AB53/F53</f>
        <v>#DIV/0!</v>
      </c>
      <c r="Y53" s="12">
        <f>AH53</f>
        <v>0</v>
      </c>
      <c r="Z53" s="12" t="e">
        <f>$Y53/$F53</f>
        <v>#DIV/0!</v>
      </c>
      <c r="AA53" s="3">
        <f>IFERROR(INDEX(df_EMBAY_merged_summary!$AG:$AG,MATCH(A53,df_EMBAY_merged_summary!A:A,0))/1,NA())</f>
        <v>0</v>
      </c>
      <c r="AB53">
        <f>IFERROR(INDEX(df_EMBAY_merged_summary!$AJ:$AJ,MATCH(A53,df_EMBAY_merged_summary!A:A,0))/1,NA())</f>
        <v>0</v>
      </c>
      <c r="AC53" s="7" t="e">
        <f>(AB53/AA53)</f>
        <v>#DIV/0!</v>
      </c>
      <c r="AD53" s="3" t="e">
        <f>IFERROR(INDEX(df_EMBAY_merged_summary!$U:$U,MATCH(A53,df_EMBAY_merged_summary!A:A,0))/1,NA())</f>
        <v>#N/A</v>
      </c>
      <c r="AE53" s="3" t="e">
        <f>IFERROR(INDEX(df_EMBAY_merged_summary!$AB:$AB,MATCH(A53,df_EMBAY_merged_summary!A:A,0))/1,NA())</f>
        <v>#N/A</v>
      </c>
      <c r="AF53" s="3" t="e">
        <f>AD53/M53</f>
        <v>#N/A</v>
      </c>
      <c r="AG53" s="3" t="e">
        <f>AE53/AA53</f>
        <v>#N/A</v>
      </c>
      <c r="AH53" s="3">
        <f>IFERROR(INDEX(df_EMBAY_merged_summary!$AI:$AI,MATCH(A53,df_EMBAY_merged_summary!A:A,0))/1,NA())</f>
        <v>0</v>
      </c>
      <c r="AI53" s="7" t="e">
        <f>AH53/AE53</f>
        <v>#N/A</v>
      </c>
      <c r="AJ53" s="3" t="e">
        <f>(10000*M53*0.692)/365.25</f>
        <v>#N/A</v>
      </c>
      <c r="AK53" t="e">
        <f>(10000*M53*0.692)/365.25/(K53*10000)</f>
        <v>#N/A</v>
      </c>
      <c r="AL53" t="e">
        <f>(10000*AD53*0.692)/365.25/(K53*10000)</f>
        <v>#N/A</v>
      </c>
    </row>
    <row r="54" spans="1:38" x14ac:dyDescent="0.25">
      <c r="A54">
        <f>df_EMBAY_merged_summary!A54</f>
        <v>53</v>
      </c>
      <c r="B54" t="str">
        <f>df_EMBAY_merged_summary!B54</f>
        <v>WildHarbor</v>
      </c>
      <c r="C54" t="str">
        <f>B54&amp;" ("&amp;A54&amp;")"</f>
        <v>WildHarbor (53)</v>
      </c>
      <c r="D54">
        <f>INDEX(df_EMBAY_merged_summary!C:C,MATCH(A54,df_EMBAY_merged_summary!A:A,0))</f>
        <v>862.21743388623304</v>
      </c>
      <c r="E54" s="4" t="b">
        <f>IF(IFERROR(INDEX(df_EMBAY_merged_summary!L:L,MATCH(A54,df_EMBAY_merged_summary!A:A,0))/1,NA())=0,FALSE,TRUE)</f>
        <v>1</v>
      </c>
      <c r="F54" s="27">
        <f>INDEX(df_EMBAY_merged_summary!AG:AG,MATCH(A54,embay!A:A,0))</f>
        <v>8641.0845000000008</v>
      </c>
      <c r="G54" s="27">
        <f>F54/D54</f>
        <v>10.021932009716433</v>
      </c>
      <c r="H54" s="27">
        <f>INDEX(embay!G:G,MATCH(A54,embay!A:A,0))*365.25</f>
        <v>5888.1952499999998</v>
      </c>
      <c r="I54" s="28">
        <f>(H54-F54)/F54</f>
        <v>-0.31858145236283719</v>
      </c>
      <c r="J54" s="12" t="b">
        <f>NOT(ISNA(K54))</f>
        <v>1</v>
      </c>
      <c r="K54" s="5">
        <f>IFERROR(INDEX(df_EMBAY_merged_summary!$AN:$AN,MATCH(A54,df_EMBAY_merged_summary!A:A,0))/1,NA())</f>
        <v>4.57083754723081</v>
      </c>
      <c r="L54" s="5">
        <f>IFERROR(INDEX(df_EMBAY_merged_summary!AP:AP,MATCH(A54,df_EMBAY_merged_summary!A:A,0))/1,NA())</f>
        <v>1</v>
      </c>
      <c r="M54" s="3">
        <f>IFERROR(INDEX(df_EMBAY_merged_summary!$AQ:$AQ,MATCH(A54,df_EMBAY_merged_summary!A:A,0))/1,NA())</f>
        <v>159.38999999999999</v>
      </c>
      <c r="N54" s="7">
        <f t="shared" si="0"/>
        <v>0.18486056270236703</v>
      </c>
      <c r="O54" s="35">
        <f>F54*N54</f>
        <v>1597.3957430287021</v>
      </c>
      <c r="P54" s="35">
        <f>IFERROR(INDEX(df_EMBAY_merged_summary!BE:BE,MATCH(A54,df_EMBAY_merged_summary!A:A,0))/1,NA())</f>
        <v>863.81163895198802</v>
      </c>
      <c r="Q54" s="9">
        <f>O54*0.5</f>
        <v>798.69787151435105</v>
      </c>
      <c r="R54" s="12">
        <f>Q54/F54</f>
        <v>9.2430281351183516E-2</v>
      </c>
      <c r="S54" s="9">
        <f>AC54*O54</f>
        <v>1801.4661835345667</v>
      </c>
      <c r="T54" s="12">
        <f>$S54/$F54</f>
        <v>0.20847686231219778</v>
      </c>
      <c r="U54" s="31">
        <f>AI54*O54</f>
        <v>27212.955204836315</v>
      </c>
      <c r="V54" s="12">
        <f>$U54/$F54</f>
        <v>3.1492522963797325</v>
      </c>
      <c r="W54" s="30">
        <f>AB54</f>
        <v>9745</v>
      </c>
      <c r="X54" s="12">
        <f>AB54/F54</f>
        <v>1.1277519621524357</v>
      </c>
      <c r="Y54" s="12">
        <f>AH54</f>
        <v>10937</v>
      </c>
      <c r="Z54" s="12">
        <f>$Y54/$F54</f>
        <v>1.2656976100627182</v>
      </c>
      <c r="AA54" s="3">
        <f>IFERROR(INDEX(df_EMBAY_merged_summary!$AG:$AG,MATCH(A54,df_EMBAY_merged_summary!A:A,0))/1,NA())</f>
        <v>8641.0845000000008</v>
      </c>
      <c r="AB54">
        <f>IFERROR(INDEX(df_EMBAY_merged_summary!$AJ:$AJ,MATCH(A54,df_EMBAY_merged_summary!A:A,0))/1,NA())</f>
        <v>9745</v>
      </c>
      <c r="AC54" s="7">
        <f>(AB54/AA54)</f>
        <v>1.1277519621524357</v>
      </c>
      <c r="AD54" s="3">
        <f>IFERROR(INDEX(df_EMBAY_merged_summary!$U:$U,MATCH(A54,df_EMBAY_merged_summary!A:A,0))/1,NA())</f>
        <v>23.658000000000001</v>
      </c>
      <c r="AE54" s="3">
        <f>IFERROR(INDEX(df_EMBAY_merged_summary!$AB:$AB,MATCH(A54,df_EMBAY_merged_summary!A:A,0))/1,NA())</f>
        <v>642</v>
      </c>
      <c r="AF54" s="3">
        <f>AD54/M54</f>
        <v>0.14842838321099192</v>
      </c>
      <c r="AG54" s="3">
        <f>AE54/AA54</f>
        <v>7.4296229830873653E-2</v>
      </c>
      <c r="AH54" s="3">
        <f>IFERROR(INDEX(df_EMBAY_merged_summary!$AI:$AI,MATCH(A54,df_EMBAY_merged_summary!A:A,0))/1,NA())</f>
        <v>10937</v>
      </c>
      <c r="AI54" s="7">
        <f>AH54/AE54</f>
        <v>17.035825545171338</v>
      </c>
      <c r="AJ54" s="3">
        <f>(10000*M54*0.692)/365.25</f>
        <v>3019.7913757700198</v>
      </c>
      <c r="AK54">
        <f>(10000*M54*0.692)/365.25/(K54*10000)</f>
        <v>6.6066477851515995E-2</v>
      </c>
      <c r="AL54">
        <f>(10000*AD54*0.692)/365.25/(K54*10000)</f>
        <v>9.8061404919453261E-3</v>
      </c>
    </row>
    <row r="55" spans="1:38" x14ac:dyDescent="0.25">
      <c r="A55">
        <f>df_EMBAY_merged_summary!A55</f>
        <v>54</v>
      </c>
      <c r="B55" t="str">
        <f>df_EMBAY_merged_summary!B55</f>
        <v>WychmereHarbor</v>
      </c>
      <c r="C55" t="str">
        <f>B55&amp;" ("&amp;A55&amp;")"</f>
        <v>WychmereHarbor (54)</v>
      </c>
      <c r="D55">
        <f>INDEX(df_EMBAY_merged_summary!C:C,MATCH(A55,df_EMBAY_merged_summary!A:A,0))</f>
        <v>43.314647061709401</v>
      </c>
      <c r="E55" s="4" t="b">
        <f>IF(IFERROR(INDEX(df_EMBAY_merged_summary!L:L,MATCH(A55,df_EMBAY_merged_summary!A:A,0))/1,NA())=0,FALSE,TRUE)</f>
        <v>1</v>
      </c>
      <c r="F55" s="27">
        <f>INDEX(df_EMBAY_merged_summary!AG:AG,MATCH(A55,embay!A:A,0))</f>
        <v>1412.0564999999999</v>
      </c>
      <c r="G55" s="27">
        <f>F55/D55</f>
        <v>32.599977046754525</v>
      </c>
      <c r="H55" s="27">
        <f>INDEX(embay!G:G,MATCH(A55,embay!A:A,0))*365.25</f>
        <v>241.065</v>
      </c>
      <c r="I55" s="28">
        <f>(H55-F55)/F55</f>
        <v>-0.82928091050181063</v>
      </c>
      <c r="J55" s="12" t="b">
        <f>NOT(ISNA(K55))</f>
        <v>1</v>
      </c>
      <c r="K55" s="5">
        <f>IFERROR(INDEX(df_EMBAY_merged_summary!$AN:$AN,MATCH(A55,df_EMBAY_merged_summary!A:A,0))/1,NA())</f>
        <v>2.8409199447482001</v>
      </c>
      <c r="L55" s="5">
        <f>IFERROR(INDEX(df_EMBAY_merged_summary!AP:AP,MATCH(A55,df_EMBAY_merged_summary!A:A,0))/1,NA())</f>
        <v>1</v>
      </c>
      <c r="M55" s="3">
        <f>IFERROR(INDEX(df_EMBAY_merged_summary!$AQ:$AQ,MATCH(A55,df_EMBAY_merged_summary!A:A,0))/1,NA())</f>
        <v>7</v>
      </c>
      <c r="N55" s="7">
        <f t="shared" si="0"/>
        <v>0.16160815047222382</v>
      </c>
      <c r="O55" s="35">
        <f>F55*N55</f>
        <v>228.19983932728169</v>
      </c>
      <c r="P55" s="35">
        <f>IFERROR(INDEX(df_EMBAY_merged_summary!BE:BE,MATCH(A55,df_EMBAY_merged_summary!A:A,0))/1,NA())</f>
        <v>52.804491141319197</v>
      </c>
      <c r="Q55" s="9">
        <f>O55*0.5</f>
        <v>114.09991966364085</v>
      </c>
      <c r="R55" s="12">
        <f>Q55/F55</f>
        <v>8.0804075236111911E-2</v>
      </c>
      <c r="S55" s="9">
        <f>AC55*O55</f>
        <v>149.32593103633479</v>
      </c>
      <c r="T55" s="12">
        <f>$S55/$F55</f>
        <v>0.1057506771409889</v>
      </c>
      <c r="U55" s="31" t="e">
        <f>AI55*O55</f>
        <v>#DIV/0!</v>
      </c>
      <c r="V55" s="12" t="e">
        <f>$U55/$F55</f>
        <v>#DIV/0!</v>
      </c>
      <c r="W55" s="30">
        <f>AB55</f>
        <v>924</v>
      </c>
      <c r="X55" s="12">
        <f>AB55/F55</f>
        <v>0.65436475098553071</v>
      </c>
      <c r="Y55" s="12">
        <f>AH55</f>
        <v>1211</v>
      </c>
      <c r="Z55" s="12">
        <f>$Y55/$F55</f>
        <v>0.85761440848861226</v>
      </c>
      <c r="AA55" s="3">
        <f>IFERROR(INDEX(df_EMBAY_merged_summary!$AG:$AG,MATCH(A55,df_EMBAY_merged_summary!A:A,0))/1,NA())</f>
        <v>1412.0564999999999</v>
      </c>
      <c r="AB55">
        <f>IFERROR(INDEX(df_EMBAY_merged_summary!$AJ:$AJ,MATCH(A55,df_EMBAY_merged_summary!A:A,0))/1,NA())</f>
        <v>924</v>
      </c>
      <c r="AC55" s="7">
        <f>(AB55/AA55)</f>
        <v>0.65436475098553071</v>
      </c>
      <c r="AD55" s="3">
        <f>IFERROR(INDEX(df_EMBAY_merged_summary!$U:$U,MATCH(A55,df_EMBAY_merged_summary!A:A,0))/1,NA())</f>
        <v>3.8660000000000001</v>
      </c>
      <c r="AE55" s="3">
        <f>IFERROR(INDEX(df_EMBAY_merged_summary!$AB:$AB,MATCH(A55,df_EMBAY_merged_summary!A:A,0))/1,NA())</f>
        <v>0</v>
      </c>
      <c r="AF55" s="3">
        <f>AD55/M55</f>
        <v>0.55228571428571427</v>
      </c>
      <c r="AG55" s="3">
        <f>AE55/AA55</f>
        <v>0</v>
      </c>
      <c r="AH55" s="3">
        <f>IFERROR(INDEX(df_EMBAY_merged_summary!$AI:$AI,MATCH(A55,df_EMBAY_merged_summary!A:A,0))/1,NA())</f>
        <v>1211</v>
      </c>
      <c r="AI55" s="7" t="e">
        <f>AH55/AE55</f>
        <v>#DIV/0!</v>
      </c>
      <c r="AJ55" s="3">
        <f>(10000*M55*0.692)/365.25</f>
        <v>132.62149212867899</v>
      </c>
      <c r="AK55">
        <f>(10000*M55*0.692)/365.25/(K55*10000)</f>
        <v>4.6682586876073927E-3</v>
      </c>
      <c r="AL55">
        <f>(10000*AD55*0.692)/365.25/(K55*10000)</f>
        <v>2.5782125837557398E-3</v>
      </c>
    </row>
  </sheetData>
  <autoFilter ref="A1:AT55" xr:uid="{52686D7B-3771-44CB-A6CB-D81A4260FBEB}">
    <sortState xmlns:xlrd2="http://schemas.microsoft.com/office/spreadsheetml/2017/richdata2" ref="A2:AL55">
      <sortCondition ref="A1:A5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50DF-D3C0-4458-BCB9-4E92ABB1C3F0}">
  <dimension ref="A1:I28"/>
  <sheetViews>
    <sheetView topLeftCell="A2" workbookViewId="0">
      <selection activeCell="I2" sqref="I2"/>
    </sheetView>
  </sheetViews>
  <sheetFormatPr defaultRowHeight="13.2" x14ac:dyDescent="0.25"/>
  <sheetData>
    <row r="1" spans="1:9" x14ac:dyDescent="0.25">
      <c r="A1" s="40" t="s">
        <v>182</v>
      </c>
      <c r="B1" s="40"/>
      <c r="C1" s="40"/>
      <c r="D1" s="40"/>
      <c r="F1" s="40" t="s">
        <v>183</v>
      </c>
      <c r="G1" s="40"/>
      <c r="H1" s="40"/>
      <c r="I1" s="40"/>
    </row>
    <row r="2" spans="1:9" ht="132" x14ac:dyDescent="0.25">
      <c r="A2" s="1" t="s">
        <v>82</v>
      </c>
      <c r="B2" s="1" t="s">
        <v>0</v>
      </c>
      <c r="C2" s="1" t="s">
        <v>180</v>
      </c>
      <c r="D2" s="1" t="s">
        <v>181</v>
      </c>
      <c r="F2" s="1" t="s">
        <v>82</v>
      </c>
      <c r="G2" s="1" t="s">
        <v>0</v>
      </c>
      <c r="H2" s="1" t="s">
        <v>180</v>
      </c>
      <c r="I2" s="1" t="s">
        <v>181</v>
      </c>
    </row>
    <row r="3" spans="1:9" x14ac:dyDescent="0.25">
      <c r="A3">
        <v>44</v>
      </c>
      <c r="B3" t="s">
        <v>47</v>
      </c>
      <c r="C3" s="4">
        <v>68.689853295639551</v>
      </c>
      <c r="D3" s="4">
        <v>39.504651841488403</v>
      </c>
      <c r="F3">
        <v>44</v>
      </c>
      <c r="G3" t="s">
        <v>47</v>
      </c>
      <c r="H3" s="4">
        <v>68.689853295639551</v>
      </c>
      <c r="I3" s="4">
        <v>39.504651841488403</v>
      </c>
    </row>
    <row r="4" spans="1:9" x14ac:dyDescent="0.25">
      <c r="A4">
        <v>21</v>
      </c>
      <c r="B4" t="s">
        <v>36</v>
      </c>
      <c r="C4" s="4">
        <v>78.576255450633624</v>
      </c>
      <c r="D4" s="4">
        <v>66.398539002716504</v>
      </c>
      <c r="F4">
        <v>21</v>
      </c>
      <c r="G4" t="s">
        <v>36</v>
      </c>
      <c r="H4" s="4">
        <v>78.576255450633624</v>
      </c>
      <c r="I4" s="4">
        <v>66.398539002716504</v>
      </c>
    </row>
    <row r="5" spans="1:9" x14ac:dyDescent="0.25">
      <c r="A5">
        <v>54</v>
      </c>
      <c r="B5" t="s">
        <v>53</v>
      </c>
      <c r="C5" s="4">
        <v>205.05385562408597</v>
      </c>
      <c r="D5" s="4">
        <v>47.448607039842599</v>
      </c>
      <c r="F5">
        <v>54</v>
      </c>
      <c r="G5" t="s">
        <v>53</v>
      </c>
      <c r="H5" s="4">
        <v>205.05385562408597</v>
      </c>
      <c r="I5" s="4">
        <v>47.448607039842599</v>
      </c>
    </row>
    <row r="6" spans="1:9" x14ac:dyDescent="0.25">
      <c r="A6">
        <v>40</v>
      </c>
      <c r="B6" t="s">
        <v>44</v>
      </c>
      <c r="C6" s="4">
        <v>273.53265792838073</v>
      </c>
      <c r="D6" s="4">
        <v>194.870834913869</v>
      </c>
      <c r="F6">
        <v>40</v>
      </c>
      <c r="G6" t="s">
        <v>44</v>
      </c>
      <c r="H6" s="4">
        <v>273.53265792838073</v>
      </c>
      <c r="I6" s="4">
        <v>194.870834913869</v>
      </c>
    </row>
    <row r="7" spans="1:9" x14ac:dyDescent="0.25">
      <c r="A7">
        <v>26</v>
      </c>
      <c r="B7" t="s">
        <v>38</v>
      </c>
      <c r="C7" s="4">
        <v>688.68058443911116</v>
      </c>
      <c r="D7" s="4">
        <v>370.93770587828698</v>
      </c>
      <c r="F7">
        <v>26</v>
      </c>
      <c r="G7" t="s">
        <v>38</v>
      </c>
      <c r="H7" s="4">
        <v>688.68058443911116</v>
      </c>
      <c r="I7" s="4">
        <v>370.93770587828698</v>
      </c>
    </row>
    <row r="8" spans="1:9" x14ac:dyDescent="0.25">
      <c r="A8">
        <v>45</v>
      </c>
      <c r="B8" t="s">
        <v>48</v>
      </c>
      <c r="C8" s="4">
        <v>1018.3419841580842</v>
      </c>
      <c r="D8" s="4">
        <v>341.59501080920302</v>
      </c>
      <c r="F8">
        <v>45</v>
      </c>
      <c r="G8" t="s">
        <v>48</v>
      </c>
      <c r="H8" s="4">
        <v>1018.3419841580842</v>
      </c>
      <c r="I8" s="4">
        <v>341.59501080920302</v>
      </c>
    </row>
    <row r="9" spans="1:9" x14ac:dyDescent="0.25">
      <c r="A9">
        <v>53</v>
      </c>
      <c r="B9" t="s">
        <v>52</v>
      </c>
      <c r="C9" s="4">
        <v>1340.8342835799615</v>
      </c>
      <c r="D9" s="4">
        <v>732.97770490898097</v>
      </c>
      <c r="F9">
        <v>53</v>
      </c>
      <c r="G9" t="s">
        <v>52</v>
      </c>
      <c r="H9" s="4">
        <v>1340.8342835799615</v>
      </c>
      <c r="I9" s="4">
        <v>732.97770490898097</v>
      </c>
    </row>
    <row r="10" spans="1:9" x14ac:dyDescent="0.25">
      <c r="A10">
        <v>31</v>
      </c>
      <c r="B10" t="s">
        <v>43</v>
      </c>
      <c r="C10" s="4">
        <v>1490.5822206314012</v>
      </c>
      <c r="D10" s="4">
        <v>1651.0372185204801</v>
      </c>
      <c r="F10">
        <v>31</v>
      </c>
      <c r="G10" t="s">
        <v>43</v>
      </c>
      <c r="H10" s="4">
        <v>1490.5822206314012</v>
      </c>
      <c r="I10" s="4">
        <v>1651.0372185204801</v>
      </c>
    </row>
    <row r="11" spans="1:9" x14ac:dyDescent="0.25">
      <c r="A11">
        <v>16</v>
      </c>
      <c r="B11" t="s">
        <v>35</v>
      </c>
      <c r="C11" s="4">
        <v>1542.5538620962734</v>
      </c>
      <c r="D11" s="4">
        <v>784.47665140062304</v>
      </c>
      <c r="F11">
        <v>16</v>
      </c>
      <c r="G11" t="s">
        <v>35</v>
      </c>
      <c r="H11" s="4">
        <v>1542.5538620962734</v>
      </c>
      <c r="I11" s="4">
        <v>784.47665140062304</v>
      </c>
    </row>
    <row r="12" spans="1:9" x14ac:dyDescent="0.25">
      <c r="A12">
        <v>27</v>
      </c>
      <c r="B12" t="s">
        <v>39</v>
      </c>
      <c r="C12" s="4">
        <v>2269.692389631879</v>
      </c>
      <c r="D12" s="4">
        <v>1663.91007538028</v>
      </c>
      <c r="F12">
        <v>27</v>
      </c>
      <c r="G12" t="s">
        <v>39</v>
      </c>
      <c r="H12" s="4">
        <v>2269.692389631879</v>
      </c>
      <c r="I12" s="4">
        <v>1663.91007538028</v>
      </c>
    </row>
    <row r="13" spans="1:9" x14ac:dyDescent="0.25">
      <c r="A13">
        <v>42</v>
      </c>
      <c r="B13" t="s">
        <v>46</v>
      </c>
      <c r="C13" s="4">
        <v>2652.5012644415456</v>
      </c>
      <c r="D13" s="4">
        <v>2260.6599947797999</v>
      </c>
      <c r="F13">
        <v>42</v>
      </c>
      <c r="G13" t="s">
        <v>46</v>
      </c>
      <c r="H13" s="4">
        <v>2652.5012644415456</v>
      </c>
      <c r="I13" s="4">
        <v>2260.6599947797999</v>
      </c>
    </row>
    <row r="14" spans="1:9" x14ac:dyDescent="0.25">
      <c r="A14">
        <v>2</v>
      </c>
      <c r="B14" t="s">
        <v>27</v>
      </c>
      <c r="C14" s="4">
        <v>2735.9909366166135</v>
      </c>
      <c r="D14" s="4">
        <v>2125.3873158361898</v>
      </c>
      <c r="F14">
        <v>2</v>
      </c>
      <c r="G14" t="s">
        <v>27</v>
      </c>
      <c r="H14" s="4">
        <v>2735.9909366166135</v>
      </c>
      <c r="I14" s="4">
        <v>2125.3873158361898</v>
      </c>
    </row>
    <row r="15" spans="1:9" x14ac:dyDescent="0.25">
      <c r="A15">
        <v>5</v>
      </c>
      <c r="B15" t="s">
        <v>29</v>
      </c>
      <c r="C15" s="4">
        <v>2942.5889792776893</v>
      </c>
      <c r="D15" s="4">
        <v>1787.27052216057</v>
      </c>
      <c r="F15">
        <v>5</v>
      </c>
      <c r="G15" t="s">
        <v>29</v>
      </c>
      <c r="H15" s="4">
        <v>2942.5889792776893</v>
      </c>
      <c r="I15" s="4">
        <v>1787.27052216057</v>
      </c>
    </row>
    <row r="16" spans="1:9" x14ac:dyDescent="0.25">
      <c r="A16">
        <v>7</v>
      </c>
      <c r="B16" t="s">
        <v>31</v>
      </c>
      <c r="C16" s="4">
        <v>3112.0440182418874</v>
      </c>
      <c r="D16" s="4">
        <v>2139.76234107249</v>
      </c>
      <c r="F16">
        <v>7</v>
      </c>
      <c r="G16" t="s">
        <v>31</v>
      </c>
      <c r="H16" s="4">
        <v>3112.0440182418874</v>
      </c>
      <c r="I16" s="4">
        <v>2139.76234107249</v>
      </c>
    </row>
    <row r="17" spans="1:9" x14ac:dyDescent="0.25">
      <c r="A17">
        <v>41</v>
      </c>
      <c r="B17" t="s">
        <v>45</v>
      </c>
      <c r="C17" s="4">
        <v>4099.3259414421918</v>
      </c>
      <c r="D17" s="4">
        <v>3611.51029056265</v>
      </c>
      <c r="F17">
        <v>41</v>
      </c>
      <c r="G17" t="s">
        <v>45</v>
      </c>
      <c r="H17" s="4">
        <v>4099.3259414421918</v>
      </c>
      <c r="I17" s="4">
        <v>3611.51029056265</v>
      </c>
    </row>
    <row r="18" spans="1:9" x14ac:dyDescent="0.25">
      <c r="A18">
        <v>3</v>
      </c>
      <c r="B18" t="s">
        <v>28</v>
      </c>
      <c r="C18" s="4">
        <v>4190.5803266239618</v>
      </c>
      <c r="D18" s="4">
        <v>1615.9004455733</v>
      </c>
      <c r="F18">
        <v>3</v>
      </c>
      <c r="G18" t="s">
        <v>28</v>
      </c>
      <c r="H18" s="4">
        <v>4190.5803266239618</v>
      </c>
      <c r="I18" s="4">
        <v>1615.9004455733</v>
      </c>
    </row>
    <row r="19" spans="1:9" x14ac:dyDescent="0.25">
      <c r="A19">
        <v>12</v>
      </c>
      <c r="B19" t="s">
        <v>33</v>
      </c>
      <c r="C19" s="4">
        <v>4796.4952513685139</v>
      </c>
      <c r="D19" s="4">
        <v>2069.53683574759</v>
      </c>
      <c r="F19">
        <v>12</v>
      </c>
      <c r="G19" t="s">
        <v>33</v>
      </c>
      <c r="H19" s="4">
        <v>4796.4952513685139</v>
      </c>
      <c r="I19" s="4">
        <v>2069.53683574759</v>
      </c>
    </row>
    <row r="20" spans="1:9" x14ac:dyDescent="0.25">
      <c r="A20">
        <v>15</v>
      </c>
      <c r="B20" t="s">
        <v>34</v>
      </c>
      <c r="C20" s="4">
        <v>6790.7307535611035</v>
      </c>
      <c r="D20" s="4">
        <v>5628.0843959956601</v>
      </c>
      <c r="F20">
        <v>15</v>
      </c>
      <c r="G20" t="s">
        <v>34</v>
      </c>
      <c r="H20" s="4">
        <v>6790.7307535611035</v>
      </c>
      <c r="I20" s="4">
        <v>5628.0843959956601</v>
      </c>
    </row>
    <row r="21" spans="1:9" x14ac:dyDescent="0.25">
      <c r="A21">
        <v>10</v>
      </c>
      <c r="B21" t="s">
        <v>32</v>
      </c>
      <c r="C21" s="4">
        <v>7603.5546336712569</v>
      </c>
      <c r="D21" s="4">
        <v>6658.76702815504</v>
      </c>
      <c r="F21">
        <v>10</v>
      </c>
      <c r="G21" t="s">
        <v>32</v>
      </c>
      <c r="H21" s="4">
        <v>7603.5546336712569</v>
      </c>
      <c r="I21" s="4">
        <v>6658.76702815504</v>
      </c>
    </row>
    <row r="22" spans="1:9" x14ac:dyDescent="0.25">
      <c r="A22">
        <v>49</v>
      </c>
      <c r="B22" t="s">
        <v>50</v>
      </c>
      <c r="C22" s="4">
        <v>8602.8209414846806</v>
      </c>
      <c r="D22" s="4">
        <v>7151.0560869380797</v>
      </c>
      <c r="F22">
        <v>49</v>
      </c>
      <c r="G22" t="s">
        <v>50</v>
      </c>
      <c r="H22" s="4">
        <v>8602.8209414846806</v>
      </c>
      <c r="I22" s="4">
        <v>7151.0560869380797</v>
      </c>
    </row>
    <row r="23" spans="1:9" x14ac:dyDescent="0.25">
      <c r="F23">
        <v>25</v>
      </c>
      <c r="G23" t="s">
        <v>37</v>
      </c>
      <c r="H23" s="4">
        <v>14205.323277373833</v>
      </c>
      <c r="I23" s="4">
        <v>4451.6023611069504</v>
      </c>
    </row>
    <row r="24" spans="1:9" x14ac:dyDescent="0.25">
      <c r="F24">
        <v>48</v>
      </c>
      <c r="G24" t="s">
        <v>49</v>
      </c>
      <c r="H24" s="4">
        <v>14818.533746407236</v>
      </c>
      <c r="I24" s="4">
        <v>7660.2436684797603</v>
      </c>
    </row>
    <row r="25" spans="1:9" x14ac:dyDescent="0.25">
      <c r="F25">
        <v>50</v>
      </c>
      <c r="G25" t="s">
        <v>51</v>
      </c>
      <c r="H25" s="4">
        <v>36664.168751624398</v>
      </c>
      <c r="I25" s="4">
        <v>33518.681532768103</v>
      </c>
    </row>
    <row r="26" spans="1:9" x14ac:dyDescent="0.25">
      <c r="F26">
        <v>28</v>
      </c>
      <c r="G26" t="s">
        <v>40</v>
      </c>
      <c r="H26" s="4">
        <v>72759.481698871736</v>
      </c>
      <c r="I26" s="4">
        <v>42967.088139857202</v>
      </c>
    </row>
    <row r="28" spans="1:9" x14ac:dyDescent="0.25">
      <c r="A28">
        <f>COUNT(A3:A22)</f>
        <v>20</v>
      </c>
      <c r="F28">
        <f>COUNT(F3:F26)</f>
        <v>24</v>
      </c>
      <c r="H28">
        <f>SUM(H3:H26)</f>
        <v>194950.67846784211</v>
      </c>
      <c r="I28">
        <f>SUM(I3:I26)</f>
        <v>129538.70795872915</v>
      </c>
    </row>
  </sheetData>
  <mergeCells count="2">
    <mergeCell ref="F1:I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F671-78CF-4828-8E66-5625CDB67DA1}">
  <dimension ref="A1:K26"/>
  <sheetViews>
    <sheetView topLeftCell="A17" workbookViewId="0">
      <selection activeCell="D26" sqref="D26"/>
    </sheetView>
  </sheetViews>
  <sheetFormatPr defaultRowHeight="13.2" x14ac:dyDescent="0.25"/>
  <cols>
    <col min="1" max="1" width="41.21875" customWidth="1"/>
    <col min="2" max="2" width="11.77734375" customWidth="1"/>
    <col min="3" max="3" width="14.6640625" style="37" customWidth="1"/>
    <col min="4" max="4" width="33.21875" style="36" customWidth="1"/>
    <col min="5" max="5" width="13" style="33" customWidth="1"/>
    <col min="6" max="6" width="28.44140625" style="33" customWidth="1"/>
    <col min="7" max="7" width="34.44140625" style="33" customWidth="1"/>
  </cols>
  <sheetData>
    <row r="1" spans="1:11" x14ac:dyDescent="0.25">
      <c r="C1" s="37" t="s">
        <v>185</v>
      </c>
      <c r="D1" s="36" t="s">
        <v>188</v>
      </c>
      <c r="E1" s="33" t="s">
        <v>151</v>
      </c>
      <c r="F1" s="33" t="s">
        <v>186</v>
      </c>
      <c r="G1" s="33" t="s">
        <v>187</v>
      </c>
      <c r="H1" s="33" t="s">
        <v>190</v>
      </c>
      <c r="I1" s="33" t="s">
        <v>189</v>
      </c>
    </row>
    <row r="2" spans="1:11" x14ac:dyDescent="0.25">
      <c r="A2" t="s">
        <v>158</v>
      </c>
      <c r="C2" s="37">
        <f>SUM(df_EMBAY_merged_summary!C2:C55)</f>
        <v>115997.51399492423</v>
      </c>
      <c r="D2" s="36">
        <f>SUM(df_EMBAY_merged_summary!AG2:AG55)</f>
        <v>785495.47349999985</v>
      </c>
      <c r="E2" s="33">
        <f>SUMIF(df_EMBAY_merged_summary!AP2:AP55,"&lt;&gt;NA",df_EMBAY_merged_summary!AP2:AP55)</f>
        <v>354</v>
      </c>
      <c r="F2" s="33">
        <f>SUMIF(df_EMBAY_merged_summary!AQ2:AQ55,"&lt;&gt;NA",df_EMBAY_merged_summary!AQ2:AQ55)</f>
        <v>25053.80999999999</v>
      </c>
      <c r="G2" s="33">
        <f>F2/C2*100</f>
        <v>21.598574949715115</v>
      </c>
      <c r="H2">
        <v>129538.70795872901</v>
      </c>
      <c r="I2">
        <v>194950.67846784199</v>
      </c>
      <c r="J2">
        <f>H2/D2</f>
        <v>0.16491337293330569</v>
      </c>
      <c r="K2">
        <f>I2/D2</f>
        <v>0.24818816281548187</v>
      </c>
    </row>
    <row r="13" spans="1:11" x14ac:dyDescent="0.25">
      <c r="A13" s="36" t="s">
        <v>192</v>
      </c>
      <c r="B13" s="36" t="s">
        <v>197</v>
      </c>
      <c r="C13" s="38" t="s">
        <v>208</v>
      </c>
      <c r="D13" s="36" t="s">
        <v>191</v>
      </c>
    </row>
    <row r="14" spans="1:11" ht="13.8" customHeight="1" x14ac:dyDescent="0.25">
      <c r="A14" s="36" t="s">
        <v>202</v>
      </c>
      <c r="B14" s="36" t="s">
        <v>198</v>
      </c>
      <c r="C14" s="38">
        <f>SUMIF(MEP_with_Bogs!AQ2:AQ55,"&lt;&gt;NA",MEP_with_Bogs!C2:C55)</f>
        <v>92372.437645531812</v>
      </c>
      <c r="D14" s="36" t="s">
        <v>211</v>
      </c>
    </row>
    <row r="15" spans="1:11" x14ac:dyDescent="0.25">
      <c r="A15" s="36" t="s">
        <v>201</v>
      </c>
      <c r="B15" s="36" t="s">
        <v>198</v>
      </c>
      <c r="C15" s="38">
        <f>SUMIF(MEP_with_Bogs!L$2:L$55,"&lt;&gt;0",MEP_with_Bogs!AQ2:AQ55)</f>
        <v>26722.160000000003</v>
      </c>
    </row>
    <row r="16" spans="1:11" x14ac:dyDescent="0.25">
      <c r="A16" s="36" t="s">
        <v>194</v>
      </c>
      <c r="B16" s="36"/>
      <c r="C16" s="39">
        <f>C15/C14</f>
        <v>0.28928715838963887</v>
      </c>
    </row>
    <row r="17" spans="1:4" x14ac:dyDescent="0.25">
      <c r="A17" s="36" t="s">
        <v>193</v>
      </c>
      <c r="B17" s="36" t="s">
        <v>200</v>
      </c>
      <c r="C17" s="38">
        <f>SUMIF(MEP_with_Bogs!L$2:L$55,"&lt;&gt;0",MEP_with_Bogs!AP2:AP55)</f>
        <v>390</v>
      </c>
    </row>
    <row r="18" spans="1:4" x14ac:dyDescent="0.25">
      <c r="A18" s="36" t="s">
        <v>206</v>
      </c>
      <c r="B18" s="36" t="s">
        <v>199</v>
      </c>
      <c r="C18" s="38">
        <f>SUMIF(MEP_with_Bogs!L$2:L$55,"&lt;&gt;0",MEP_with_Bogs!AG2:AG55)</f>
        <v>766759.82849999983</v>
      </c>
      <c r="D18" s="36" t="s">
        <v>207</v>
      </c>
    </row>
    <row r="19" spans="1:4" x14ac:dyDescent="0.25">
      <c r="A19" s="36" t="s">
        <v>204</v>
      </c>
      <c r="B19" s="36" t="s">
        <v>199</v>
      </c>
      <c r="C19" s="38">
        <f>SUMIF(MEP_with_Bogs!AQ2:AQ55,"&lt;&gt;NA",MEP_with_Bogs!BE2:BE55)</f>
        <v>129538.70795872917</v>
      </c>
    </row>
    <row r="20" spans="1:4" x14ac:dyDescent="0.25">
      <c r="A20" s="36" t="s">
        <v>209</v>
      </c>
      <c r="B20" s="36"/>
      <c r="C20" s="39">
        <f>C19/C18</f>
        <v>0.16894300293762612</v>
      </c>
    </row>
    <row r="21" spans="1:4" x14ac:dyDescent="0.25">
      <c r="A21" s="36" t="s">
        <v>205</v>
      </c>
      <c r="B21" s="36" t="s">
        <v>199</v>
      </c>
      <c r="C21" s="38">
        <f>SUMIF(MEP_with_Bogs!AQ2:AQ55,"&lt;&gt;NA",MEP_with_Bogs!BT2:BT55)</f>
        <v>194950.67846784127</v>
      </c>
    </row>
    <row r="22" spans="1:4" x14ac:dyDescent="0.25">
      <c r="A22" s="36" t="s">
        <v>209</v>
      </c>
      <c r="B22" s="36"/>
      <c r="C22" s="39">
        <f>C21/C18</f>
        <v>0.25425259803871075</v>
      </c>
    </row>
    <row r="23" spans="1:4" x14ac:dyDescent="0.25">
      <c r="A23" s="36" t="s">
        <v>195</v>
      </c>
      <c r="B23" s="36" t="s">
        <v>198</v>
      </c>
      <c r="C23" s="38">
        <f>SUMIF(df_EMBAY_merged_summary!AN2:AN55,"&lt;&gt;NA",df_EMBAY_merged_summary!AN2:AN55)</f>
        <v>1452.0421620122027</v>
      </c>
    </row>
    <row r="24" spans="1:4" x14ac:dyDescent="0.25">
      <c r="A24" s="36" t="s">
        <v>203</v>
      </c>
      <c r="B24" s="36" t="s">
        <v>199</v>
      </c>
      <c r="C24" s="38">
        <f>C23*45.8</f>
        <v>66503.531020158873</v>
      </c>
    </row>
    <row r="25" spans="1:4" ht="87.6" customHeight="1" x14ac:dyDescent="0.25">
      <c r="A25" s="36" t="s">
        <v>196</v>
      </c>
      <c r="B25" s="36" t="s">
        <v>199</v>
      </c>
      <c r="C25" s="38">
        <f>C23*45.8*((0.61*0.7+0.31*0.3)*(0.65))</f>
        <v>22478.193484813699</v>
      </c>
      <c r="D25" s="36" t="s">
        <v>212</v>
      </c>
    </row>
    <row r="26" spans="1:4" x14ac:dyDescent="0.25">
      <c r="A26" s="36" t="s">
        <v>210</v>
      </c>
      <c r="B26" s="36"/>
      <c r="C26" s="39">
        <f>C25/C18</f>
        <v>2.9315820481606913E-2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643C-E709-45DE-837E-131CB3E393A1}">
  <dimension ref="X3:Y7"/>
  <sheetViews>
    <sheetView topLeftCell="A48" zoomScale="107" zoomScaleNormal="200" workbookViewId="0">
      <selection activeCell="I70" sqref="I70"/>
    </sheetView>
  </sheetViews>
  <sheetFormatPr defaultRowHeight="13.2" x14ac:dyDescent="0.25"/>
  <sheetData>
    <row r="3" spans="24:25" x14ac:dyDescent="0.25">
      <c r="X3">
        <v>0</v>
      </c>
      <c r="Y3">
        <v>0</v>
      </c>
    </row>
    <row r="4" spans="24:25" x14ac:dyDescent="0.25">
      <c r="X4">
        <v>1</v>
      </c>
      <c r="Y4">
        <v>1</v>
      </c>
    </row>
    <row r="5" spans="24:25" x14ac:dyDescent="0.25">
      <c r="X5">
        <v>10</v>
      </c>
      <c r="Y5">
        <v>10</v>
      </c>
    </row>
    <row r="6" spans="24:25" x14ac:dyDescent="0.25">
      <c r="X6" s="8">
        <v>1000</v>
      </c>
      <c r="Y6" s="8">
        <v>1000</v>
      </c>
    </row>
    <row r="7" spans="24:25" x14ac:dyDescent="0.25">
      <c r="X7" s="8">
        <v>100000</v>
      </c>
      <c r="Y7" s="8">
        <v>100000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5"/>
  <sheetViews>
    <sheetView topLeftCell="AA1" workbookViewId="0">
      <selection activeCell="AL1" sqref="AL1:AL1048576"/>
    </sheetView>
  </sheetViews>
  <sheetFormatPr defaultRowHeight="13.2" x14ac:dyDescent="0.25"/>
  <cols>
    <col min="12" max="12" width="12.88671875" customWidth="1"/>
    <col min="35" max="35" width="8.88671875" customWidth="1"/>
    <col min="43" max="43" width="21.21875" customWidth="1"/>
  </cols>
  <sheetData>
    <row r="1" spans="1:75" x14ac:dyDescent="0.25">
      <c r="A1" t="s">
        <v>82</v>
      </c>
      <c r="B1" t="s">
        <v>0</v>
      </c>
      <c r="C1" t="s">
        <v>83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</v>
      </c>
      <c r="AO1" t="s">
        <v>2</v>
      </c>
      <c r="AP1" t="s">
        <v>151</v>
      </c>
      <c r="AQ1" t="s">
        <v>84</v>
      </c>
      <c r="AR1" t="s">
        <v>3</v>
      </c>
      <c r="AS1" t="s">
        <v>90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213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214</v>
      </c>
      <c r="BV1" t="s">
        <v>149</v>
      </c>
      <c r="BW1" t="s">
        <v>150</v>
      </c>
    </row>
    <row r="2" spans="1:75" x14ac:dyDescent="0.25">
      <c r="A2">
        <v>1</v>
      </c>
      <c r="B2" t="s">
        <v>54</v>
      </c>
      <c r="C2">
        <v>114.549431133357</v>
      </c>
      <c r="D2">
        <v>2627</v>
      </c>
      <c r="E2">
        <v>236</v>
      </c>
      <c r="F2">
        <v>298</v>
      </c>
      <c r="G2">
        <v>22</v>
      </c>
      <c r="H2">
        <v>3183</v>
      </c>
      <c r="I2">
        <v>351</v>
      </c>
      <c r="J2">
        <v>541</v>
      </c>
      <c r="K2">
        <v>893</v>
      </c>
      <c r="L2">
        <v>1</v>
      </c>
      <c r="M2">
        <v>541</v>
      </c>
      <c r="N2">
        <v>893</v>
      </c>
      <c r="O2">
        <v>73.7</v>
      </c>
      <c r="P2">
        <v>62.9</v>
      </c>
      <c r="Q2">
        <v>101</v>
      </c>
      <c r="R2">
        <v>7211.9326829045003</v>
      </c>
      <c r="S2">
        <v>2186723.8527408801</v>
      </c>
      <c r="T2">
        <v>3183</v>
      </c>
      <c r="U2">
        <v>6.6020000000000003</v>
      </c>
      <c r="V2">
        <v>2.4470000000000001</v>
      </c>
      <c r="W2" s="32">
        <v>-0.629</v>
      </c>
      <c r="X2">
        <v>2281</v>
      </c>
      <c r="Y2">
        <v>0</v>
      </c>
      <c r="Z2">
        <v>179</v>
      </c>
      <c r="AA2">
        <v>197</v>
      </c>
      <c r="AB2">
        <v>83</v>
      </c>
      <c r="AC2">
        <v>40</v>
      </c>
      <c r="AD2">
        <v>514</v>
      </c>
      <c r="AE2">
        <v>2779</v>
      </c>
      <c r="AF2">
        <v>2492</v>
      </c>
      <c r="AG2">
        <v>2411.3805000000002</v>
      </c>
      <c r="AH2">
        <v>21.05100371</v>
      </c>
      <c r="AI2">
        <v>3293</v>
      </c>
      <c r="AJ2">
        <v>3006</v>
      </c>
      <c r="AK2">
        <v>27.7871305733014</v>
      </c>
      <c r="AL2">
        <v>21.0510037120367</v>
      </c>
      <c r="AM2">
        <v>26.241946121063101</v>
      </c>
      <c r="AN2" t="s">
        <v>41</v>
      </c>
      <c r="AO2" t="s">
        <v>41</v>
      </c>
      <c r="AP2" t="s">
        <v>41</v>
      </c>
      <c r="AQ2" t="s">
        <v>41</v>
      </c>
      <c r="AR2" t="s">
        <v>41</v>
      </c>
      <c r="AS2" t="s">
        <v>41</v>
      </c>
      <c r="AT2" t="s">
        <v>41</v>
      </c>
      <c r="AU2" t="s">
        <v>41</v>
      </c>
      <c r="AV2" t="s">
        <v>41</v>
      </c>
      <c r="AW2" t="s">
        <v>41</v>
      </c>
      <c r="AX2" t="s">
        <v>41</v>
      </c>
      <c r="AY2" t="s">
        <v>41</v>
      </c>
      <c r="AZ2" t="s">
        <v>41</v>
      </c>
      <c r="BA2" t="s">
        <v>41</v>
      </c>
      <c r="BB2" t="s">
        <v>41</v>
      </c>
      <c r="BC2" t="s">
        <v>41</v>
      </c>
      <c r="BD2" t="s">
        <v>41</v>
      </c>
      <c r="BE2" t="s">
        <v>41</v>
      </c>
      <c r="BF2" t="s">
        <v>41</v>
      </c>
      <c r="BG2" t="s">
        <v>41</v>
      </c>
      <c r="BH2" t="s">
        <v>41</v>
      </c>
      <c r="BI2" t="s">
        <v>41</v>
      </c>
      <c r="BJ2" t="s">
        <v>41</v>
      </c>
      <c r="BK2" t="s">
        <v>41</v>
      </c>
      <c r="BL2" t="s">
        <v>41</v>
      </c>
      <c r="BM2" t="s">
        <v>41</v>
      </c>
      <c r="BN2" t="s">
        <v>41</v>
      </c>
      <c r="BO2" t="s">
        <v>41</v>
      </c>
      <c r="BP2" t="s">
        <v>41</v>
      </c>
      <c r="BQ2" t="s">
        <v>41</v>
      </c>
      <c r="BR2" t="s">
        <v>41</v>
      </c>
      <c r="BS2" t="s">
        <v>41</v>
      </c>
      <c r="BT2" t="s">
        <v>41</v>
      </c>
      <c r="BU2" t="s">
        <v>41</v>
      </c>
      <c r="BV2" t="s">
        <v>41</v>
      </c>
      <c r="BW2" t="s">
        <v>41</v>
      </c>
    </row>
    <row r="3" spans="1:75" x14ac:dyDescent="0.25">
      <c r="A3">
        <v>2</v>
      </c>
      <c r="B3" t="s">
        <v>27</v>
      </c>
      <c r="C3">
        <v>8771.0984718469208</v>
      </c>
      <c r="D3">
        <v>65741</v>
      </c>
      <c r="E3">
        <v>9732</v>
      </c>
      <c r="F3">
        <v>10770</v>
      </c>
      <c r="G3">
        <v>11421</v>
      </c>
      <c r="H3">
        <v>97666</v>
      </c>
      <c r="I3">
        <v>10971</v>
      </c>
      <c r="J3">
        <v>75572</v>
      </c>
      <c r="K3">
        <v>92434</v>
      </c>
      <c r="L3">
        <v>7</v>
      </c>
      <c r="M3">
        <v>75572</v>
      </c>
      <c r="N3">
        <v>92434</v>
      </c>
      <c r="O3">
        <v>-283.89999999999998</v>
      </c>
      <c r="P3">
        <v>-211.9</v>
      </c>
      <c r="Q3">
        <v>714</v>
      </c>
      <c r="R3">
        <v>220441.72698879999</v>
      </c>
      <c r="S3">
        <v>219380593.603257</v>
      </c>
      <c r="T3">
        <v>97666</v>
      </c>
      <c r="U3">
        <v>181.42699999999999</v>
      </c>
      <c r="V3">
        <v>253.24199999999999</v>
      </c>
      <c r="W3" s="32">
        <v>0.39600000000000002</v>
      </c>
      <c r="X3">
        <v>53984</v>
      </c>
      <c r="Y3">
        <v>274</v>
      </c>
      <c r="Z3">
        <v>4813</v>
      </c>
      <c r="AA3">
        <v>5247</v>
      </c>
      <c r="AB3">
        <v>1903</v>
      </c>
      <c r="AC3">
        <v>3842</v>
      </c>
      <c r="AD3">
        <v>16326</v>
      </c>
      <c r="AE3">
        <v>73613</v>
      </c>
      <c r="AF3">
        <v>66221</v>
      </c>
      <c r="AG3">
        <v>66266.211750000002</v>
      </c>
      <c r="AH3">
        <v>7.5550641650000001</v>
      </c>
      <c r="AI3">
        <v>89939</v>
      </c>
      <c r="AJ3">
        <v>82547</v>
      </c>
      <c r="AK3">
        <v>11.134979308861199</v>
      </c>
      <c r="AL3">
        <v>7.5550641647335599</v>
      </c>
      <c r="AM3">
        <v>9.4112499437733597</v>
      </c>
      <c r="AN3">
        <v>18.855294916201899</v>
      </c>
      <c r="AO3">
        <v>749.48</v>
      </c>
      <c r="AP3">
        <v>10</v>
      </c>
      <c r="AQ3">
        <v>435.44</v>
      </c>
      <c r="AR3">
        <v>14202.671649555101</v>
      </c>
      <c r="AS3">
        <v>8251.6029021218292</v>
      </c>
      <c r="AT3">
        <v>0.68754924535751305</v>
      </c>
      <c r="AU3">
        <v>0.837432616949081</v>
      </c>
      <c r="AV3">
        <v>0.988182997703552</v>
      </c>
      <c r="AW3">
        <v>6.9299005717039106E-2</v>
      </c>
      <c r="AX3">
        <v>0.176820400357246</v>
      </c>
      <c r="AY3">
        <v>0.36092524081468502</v>
      </c>
      <c r="AZ3">
        <v>4287.6004735742299</v>
      </c>
      <c r="BA3">
        <v>865.85310272886102</v>
      </c>
      <c r="BB3">
        <v>517.19679396662195</v>
      </c>
      <c r="BC3">
        <v>481.328575845778</v>
      </c>
      <c r="BD3">
        <v>325.42116966787802</v>
      </c>
      <c r="BE3">
        <v>2504.7579576237699</v>
      </c>
      <c r="BF3">
        <v>510.91721045921099</v>
      </c>
      <c r="BG3">
        <v>327.38414804946899</v>
      </c>
      <c r="BH3">
        <v>301.35331393422098</v>
      </c>
      <c r="BI3">
        <v>195.556489478701</v>
      </c>
      <c r="BJ3">
        <v>1179.6360363620799</v>
      </c>
      <c r="BK3">
        <v>946.43780623090197</v>
      </c>
      <c r="BL3">
        <v>1550.16760537699</v>
      </c>
      <c r="BM3">
        <v>1548.6911921706401</v>
      </c>
      <c r="BN3">
        <v>1246.91825300454</v>
      </c>
      <c r="BO3">
        <v>1941.3406530575901</v>
      </c>
      <c r="BP3">
        <v>2006.1140052737701</v>
      </c>
      <c r="BQ3">
        <v>1801.50431567381</v>
      </c>
      <c r="BR3">
        <v>2162.05194459621</v>
      </c>
      <c r="BS3">
        <v>2647.9971778312001</v>
      </c>
      <c r="BT3">
        <v>1154.3608426631699</v>
      </c>
      <c r="BU3">
        <v>1771.4883604474701</v>
      </c>
      <c r="BV3">
        <v>3289.7771398915802</v>
      </c>
      <c r="BW3">
        <v>5662.3694901845101</v>
      </c>
    </row>
    <row r="4" spans="1:75" x14ac:dyDescent="0.25">
      <c r="A4">
        <v>3</v>
      </c>
      <c r="B4" t="s">
        <v>28</v>
      </c>
      <c r="C4">
        <v>4779.4871016583602</v>
      </c>
      <c r="D4">
        <v>91114</v>
      </c>
      <c r="E4">
        <v>8662</v>
      </c>
      <c r="F4">
        <v>11748</v>
      </c>
      <c r="G4">
        <v>2606</v>
      </c>
      <c r="H4">
        <v>114651</v>
      </c>
      <c r="I4">
        <v>14474</v>
      </c>
      <c r="J4">
        <v>25618</v>
      </c>
      <c r="K4">
        <v>41792</v>
      </c>
      <c r="L4">
        <v>7</v>
      </c>
      <c r="M4">
        <v>25618</v>
      </c>
      <c r="N4">
        <v>41792</v>
      </c>
      <c r="O4">
        <v>464.6</v>
      </c>
      <c r="P4">
        <v>366.3</v>
      </c>
      <c r="Q4">
        <v>721</v>
      </c>
      <c r="R4">
        <v>167259.645980576</v>
      </c>
      <c r="S4">
        <v>105354810.547314</v>
      </c>
      <c r="T4">
        <v>114651</v>
      </c>
      <c r="U4">
        <v>217.81899999999999</v>
      </c>
      <c r="V4">
        <v>114.48699999999999</v>
      </c>
      <c r="W4" s="32">
        <v>-0.47399999999999998</v>
      </c>
      <c r="X4">
        <v>72512</v>
      </c>
      <c r="Y4">
        <v>1795</v>
      </c>
      <c r="Z4">
        <v>7293</v>
      </c>
      <c r="AA4">
        <v>7292</v>
      </c>
      <c r="AB4">
        <v>5594</v>
      </c>
      <c r="AC4">
        <v>1453</v>
      </c>
      <c r="AD4">
        <v>8247</v>
      </c>
      <c r="AE4">
        <v>95939</v>
      </c>
      <c r="AF4">
        <v>84068</v>
      </c>
      <c r="AG4">
        <v>79558.389750000002</v>
      </c>
      <c r="AH4">
        <v>16.645800699999999</v>
      </c>
      <c r="AI4">
        <v>104186</v>
      </c>
      <c r="AJ4">
        <v>92315</v>
      </c>
      <c r="AK4">
        <v>23.988138802638201</v>
      </c>
      <c r="AL4">
        <v>16.645800701584701</v>
      </c>
      <c r="AM4">
        <v>19.314834005508398</v>
      </c>
      <c r="AN4">
        <v>24.053786093286</v>
      </c>
      <c r="AO4">
        <v>188</v>
      </c>
      <c r="AP4">
        <v>6</v>
      </c>
      <c r="AQ4">
        <v>188.06</v>
      </c>
      <c r="AR4">
        <v>3562.60643394935</v>
      </c>
      <c r="AS4">
        <v>3563.74343600273</v>
      </c>
      <c r="AT4">
        <v>0.64876286188761301</v>
      </c>
      <c r="AU4">
        <v>0.82399125893910696</v>
      </c>
      <c r="AV4">
        <v>1.05616319179534</v>
      </c>
      <c r="AW4">
        <v>0.10797638197739901</v>
      </c>
      <c r="AX4">
        <v>0.24867940694093699</v>
      </c>
      <c r="AY4">
        <v>0.47048083444436301</v>
      </c>
      <c r="AZ4">
        <v>1258.74608814833</v>
      </c>
      <c r="BA4">
        <v>395.37540736228601</v>
      </c>
      <c r="BB4">
        <v>295.50248055084597</v>
      </c>
      <c r="BC4">
        <v>237.96547187118301</v>
      </c>
      <c r="BD4">
        <v>152.251697613441</v>
      </c>
      <c r="BE4">
        <v>1259.0882834782601</v>
      </c>
      <c r="BF4">
        <v>395.47868143319499</v>
      </c>
      <c r="BG4">
        <v>295.59049341987998</v>
      </c>
      <c r="BH4">
        <v>238.02738983740801</v>
      </c>
      <c r="BI4">
        <v>152.29141740914301</v>
      </c>
      <c r="BJ4">
        <v>612.81916240099895</v>
      </c>
      <c r="BK4">
        <v>619.77814863868502</v>
      </c>
      <c r="BL4">
        <v>1041.03670097136</v>
      </c>
      <c r="BM4">
        <v>1525.7734017801799</v>
      </c>
      <c r="BN4">
        <v>1287.9164329620801</v>
      </c>
      <c r="BO4">
        <v>2343.3947400881698</v>
      </c>
      <c r="BP4">
        <v>612.65899300365197</v>
      </c>
      <c r="BQ4">
        <v>619.50576911079497</v>
      </c>
      <c r="BR4">
        <v>1040.6957340405299</v>
      </c>
      <c r="BS4">
        <v>1525.30947273213</v>
      </c>
      <c r="BT4">
        <v>1288.0119946884799</v>
      </c>
      <c r="BU4">
        <v>2343.5701056073099</v>
      </c>
      <c r="BV4">
        <v>3130.40927994002</v>
      </c>
      <c r="BW4">
        <v>3129.41053189793</v>
      </c>
    </row>
    <row r="5" spans="1:75" x14ac:dyDescent="0.25">
      <c r="A5">
        <v>4</v>
      </c>
      <c r="B5" t="s">
        <v>55</v>
      </c>
      <c r="C5">
        <v>258.95327470244899</v>
      </c>
      <c r="D5">
        <v>903</v>
      </c>
      <c r="E5">
        <v>202</v>
      </c>
      <c r="F5">
        <v>305</v>
      </c>
      <c r="G5">
        <v>50</v>
      </c>
      <c r="H5">
        <v>1460</v>
      </c>
      <c r="I5">
        <v>386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104</v>
      </c>
      <c r="R5">
        <v>12320.5386026506</v>
      </c>
      <c r="S5">
        <v>4667329.0270829601</v>
      </c>
      <c r="T5">
        <v>1460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G5">
        <v>0</v>
      </c>
      <c r="AH5">
        <v>0</v>
      </c>
      <c r="AI5">
        <v>0</v>
      </c>
      <c r="AJ5">
        <v>0</v>
      </c>
      <c r="AK5">
        <v>5.6380827841532897</v>
      </c>
      <c r="AL5">
        <v>0</v>
      </c>
      <c r="AM5">
        <v>0</v>
      </c>
      <c r="AN5" t="s">
        <v>41</v>
      </c>
      <c r="AO5" t="s">
        <v>41</v>
      </c>
      <c r="AP5" t="s">
        <v>41</v>
      </c>
      <c r="AQ5" t="s">
        <v>41</v>
      </c>
      <c r="AR5" t="s">
        <v>41</v>
      </c>
      <c r="AS5" t="s">
        <v>41</v>
      </c>
      <c r="AT5" t="s">
        <v>41</v>
      </c>
      <c r="AU5" t="s">
        <v>41</v>
      </c>
      <c r="AV5" t="s">
        <v>41</v>
      </c>
      <c r="AW5" t="s">
        <v>41</v>
      </c>
      <c r="AX5" t="s">
        <v>41</v>
      </c>
      <c r="AY5" t="s">
        <v>41</v>
      </c>
      <c r="AZ5" t="s">
        <v>41</v>
      </c>
      <c r="BA5" t="s">
        <v>41</v>
      </c>
      <c r="BB5" t="s">
        <v>41</v>
      </c>
      <c r="BC5" t="s">
        <v>41</v>
      </c>
      <c r="BD5" t="s">
        <v>41</v>
      </c>
      <c r="BE5" t="s">
        <v>41</v>
      </c>
      <c r="BF5" t="s">
        <v>41</v>
      </c>
      <c r="BG5" t="s">
        <v>41</v>
      </c>
      <c r="BH5" t="s">
        <v>41</v>
      </c>
      <c r="BI5" t="s">
        <v>41</v>
      </c>
      <c r="BJ5" t="s">
        <v>41</v>
      </c>
      <c r="BK5" t="s">
        <v>41</v>
      </c>
      <c r="BL5" t="s">
        <v>41</v>
      </c>
      <c r="BM5" t="s">
        <v>41</v>
      </c>
      <c r="BN5" t="s">
        <v>41</v>
      </c>
      <c r="BO5" t="s">
        <v>41</v>
      </c>
      <c r="BP5" t="s">
        <v>41</v>
      </c>
      <c r="BQ5" t="s">
        <v>41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</row>
    <row r="6" spans="1:75" x14ac:dyDescent="0.25">
      <c r="A6">
        <v>5</v>
      </c>
      <c r="B6" t="s">
        <v>29</v>
      </c>
      <c r="C6">
        <v>604.46743013583</v>
      </c>
      <c r="D6">
        <v>7632</v>
      </c>
      <c r="E6">
        <v>2776</v>
      </c>
      <c r="F6">
        <v>1690</v>
      </c>
      <c r="G6">
        <v>1226</v>
      </c>
      <c r="H6">
        <v>13323</v>
      </c>
      <c r="I6">
        <v>1529</v>
      </c>
      <c r="J6">
        <v>394</v>
      </c>
      <c r="K6">
        <v>1296</v>
      </c>
      <c r="L6">
        <v>2</v>
      </c>
      <c r="M6">
        <v>394</v>
      </c>
      <c r="N6">
        <v>1296</v>
      </c>
      <c r="O6">
        <v>189.9</v>
      </c>
      <c r="P6">
        <v>161.39999999999901</v>
      </c>
      <c r="Q6">
        <v>210</v>
      </c>
      <c r="R6">
        <v>53819.509686867801</v>
      </c>
      <c r="S6">
        <v>21196487.363198999</v>
      </c>
      <c r="T6">
        <v>13323</v>
      </c>
      <c r="U6">
        <v>14.95</v>
      </c>
      <c r="V6" t="s">
        <v>41</v>
      </c>
      <c r="W6" s="32">
        <v>-1</v>
      </c>
      <c r="X6">
        <v>5573</v>
      </c>
      <c r="Y6">
        <v>1</v>
      </c>
      <c r="Z6">
        <v>485</v>
      </c>
      <c r="AA6">
        <v>502</v>
      </c>
      <c r="AB6">
        <v>723</v>
      </c>
      <c r="AC6">
        <v>242</v>
      </c>
      <c r="AD6">
        <v>1261</v>
      </c>
      <c r="AE6">
        <v>7526</v>
      </c>
      <c r="AF6">
        <v>6711</v>
      </c>
      <c r="AG6">
        <v>5460.4875000000002</v>
      </c>
      <c r="AH6">
        <v>9.0335512349999991</v>
      </c>
      <c r="AI6">
        <v>8787</v>
      </c>
      <c r="AJ6">
        <v>7972</v>
      </c>
      <c r="AK6">
        <v>22.040889774666802</v>
      </c>
      <c r="AL6">
        <v>9.0335512349655698</v>
      </c>
      <c r="AM6">
        <v>13.188469059794601</v>
      </c>
      <c r="AN6">
        <v>8.7396087781372902</v>
      </c>
      <c r="AO6">
        <v>309.43</v>
      </c>
      <c r="AP6">
        <v>1</v>
      </c>
      <c r="AQ6">
        <v>309.44</v>
      </c>
      <c r="AR6">
        <v>5863.7090896646096</v>
      </c>
      <c r="AS6">
        <v>5863.8985900068401</v>
      </c>
      <c r="AT6">
        <v>0.71839791536331099</v>
      </c>
      <c r="AU6">
        <v>0.79271847009658802</v>
      </c>
      <c r="AV6">
        <v>0.87305343151092496</v>
      </c>
      <c r="AW6">
        <v>0.26225915551185602</v>
      </c>
      <c r="AX6">
        <v>0.375510513782501</v>
      </c>
      <c r="AY6">
        <v>0.50875735282897905</v>
      </c>
      <c r="AZ6">
        <v>1697.78079963205</v>
      </c>
      <c r="BA6">
        <v>804.23828182307705</v>
      </c>
      <c r="BB6">
        <v>477.75386664936099</v>
      </c>
      <c r="BC6">
        <v>455.94979786380298</v>
      </c>
      <c r="BD6">
        <v>304.20493297508801</v>
      </c>
      <c r="BE6">
        <v>1697.8356676409601</v>
      </c>
      <c r="BF6">
        <v>804.26427278328902</v>
      </c>
      <c r="BG6">
        <v>477.76930645373199</v>
      </c>
      <c r="BH6">
        <v>455.96317701215702</v>
      </c>
      <c r="BI6">
        <v>304.214492700405</v>
      </c>
      <c r="BJ6">
        <v>828.53417696425799</v>
      </c>
      <c r="BK6">
        <v>658.917723251133</v>
      </c>
      <c r="BL6">
        <v>1058.7745294702099</v>
      </c>
      <c r="BM6">
        <v>1364.1110888701201</v>
      </c>
      <c r="BN6">
        <v>958.78981911840401</v>
      </c>
      <c r="BO6">
        <v>1616.92242656893</v>
      </c>
      <c r="BP6">
        <v>828.50740168708205</v>
      </c>
      <c r="BQ6">
        <v>658.89146709162503</v>
      </c>
      <c r="BR6">
        <v>1058.7494199390501</v>
      </c>
      <c r="BS6">
        <v>1364.06700565241</v>
      </c>
      <c r="BT6">
        <v>958.79798935909798</v>
      </c>
      <c r="BU6">
        <v>1616.9374197943</v>
      </c>
      <c r="BV6">
        <v>2795.3420941477402</v>
      </c>
      <c r="BW6">
        <v>2795.2517586353902</v>
      </c>
    </row>
    <row r="7" spans="1:75" x14ac:dyDescent="0.25">
      <c r="A7">
        <v>6</v>
      </c>
      <c r="B7" t="s">
        <v>30</v>
      </c>
      <c r="C7">
        <v>2874.4705521506698</v>
      </c>
      <c r="D7">
        <v>4263</v>
      </c>
      <c r="E7">
        <v>737</v>
      </c>
      <c r="F7">
        <v>710</v>
      </c>
      <c r="G7">
        <v>128</v>
      </c>
      <c r="H7">
        <v>5838</v>
      </c>
      <c r="I7">
        <v>820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106</v>
      </c>
      <c r="R7">
        <v>33077.826474534697</v>
      </c>
      <c r="S7">
        <v>53842218.434331402</v>
      </c>
      <c r="T7">
        <v>5838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>
        <v>3502.7999999999902</v>
      </c>
      <c r="AH7" t="s">
        <v>41</v>
      </c>
      <c r="AI7" t="s">
        <v>41</v>
      </c>
      <c r="AJ7" t="s">
        <v>41</v>
      </c>
      <c r="AK7">
        <v>2.0309827128449802</v>
      </c>
      <c r="AL7">
        <v>1.2185896277069801</v>
      </c>
      <c r="AM7" t="s">
        <v>41</v>
      </c>
      <c r="AN7">
        <v>112.71282910555</v>
      </c>
      <c r="AO7">
        <v>3540.29</v>
      </c>
      <c r="AP7">
        <v>17</v>
      </c>
      <c r="AQ7">
        <v>1637.79</v>
      </c>
      <c r="AR7">
        <v>67088.616659822001</v>
      </c>
      <c r="AS7">
        <v>31036.176550307999</v>
      </c>
      <c r="AT7">
        <v>0.50822500796879</v>
      </c>
      <c r="AU7">
        <v>0.57121253364226399</v>
      </c>
      <c r="AV7">
        <v>0.64847843086018198</v>
      </c>
      <c r="AW7">
        <v>4.6594544259064299E-2</v>
      </c>
      <c r="AX7">
        <v>0.122269595261005</v>
      </c>
      <c r="AY7">
        <v>0.25224060554276401</v>
      </c>
      <c r="AZ7">
        <v>13652.3037400926</v>
      </c>
      <c r="BA7">
        <v>1563.1264456558699</v>
      </c>
      <c r="BB7">
        <v>1138.8782517986001</v>
      </c>
      <c r="BC7">
        <v>932.61819578559505</v>
      </c>
      <c r="BD7">
        <v>600.32049848307395</v>
      </c>
      <c r="BE7">
        <v>6288.1005002097299</v>
      </c>
      <c r="BF7">
        <v>1062.8965119525501</v>
      </c>
      <c r="BG7">
        <v>798.24825762405101</v>
      </c>
      <c r="BH7">
        <v>639.68884089073799</v>
      </c>
      <c r="BI7">
        <v>409.27726828870601</v>
      </c>
      <c r="BJ7">
        <v>3026.8618329144001</v>
      </c>
      <c r="BK7">
        <v>2585.7685913379</v>
      </c>
      <c r="BL7">
        <v>4234.5274780649197</v>
      </c>
      <c r="BM7">
        <v>960.13250044242102</v>
      </c>
      <c r="BN7">
        <v>1076.8578137208201</v>
      </c>
      <c r="BO7">
        <v>1539.8768627681</v>
      </c>
      <c r="BP7">
        <v>6564.0879428929802</v>
      </c>
      <c r="BQ7">
        <v>7193.32424308188</v>
      </c>
      <c r="BR7">
        <v>6764.2958579497699</v>
      </c>
      <c r="BS7">
        <v>2073.3263673912002</v>
      </c>
      <c r="BT7">
        <v>1021.27688694415</v>
      </c>
      <c r="BU7">
        <v>1437.8801906097599</v>
      </c>
      <c r="BV7">
        <v>1995.79390636223</v>
      </c>
      <c r="BW7">
        <v>4314.1606730747699</v>
      </c>
    </row>
    <row r="8" spans="1:75" x14ac:dyDescent="0.25">
      <c r="A8">
        <v>7</v>
      </c>
      <c r="B8" t="s">
        <v>31</v>
      </c>
      <c r="C8">
        <v>2778.9380343889502</v>
      </c>
      <c r="D8">
        <v>48278</v>
      </c>
      <c r="E8">
        <v>5008</v>
      </c>
      <c r="F8">
        <v>6413</v>
      </c>
      <c r="G8">
        <v>4548</v>
      </c>
      <c r="H8">
        <v>63166</v>
      </c>
      <c r="I8">
        <v>7996</v>
      </c>
      <c r="J8">
        <v>25847</v>
      </c>
      <c r="K8">
        <v>34833</v>
      </c>
      <c r="L8">
        <v>4</v>
      </c>
      <c r="M8">
        <v>25847</v>
      </c>
      <c r="N8">
        <v>34833</v>
      </c>
      <c r="O8">
        <v>73.099999999999994</v>
      </c>
      <c r="P8">
        <v>59.8</v>
      </c>
      <c r="Q8">
        <v>428</v>
      </c>
      <c r="R8">
        <v>77848.769648449001</v>
      </c>
      <c r="S8">
        <v>54096623.891136803</v>
      </c>
      <c r="T8">
        <v>63166</v>
      </c>
      <c r="U8">
        <v>123.55800000000001</v>
      </c>
      <c r="V8">
        <v>92.113</v>
      </c>
      <c r="W8" s="32">
        <v>-0.254</v>
      </c>
      <c r="X8">
        <v>48493</v>
      </c>
      <c r="Y8">
        <v>47</v>
      </c>
      <c r="Z8">
        <v>3155</v>
      </c>
      <c r="AA8">
        <v>3972</v>
      </c>
      <c r="AB8">
        <v>5156</v>
      </c>
      <c r="AC8">
        <v>921</v>
      </c>
      <c r="AD8">
        <v>3107</v>
      </c>
      <c r="AE8">
        <v>61745</v>
      </c>
      <c r="AF8">
        <v>48277</v>
      </c>
      <c r="AG8">
        <v>45129.559500000003</v>
      </c>
      <c r="AH8">
        <v>16.23985815</v>
      </c>
      <c r="AI8">
        <v>64852</v>
      </c>
      <c r="AJ8">
        <v>51384</v>
      </c>
      <c r="AK8">
        <v>22.730265741204001</v>
      </c>
      <c r="AL8">
        <v>16.239858154996</v>
      </c>
      <c r="AM8">
        <v>18.490516652091699</v>
      </c>
      <c r="AN8">
        <v>14.0979699980478</v>
      </c>
      <c r="AO8">
        <v>385.59</v>
      </c>
      <c r="AP8">
        <v>8</v>
      </c>
      <c r="AQ8">
        <v>385.67</v>
      </c>
      <c r="AR8">
        <v>7306.9436960985604</v>
      </c>
      <c r="AS8">
        <v>7308.4596988364101</v>
      </c>
      <c r="AT8">
        <v>1.19071390479803</v>
      </c>
      <c r="AU8">
        <v>1.43368344008922</v>
      </c>
      <c r="AV8">
        <v>1.77069155871868</v>
      </c>
      <c r="AW8">
        <v>0.67921574413776398</v>
      </c>
      <c r="AX8">
        <v>0.93902207538485505</v>
      </c>
      <c r="AY8">
        <v>1.26816583424806</v>
      </c>
      <c r="AZ8">
        <v>4449.0698168133704</v>
      </c>
      <c r="BA8">
        <v>3645.0998740247201</v>
      </c>
      <c r="BB8">
        <v>1241.0131933258699</v>
      </c>
      <c r="BC8">
        <v>876.43173777088998</v>
      </c>
      <c r="BD8">
        <v>911.36339425665199</v>
      </c>
      <c r="BE8">
        <v>4449.8636760078098</v>
      </c>
      <c r="BF8">
        <v>3645.6198293283001</v>
      </c>
      <c r="BG8">
        <v>1241.31405753849</v>
      </c>
      <c r="BH8">
        <v>876.633243958609</v>
      </c>
      <c r="BI8">
        <v>911.51369358686804</v>
      </c>
      <c r="BJ8">
        <v>2074.38719944796</v>
      </c>
      <c r="BK8">
        <v>1339.21216194006</v>
      </c>
      <c r="BL8">
        <v>2082.04697083066</v>
      </c>
      <c r="BM8">
        <v>2922.6723626147</v>
      </c>
      <c r="BN8">
        <v>1747.7262318364101</v>
      </c>
      <c r="BO8">
        <v>2845.00868368796</v>
      </c>
      <c r="BP8">
        <v>2074.0199012150501</v>
      </c>
      <c r="BQ8">
        <v>1338.7514097262399</v>
      </c>
      <c r="BR8">
        <v>2081.5471491747298</v>
      </c>
      <c r="BS8">
        <v>2922.0713864670302</v>
      </c>
      <c r="BT8">
        <v>1747.84408203457</v>
      </c>
      <c r="BU8">
        <v>2845.2249508271002</v>
      </c>
      <c r="BV8">
        <v>6263.2260946373099</v>
      </c>
      <c r="BW8">
        <v>6261.9269059849103</v>
      </c>
    </row>
    <row r="9" spans="1:75" x14ac:dyDescent="0.25">
      <c r="A9">
        <v>8</v>
      </c>
      <c r="B9" t="s">
        <v>56</v>
      </c>
      <c r="C9">
        <v>143.87496134888499</v>
      </c>
      <c r="D9">
        <v>3393</v>
      </c>
      <c r="E9">
        <v>280</v>
      </c>
      <c r="F9">
        <v>683</v>
      </c>
      <c r="G9">
        <v>136</v>
      </c>
      <c r="H9">
        <v>4492</v>
      </c>
      <c r="I9">
        <v>537</v>
      </c>
      <c r="J9">
        <v>1388</v>
      </c>
      <c r="K9">
        <v>2002</v>
      </c>
      <c r="L9">
        <v>1</v>
      </c>
      <c r="M9">
        <v>1388</v>
      </c>
      <c r="N9">
        <v>2002</v>
      </c>
      <c r="O9">
        <v>31.100000381499999</v>
      </c>
      <c r="P9">
        <v>23.8</v>
      </c>
      <c r="Q9">
        <v>109</v>
      </c>
      <c r="R9">
        <v>9584.9249029444909</v>
      </c>
      <c r="S9">
        <v>3302035.2574777901</v>
      </c>
      <c r="T9">
        <v>4492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G9">
        <v>0</v>
      </c>
      <c r="AH9">
        <v>0</v>
      </c>
      <c r="AI9">
        <v>0</v>
      </c>
      <c r="AJ9">
        <v>0</v>
      </c>
      <c r="AK9">
        <v>31.221554868795099</v>
      </c>
      <c r="AL9">
        <v>0</v>
      </c>
      <c r="AM9">
        <v>0</v>
      </c>
      <c r="AN9" t="s">
        <v>41</v>
      </c>
      <c r="AO9" t="s">
        <v>41</v>
      </c>
      <c r="AP9" t="s">
        <v>41</v>
      </c>
      <c r="AQ9" t="s">
        <v>41</v>
      </c>
      <c r="AR9" t="s">
        <v>41</v>
      </c>
      <c r="AS9" t="s">
        <v>41</v>
      </c>
      <c r="AT9" t="s">
        <v>41</v>
      </c>
      <c r="AU9" t="s">
        <v>41</v>
      </c>
      <c r="AV9" t="s">
        <v>41</v>
      </c>
      <c r="AW9" t="s">
        <v>41</v>
      </c>
      <c r="AX9" t="s">
        <v>41</v>
      </c>
      <c r="AY9" t="s">
        <v>41</v>
      </c>
      <c r="AZ9" t="s">
        <v>41</v>
      </c>
      <c r="BA9" t="s">
        <v>41</v>
      </c>
      <c r="BB9" t="s">
        <v>41</v>
      </c>
      <c r="BC9" t="s">
        <v>41</v>
      </c>
      <c r="BD9" t="s">
        <v>41</v>
      </c>
      <c r="BE9" t="s">
        <v>41</v>
      </c>
      <c r="BF9" t="s">
        <v>41</v>
      </c>
      <c r="BG9" t="s">
        <v>41</v>
      </c>
      <c r="BH9" t="s">
        <v>41</v>
      </c>
      <c r="BI9" t="s">
        <v>41</v>
      </c>
      <c r="BJ9" t="s">
        <v>41</v>
      </c>
      <c r="BK9" t="s">
        <v>41</v>
      </c>
      <c r="BL9" t="s">
        <v>41</v>
      </c>
      <c r="BM9" t="s">
        <v>41</v>
      </c>
      <c r="BN9" t="s">
        <v>41</v>
      </c>
      <c r="BO9" t="s">
        <v>41</v>
      </c>
      <c r="BP9" t="s">
        <v>41</v>
      </c>
      <c r="BQ9" t="s">
        <v>41</v>
      </c>
      <c r="BR9" t="s">
        <v>41</v>
      </c>
      <c r="BS9" t="s">
        <v>41</v>
      </c>
      <c r="BT9" t="s">
        <v>41</v>
      </c>
      <c r="BU9" t="s">
        <v>41</v>
      </c>
      <c r="BV9" t="s">
        <v>41</v>
      </c>
      <c r="BW9" t="s">
        <v>41</v>
      </c>
    </row>
    <row r="10" spans="1:75" x14ac:dyDescent="0.25">
      <c r="A10">
        <v>9</v>
      </c>
      <c r="B10" t="s">
        <v>57</v>
      </c>
      <c r="C10">
        <v>113.78932754191</v>
      </c>
      <c r="D10">
        <v>1177</v>
      </c>
      <c r="E10">
        <v>265</v>
      </c>
      <c r="F10">
        <v>169</v>
      </c>
      <c r="G10">
        <v>37</v>
      </c>
      <c r="H10">
        <v>1649</v>
      </c>
      <c r="I10">
        <v>207</v>
      </c>
      <c r="J10">
        <v>864</v>
      </c>
      <c r="K10">
        <v>1230</v>
      </c>
      <c r="L10">
        <v>2</v>
      </c>
      <c r="M10">
        <v>864</v>
      </c>
      <c r="N10">
        <v>1230</v>
      </c>
      <c r="O10">
        <v>38</v>
      </c>
      <c r="P10">
        <v>28</v>
      </c>
      <c r="Q10">
        <v>220</v>
      </c>
      <c r="R10">
        <v>15938.7124832928</v>
      </c>
      <c r="S10">
        <v>2040256.3912391099</v>
      </c>
      <c r="T10">
        <v>1649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>
        <v>0</v>
      </c>
      <c r="AH10">
        <v>0</v>
      </c>
      <c r="AI10">
        <v>0</v>
      </c>
      <c r="AJ10">
        <v>0</v>
      </c>
      <c r="AK10">
        <v>14.491692987575201</v>
      </c>
      <c r="AL10">
        <v>0</v>
      </c>
      <c r="AM10">
        <v>0</v>
      </c>
      <c r="AN10" t="s">
        <v>41</v>
      </c>
      <c r="AO10" t="s">
        <v>41</v>
      </c>
      <c r="AP10" t="s">
        <v>41</v>
      </c>
      <c r="AQ10" t="s">
        <v>41</v>
      </c>
      <c r="AR10" t="s">
        <v>41</v>
      </c>
      <c r="AS10" t="s">
        <v>41</v>
      </c>
      <c r="AT10" t="s">
        <v>41</v>
      </c>
      <c r="AU10" t="s">
        <v>41</v>
      </c>
      <c r="AV10" t="s">
        <v>41</v>
      </c>
      <c r="AW10" t="s">
        <v>41</v>
      </c>
      <c r="AX10" t="s">
        <v>41</v>
      </c>
      <c r="AY10" t="s">
        <v>41</v>
      </c>
      <c r="AZ10" t="s">
        <v>41</v>
      </c>
      <c r="BA10" t="s">
        <v>41</v>
      </c>
      <c r="BB10" t="s">
        <v>41</v>
      </c>
      <c r="BC10" t="s">
        <v>41</v>
      </c>
      <c r="BD10" t="s">
        <v>41</v>
      </c>
      <c r="BE10" t="s">
        <v>41</v>
      </c>
      <c r="BF10" t="s">
        <v>41</v>
      </c>
      <c r="BG10" t="s">
        <v>41</v>
      </c>
      <c r="BH10" t="s">
        <v>41</v>
      </c>
      <c r="BI10" t="s">
        <v>41</v>
      </c>
      <c r="BJ10" t="s">
        <v>41</v>
      </c>
      <c r="BK10" t="s">
        <v>41</v>
      </c>
      <c r="BL10" t="s">
        <v>41</v>
      </c>
      <c r="BM10" t="s">
        <v>41</v>
      </c>
      <c r="BN10" t="s">
        <v>41</v>
      </c>
      <c r="BO10" t="s">
        <v>41</v>
      </c>
      <c r="BP10" t="s">
        <v>41</v>
      </c>
      <c r="BQ10" t="s">
        <v>41</v>
      </c>
      <c r="BR10" t="s">
        <v>41</v>
      </c>
      <c r="BS10" t="s">
        <v>41</v>
      </c>
      <c r="BT10" t="s">
        <v>41</v>
      </c>
      <c r="BU10" t="s">
        <v>41</v>
      </c>
      <c r="BV10" t="s">
        <v>41</v>
      </c>
      <c r="BW10" t="s">
        <v>41</v>
      </c>
    </row>
    <row r="11" spans="1:75" x14ac:dyDescent="0.25">
      <c r="A11">
        <v>10</v>
      </c>
      <c r="B11" t="s">
        <v>32</v>
      </c>
      <c r="C11">
        <v>3334.8527068854501</v>
      </c>
      <c r="D11">
        <v>25721</v>
      </c>
      <c r="E11">
        <v>5758</v>
      </c>
      <c r="F11">
        <v>5128</v>
      </c>
      <c r="G11">
        <v>4099</v>
      </c>
      <c r="H11">
        <v>40705</v>
      </c>
      <c r="I11">
        <v>6013</v>
      </c>
      <c r="J11">
        <v>3207</v>
      </c>
      <c r="K11">
        <v>7195</v>
      </c>
      <c r="L11">
        <v>2</v>
      </c>
      <c r="M11">
        <v>3207</v>
      </c>
      <c r="N11">
        <v>7195</v>
      </c>
      <c r="O11">
        <v>179.3</v>
      </c>
      <c r="P11">
        <v>143.69999999999999</v>
      </c>
      <c r="Q11">
        <v>222</v>
      </c>
      <c r="R11">
        <v>86735.187340863995</v>
      </c>
      <c r="S11">
        <v>75112671.442953795</v>
      </c>
      <c r="T11">
        <v>40705</v>
      </c>
      <c r="U11">
        <v>53.01</v>
      </c>
      <c r="V11" t="s">
        <v>41</v>
      </c>
      <c r="W11" s="32">
        <v>-1</v>
      </c>
      <c r="X11">
        <v>21202</v>
      </c>
      <c r="Y11">
        <v>539</v>
      </c>
      <c r="Z11">
        <v>1700</v>
      </c>
      <c r="AA11">
        <v>2319</v>
      </c>
      <c r="AB11">
        <v>3128</v>
      </c>
      <c r="AC11">
        <v>1302</v>
      </c>
      <c r="AD11">
        <v>4781</v>
      </c>
      <c r="AE11">
        <v>30196</v>
      </c>
      <c r="AF11">
        <v>21833</v>
      </c>
      <c r="AG11">
        <v>19361.9025</v>
      </c>
      <c r="AH11">
        <v>5.8059243399999998</v>
      </c>
      <c r="AI11">
        <v>34977</v>
      </c>
      <c r="AJ11">
        <v>26614</v>
      </c>
      <c r="AK11">
        <v>12.205936386922399</v>
      </c>
      <c r="AL11">
        <v>5.8059243396338296</v>
      </c>
      <c r="AM11">
        <v>7.9805623633842098</v>
      </c>
      <c r="AN11">
        <v>14.082296958785699</v>
      </c>
      <c r="AO11">
        <v>3113.73</v>
      </c>
      <c r="AP11">
        <v>7</v>
      </c>
      <c r="AQ11">
        <v>1160.7</v>
      </c>
      <c r="AR11">
        <v>59005.290061601598</v>
      </c>
      <c r="AS11">
        <v>21995.3047227926</v>
      </c>
      <c r="AT11">
        <v>0.66419057335172305</v>
      </c>
      <c r="AU11">
        <v>0.73829203844070401</v>
      </c>
      <c r="AV11">
        <v>0.81511173929486902</v>
      </c>
      <c r="AW11">
        <v>0.101523664380822</v>
      </c>
      <c r="AX11">
        <v>0.172561609319278</v>
      </c>
      <c r="AY11">
        <v>0.27792015671730003</v>
      </c>
      <c r="AZ11">
        <v>15811.526862201001</v>
      </c>
      <c r="BA11">
        <v>3274.0936878001298</v>
      </c>
      <c r="BB11">
        <v>1367.8644210245</v>
      </c>
      <c r="BC11">
        <v>1230.30331743752</v>
      </c>
      <c r="BD11">
        <v>1084.6040310972301</v>
      </c>
      <c r="BE11">
        <v>5894.8729362168096</v>
      </c>
      <c r="BF11">
        <v>1288.91947081035</v>
      </c>
      <c r="BG11">
        <v>576.31240706969697</v>
      </c>
      <c r="BH11">
        <v>658.74006311456299</v>
      </c>
      <c r="BI11">
        <v>472.29360063837902</v>
      </c>
      <c r="BJ11">
        <v>2803.56687855566</v>
      </c>
      <c r="BK11">
        <v>1473.0300975668299</v>
      </c>
      <c r="BL11">
        <v>2477.30181178883</v>
      </c>
      <c r="BM11">
        <v>3205.0838582179799</v>
      </c>
      <c r="BN11">
        <v>1915.9047852789899</v>
      </c>
      <c r="BO11">
        <v>2749.59215745659</v>
      </c>
      <c r="BP11">
        <v>7396.7245552352197</v>
      </c>
      <c r="BQ11">
        <v>5910.4209854844903</v>
      </c>
      <c r="BR11">
        <v>3957.2327803674498</v>
      </c>
      <c r="BS11">
        <v>8452.4264581196403</v>
      </c>
      <c r="BT11">
        <v>1611.9768967810701</v>
      </c>
      <c r="BU11">
        <v>2191.85346901308</v>
      </c>
      <c r="BV11">
        <v>6738.9363810129798</v>
      </c>
      <c r="BW11">
        <v>18078.080794048001</v>
      </c>
    </row>
    <row r="12" spans="1:75" x14ac:dyDescent="0.25">
      <c r="A12">
        <v>11</v>
      </c>
      <c r="B12" t="s">
        <v>58</v>
      </c>
      <c r="C12">
        <v>419.84276199965899</v>
      </c>
      <c r="D12">
        <v>3268</v>
      </c>
      <c r="E12">
        <v>461</v>
      </c>
      <c r="F12">
        <v>970</v>
      </c>
      <c r="G12">
        <v>1105</v>
      </c>
      <c r="H12">
        <v>6507</v>
      </c>
      <c r="I12">
        <v>833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112</v>
      </c>
      <c r="R12">
        <v>27481.442240967801</v>
      </c>
      <c r="S12">
        <v>18283828.384405799</v>
      </c>
      <c r="T12">
        <v>6507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G12">
        <v>0</v>
      </c>
      <c r="AH12">
        <v>0</v>
      </c>
      <c r="AI12">
        <v>0</v>
      </c>
      <c r="AJ12">
        <v>0</v>
      </c>
      <c r="AK12">
        <v>15.4986594719603</v>
      </c>
      <c r="AL12">
        <v>0</v>
      </c>
      <c r="AM12">
        <v>0</v>
      </c>
      <c r="AN12" t="s">
        <v>41</v>
      </c>
      <c r="AO12" t="s">
        <v>41</v>
      </c>
      <c r="AP12" t="s">
        <v>41</v>
      </c>
      <c r="AQ12" t="s">
        <v>41</v>
      </c>
      <c r="AR12" t="s">
        <v>41</v>
      </c>
      <c r="AS12" t="s">
        <v>41</v>
      </c>
      <c r="AT12" t="s">
        <v>41</v>
      </c>
      <c r="AU12" t="s">
        <v>41</v>
      </c>
      <c r="AV12" t="s">
        <v>41</v>
      </c>
      <c r="AW12" t="s">
        <v>41</v>
      </c>
      <c r="AX12" t="s">
        <v>41</v>
      </c>
      <c r="AY12" t="s">
        <v>41</v>
      </c>
      <c r="AZ12" t="s">
        <v>41</v>
      </c>
      <c r="BA12" t="s">
        <v>41</v>
      </c>
      <c r="BB12" t="s">
        <v>41</v>
      </c>
      <c r="BC12" t="s">
        <v>41</v>
      </c>
      <c r="BD12" t="s">
        <v>41</v>
      </c>
      <c r="BE12" t="s">
        <v>41</v>
      </c>
      <c r="BF12" t="s">
        <v>41</v>
      </c>
      <c r="BG12" t="s">
        <v>41</v>
      </c>
      <c r="BH12" t="s">
        <v>41</v>
      </c>
      <c r="BI12" t="s">
        <v>41</v>
      </c>
      <c r="BJ12" t="s">
        <v>41</v>
      </c>
      <c r="BK12" t="s">
        <v>41</v>
      </c>
      <c r="BL12" t="s">
        <v>41</v>
      </c>
      <c r="BM12" t="s">
        <v>41</v>
      </c>
      <c r="BN12" t="s">
        <v>41</v>
      </c>
      <c r="BO12" t="s">
        <v>41</v>
      </c>
      <c r="BP12" t="s">
        <v>41</v>
      </c>
      <c r="BQ12" t="s">
        <v>41</v>
      </c>
      <c r="BR12" t="s">
        <v>41</v>
      </c>
      <c r="BS12" t="s">
        <v>41</v>
      </c>
      <c r="BT12" t="s">
        <v>41</v>
      </c>
      <c r="BU12" t="s">
        <v>41</v>
      </c>
      <c r="BV12" t="s">
        <v>41</v>
      </c>
      <c r="BW12" t="s">
        <v>41</v>
      </c>
    </row>
    <row r="13" spans="1:75" x14ac:dyDescent="0.25">
      <c r="A13">
        <v>12</v>
      </c>
      <c r="B13" t="s">
        <v>33</v>
      </c>
      <c r="C13">
        <v>641.49203142067302</v>
      </c>
      <c r="D13">
        <v>9152</v>
      </c>
      <c r="E13">
        <v>3662</v>
      </c>
      <c r="F13">
        <v>1849</v>
      </c>
      <c r="G13">
        <v>1268</v>
      </c>
      <c r="H13">
        <v>15932</v>
      </c>
      <c r="I13">
        <v>1767</v>
      </c>
      <c r="J13">
        <v>2376</v>
      </c>
      <c r="K13">
        <v>3708</v>
      </c>
      <c r="L13">
        <v>1</v>
      </c>
      <c r="M13">
        <v>2376</v>
      </c>
      <c r="N13">
        <v>3708</v>
      </c>
      <c r="O13">
        <v>65.2</v>
      </c>
      <c r="P13">
        <v>54.6</v>
      </c>
      <c r="Q13">
        <v>113</v>
      </c>
      <c r="R13">
        <v>49536.9680977358</v>
      </c>
      <c r="S13">
        <v>21861270.175905999</v>
      </c>
      <c r="T13">
        <v>15932</v>
      </c>
      <c r="U13">
        <v>22.36</v>
      </c>
      <c r="V13" t="s">
        <v>41</v>
      </c>
      <c r="W13" s="32">
        <v>-1</v>
      </c>
      <c r="X13">
        <v>8458</v>
      </c>
      <c r="Y13">
        <v>499</v>
      </c>
      <c r="Z13">
        <v>909</v>
      </c>
      <c r="AA13">
        <v>688</v>
      </c>
      <c r="AB13">
        <v>763</v>
      </c>
      <c r="AC13">
        <v>281</v>
      </c>
      <c r="AD13">
        <v>949</v>
      </c>
      <c r="AE13">
        <v>11598</v>
      </c>
      <c r="AF13">
        <v>8941</v>
      </c>
      <c r="AG13">
        <v>8166.99</v>
      </c>
      <c r="AH13">
        <v>12.731241539999999</v>
      </c>
      <c r="AI13">
        <v>12547</v>
      </c>
      <c r="AJ13">
        <v>9890</v>
      </c>
      <c r="AK13">
        <v>24.835850204898598</v>
      </c>
      <c r="AL13">
        <v>12.7312415431148</v>
      </c>
      <c r="AM13">
        <v>15.4171829353783</v>
      </c>
      <c r="AN13">
        <v>23.830490597994199</v>
      </c>
      <c r="AO13">
        <v>409.84</v>
      </c>
      <c r="AP13">
        <v>1</v>
      </c>
      <c r="AQ13">
        <v>409.85</v>
      </c>
      <c r="AR13">
        <v>7766.4820260095803</v>
      </c>
      <c r="AS13">
        <v>7766.6715263518099</v>
      </c>
      <c r="AT13">
        <v>0.72746527194976796</v>
      </c>
      <c r="AU13">
        <v>0.79363292455673196</v>
      </c>
      <c r="AV13">
        <v>0.865023553371429</v>
      </c>
      <c r="AW13">
        <v>0.199897661805152</v>
      </c>
      <c r="AX13">
        <v>0.29035162925720198</v>
      </c>
      <c r="AY13">
        <v>0.394722580909729</v>
      </c>
      <c r="AZ13">
        <v>2251.30451695499</v>
      </c>
      <c r="BA13">
        <v>823.64266177222203</v>
      </c>
      <c r="BB13">
        <v>580.98678448357896</v>
      </c>
      <c r="BC13">
        <v>494.56745963306201</v>
      </c>
      <c r="BD13">
        <v>316.96161403540901</v>
      </c>
      <c r="BE13">
        <v>2251.3594482578601</v>
      </c>
      <c r="BF13">
        <v>823.66275846024098</v>
      </c>
      <c r="BG13">
        <v>581.00096042503105</v>
      </c>
      <c r="BH13">
        <v>494.57910987545699</v>
      </c>
      <c r="BI13">
        <v>316.96926763274502</v>
      </c>
      <c r="BJ13">
        <v>1129.1072984074101</v>
      </c>
      <c r="BK13">
        <v>961.68913734295097</v>
      </c>
      <c r="BL13">
        <v>1636.81600451343</v>
      </c>
      <c r="BM13">
        <v>2616.8936457419099</v>
      </c>
      <c r="BN13">
        <v>1832.18842873572</v>
      </c>
      <c r="BO13">
        <v>3396.2709272551301</v>
      </c>
      <c r="BP13">
        <v>1129.07974912601</v>
      </c>
      <c r="BQ13">
        <v>961.66070489906997</v>
      </c>
      <c r="BR13">
        <v>1636.7851843967501</v>
      </c>
      <c r="BS13">
        <v>2616.8297957078598</v>
      </c>
      <c r="BT13">
        <v>1832.1999432435</v>
      </c>
      <c r="BU13">
        <v>3396.2920575518601</v>
      </c>
      <c r="BV13">
        <v>5217.8993464455998</v>
      </c>
      <c r="BW13">
        <v>5217.7720340301703</v>
      </c>
    </row>
    <row r="14" spans="1:75" x14ac:dyDescent="0.25">
      <c r="A14">
        <v>13</v>
      </c>
      <c r="B14" t="s">
        <v>59</v>
      </c>
      <c r="C14">
        <v>417.69286584226199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114</v>
      </c>
      <c r="R14">
        <v>11694.9510662067</v>
      </c>
      <c r="S14">
        <v>8530149.7661749404</v>
      </c>
      <c r="T14">
        <v>0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41</v>
      </c>
      <c r="AO14" t="s">
        <v>41</v>
      </c>
      <c r="AP14" t="s">
        <v>41</v>
      </c>
      <c r="AQ14" t="s">
        <v>41</v>
      </c>
      <c r="AR14" t="s">
        <v>41</v>
      </c>
      <c r="AS14" t="s">
        <v>41</v>
      </c>
      <c r="AT14" t="s">
        <v>41</v>
      </c>
      <c r="AU14" t="s">
        <v>41</v>
      </c>
      <c r="AV14" t="s">
        <v>41</v>
      </c>
      <c r="AW14" t="s">
        <v>41</v>
      </c>
      <c r="AX14" t="s">
        <v>41</v>
      </c>
      <c r="AY14" t="s">
        <v>41</v>
      </c>
      <c r="AZ14" t="s">
        <v>41</v>
      </c>
      <c r="BA14" t="s">
        <v>41</v>
      </c>
      <c r="BB14" t="s">
        <v>41</v>
      </c>
      <c r="BC14" t="s">
        <v>41</v>
      </c>
      <c r="BD14" t="s">
        <v>41</v>
      </c>
      <c r="BE14" t="s">
        <v>41</v>
      </c>
      <c r="BF14" t="s">
        <v>41</v>
      </c>
      <c r="BG14" t="s">
        <v>41</v>
      </c>
      <c r="BH14" t="s">
        <v>41</v>
      </c>
      <c r="BI14" t="s">
        <v>41</v>
      </c>
      <c r="BJ14" t="s">
        <v>41</v>
      </c>
      <c r="BK14" t="s">
        <v>41</v>
      </c>
      <c r="BL14" t="s">
        <v>41</v>
      </c>
      <c r="BM14" t="s">
        <v>41</v>
      </c>
      <c r="BN14" t="s">
        <v>41</v>
      </c>
      <c r="BO14" t="s">
        <v>41</v>
      </c>
      <c r="BP14" t="s">
        <v>41</v>
      </c>
      <c r="BQ14" t="s">
        <v>41</v>
      </c>
      <c r="BR14" t="s">
        <v>41</v>
      </c>
      <c r="BS14" t="s">
        <v>41</v>
      </c>
      <c r="BT14" t="s">
        <v>41</v>
      </c>
      <c r="BU14" t="s">
        <v>41</v>
      </c>
      <c r="BV14" t="s">
        <v>41</v>
      </c>
      <c r="BW14" t="s">
        <v>41</v>
      </c>
    </row>
    <row r="15" spans="1:75" x14ac:dyDescent="0.25">
      <c r="A15">
        <v>14</v>
      </c>
      <c r="B15" t="s">
        <v>60</v>
      </c>
      <c r="C15">
        <v>269.22315124434601</v>
      </c>
      <c r="D15">
        <v>984</v>
      </c>
      <c r="E15">
        <v>203</v>
      </c>
      <c r="F15">
        <v>302</v>
      </c>
      <c r="G15">
        <v>275</v>
      </c>
      <c r="H15">
        <v>1764</v>
      </c>
      <c r="I15">
        <v>408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115</v>
      </c>
      <c r="R15">
        <v>8709.9176768854104</v>
      </c>
      <c r="S15">
        <v>4854491.8976685796</v>
      </c>
      <c r="T15">
        <v>1764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G15">
        <v>0</v>
      </c>
      <c r="AH15">
        <v>0</v>
      </c>
      <c r="AI15">
        <v>0</v>
      </c>
      <c r="AJ15">
        <v>0</v>
      </c>
      <c r="AK15">
        <v>6.5521853965634502</v>
      </c>
      <c r="AL15">
        <v>0</v>
      </c>
      <c r="AM15">
        <v>0</v>
      </c>
      <c r="AN15" t="s">
        <v>41</v>
      </c>
      <c r="AO15" t="s">
        <v>41</v>
      </c>
      <c r="AP15" t="s">
        <v>41</v>
      </c>
      <c r="AQ15" t="s">
        <v>41</v>
      </c>
      <c r="AR15" t="s">
        <v>41</v>
      </c>
      <c r="AS15" t="s">
        <v>41</v>
      </c>
      <c r="AT15" t="s">
        <v>41</v>
      </c>
      <c r="AU15" t="s">
        <v>41</v>
      </c>
      <c r="AV15" t="s">
        <v>41</v>
      </c>
      <c r="AW15" t="s">
        <v>41</v>
      </c>
      <c r="AX15" t="s">
        <v>41</v>
      </c>
      <c r="AY15" t="s">
        <v>41</v>
      </c>
      <c r="AZ15" t="s">
        <v>41</v>
      </c>
      <c r="BA15" t="s">
        <v>41</v>
      </c>
      <c r="BB15" t="s">
        <v>41</v>
      </c>
      <c r="BC15" t="s">
        <v>41</v>
      </c>
      <c r="BD15" t="s">
        <v>41</v>
      </c>
      <c r="BE15" t="s">
        <v>41</v>
      </c>
      <c r="BF15" t="s">
        <v>41</v>
      </c>
      <c r="BG15" t="s">
        <v>41</v>
      </c>
      <c r="BH15" t="s">
        <v>41</v>
      </c>
      <c r="BI15" t="s">
        <v>41</v>
      </c>
      <c r="BJ15" t="s">
        <v>41</v>
      </c>
      <c r="BK15" t="s">
        <v>41</v>
      </c>
      <c r="BL15" t="s">
        <v>41</v>
      </c>
      <c r="BM15" t="s">
        <v>41</v>
      </c>
      <c r="BN15" t="s">
        <v>41</v>
      </c>
      <c r="BO15" t="s">
        <v>41</v>
      </c>
      <c r="BP15" t="s">
        <v>41</v>
      </c>
      <c r="BQ15" t="s">
        <v>41</v>
      </c>
      <c r="BR15" t="s">
        <v>41</v>
      </c>
      <c r="BS15" t="s">
        <v>41</v>
      </c>
      <c r="BT15" t="s">
        <v>41</v>
      </c>
      <c r="BU15" t="s">
        <v>41</v>
      </c>
      <c r="BV15" t="s">
        <v>41</v>
      </c>
      <c r="BW15" t="s">
        <v>41</v>
      </c>
    </row>
    <row r="16" spans="1:75" x14ac:dyDescent="0.25">
      <c r="A16">
        <v>15</v>
      </c>
      <c r="B16" t="s">
        <v>34</v>
      </c>
      <c r="C16">
        <v>3865.6556098022302</v>
      </c>
      <c r="D16">
        <v>26832</v>
      </c>
      <c r="E16">
        <v>3843</v>
      </c>
      <c r="F16">
        <v>4339</v>
      </c>
      <c r="G16">
        <v>8144</v>
      </c>
      <c r="H16">
        <v>43776</v>
      </c>
      <c r="I16">
        <v>5336</v>
      </c>
      <c r="J16">
        <v>8669</v>
      </c>
      <c r="K16">
        <v>17511</v>
      </c>
      <c r="L16">
        <v>3</v>
      </c>
      <c r="M16">
        <v>8669</v>
      </c>
      <c r="N16">
        <v>17511</v>
      </c>
      <c r="O16">
        <v>47.1</v>
      </c>
      <c r="P16">
        <v>27.7</v>
      </c>
      <c r="Q16">
        <v>348</v>
      </c>
      <c r="R16">
        <v>48915.0098120322</v>
      </c>
      <c r="S16">
        <v>69706754.684799299</v>
      </c>
      <c r="T16">
        <v>43776</v>
      </c>
      <c r="U16">
        <v>62.816000000000003</v>
      </c>
      <c r="V16">
        <v>47.945</v>
      </c>
      <c r="W16" s="32">
        <v>-0.23699999999999999</v>
      </c>
      <c r="X16">
        <v>24589</v>
      </c>
      <c r="Y16">
        <v>158</v>
      </c>
      <c r="Z16">
        <v>7206</v>
      </c>
      <c r="AA16">
        <v>2532</v>
      </c>
      <c r="AB16">
        <v>6432</v>
      </c>
      <c r="AC16">
        <v>1352</v>
      </c>
      <c r="AD16">
        <v>9729</v>
      </c>
      <c r="AE16">
        <v>41340</v>
      </c>
      <c r="AF16">
        <v>23164</v>
      </c>
      <c r="AG16">
        <v>22943.544000000002</v>
      </c>
      <c r="AH16">
        <v>5.9352271170000002</v>
      </c>
      <c r="AI16">
        <v>51069</v>
      </c>
      <c r="AJ16">
        <v>32893</v>
      </c>
      <c r="AK16">
        <v>11.3243404014046</v>
      </c>
      <c r="AL16">
        <v>5.9352271169271997</v>
      </c>
      <c r="AM16">
        <v>8.5090352892773105</v>
      </c>
      <c r="AN16">
        <v>54.583302837896703</v>
      </c>
      <c r="AO16">
        <v>1055.92</v>
      </c>
      <c r="AP16">
        <v>20</v>
      </c>
      <c r="AQ16">
        <v>747.15</v>
      </c>
      <c r="AR16">
        <v>20009.720136892502</v>
      </c>
      <c r="AS16">
        <v>14158.5180698151</v>
      </c>
      <c r="AT16">
        <v>0.54097464382648397</v>
      </c>
      <c r="AU16">
        <v>0.69576874226331697</v>
      </c>
      <c r="AV16">
        <v>0.87517938315868304</v>
      </c>
      <c r="AW16">
        <v>0.12867489177733599</v>
      </c>
      <c r="AX16">
        <v>0.24278368307277501</v>
      </c>
      <c r="AY16">
        <v>0.411890124343335</v>
      </c>
      <c r="AZ16">
        <v>5377.9456618615304</v>
      </c>
      <c r="BA16">
        <v>2165.0816516017198</v>
      </c>
      <c r="BB16">
        <v>1114.04419648053</v>
      </c>
      <c r="BC16">
        <v>988.03978447887596</v>
      </c>
      <c r="BD16">
        <v>758.31686829598596</v>
      </c>
      <c r="BE16">
        <v>3977.4827172638802</v>
      </c>
      <c r="BF16">
        <v>1711.3463333888601</v>
      </c>
      <c r="BG16">
        <v>878.57516151162599</v>
      </c>
      <c r="BH16">
        <v>753.87107599019498</v>
      </c>
      <c r="BI16">
        <v>591.44876019730702</v>
      </c>
      <c r="BJ16">
        <v>1860.4807524559401</v>
      </c>
      <c r="BK16">
        <v>1449.6414016194899</v>
      </c>
      <c r="BL16">
        <v>2154.33516114449</v>
      </c>
      <c r="BM16">
        <v>2078.8098044711101</v>
      </c>
      <c r="BN16">
        <v>1649.0149550461499</v>
      </c>
      <c r="BO16">
        <v>2456.4392399828698</v>
      </c>
      <c r="BP16">
        <v>2518.6333809443599</v>
      </c>
      <c r="BQ16">
        <v>2442.6571383059099</v>
      </c>
      <c r="BR16">
        <v>2772.2938734774002</v>
      </c>
      <c r="BS16">
        <v>2940.39380734113</v>
      </c>
      <c r="BT16">
        <v>1624.6583166415301</v>
      </c>
      <c r="BU16">
        <v>2411.7423231391299</v>
      </c>
      <c r="BV16">
        <v>4434.5049404121601</v>
      </c>
      <c r="BW16">
        <v>6267.1250173057697</v>
      </c>
    </row>
    <row r="17" spans="1:75" x14ac:dyDescent="0.25">
      <c r="A17">
        <v>16</v>
      </c>
      <c r="B17" t="s">
        <v>35</v>
      </c>
      <c r="C17">
        <v>3534.0988501863799</v>
      </c>
      <c r="D17">
        <v>57533</v>
      </c>
      <c r="E17">
        <v>4751</v>
      </c>
      <c r="F17">
        <v>11773</v>
      </c>
      <c r="G17">
        <v>1700</v>
      </c>
      <c r="H17">
        <v>75755</v>
      </c>
      <c r="I17">
        <v>9787</v>
      </c>
      <c r="J17">
        <v>20216</v>
      </c>
      <c r="K17">
        <v>48941</v>
      </c>
      <c r="L17">
        <v>8</v>
      </c>
      <c r="M17">
        <v>20216</v>
      </c>
      <c r="N17">
        <v>48941</v>
      </c>
      <c r="O17">
        <v>174.79999999999899</v>
      </c>
      <c r="P17">
        <v>79.899999904629993</v>
      </c>
      <c r="Q17">
        <v>936</v>
      </c>
      <c r="R17">
        <v>130152.146767827</v>
      </c>
      <c r="S17">
        <v>84358071.588284701</v>
      </c>
      <c r="T17">
        <v>75755</v>
      </c>
      <c r="U17">
        <v>133.90899999999999</v>
      </c>
      <c r="V17">
        <v>97.822000000000003</v>
      </c>
      <c r="W17" s="32">
        <v>-0.26900000000000002</v>
      </c>
      <c r="X17">
        <v>34909</v>
      </c>
      <c r="Y17">
        <v>12367</v>
      </c>
      <c r="Z17">
        <v>3084</v>
      </c>
      <c r="AA17">
        <v>4937</v>
      </c>
      <c r="AB17">
        <v>6100</v>
      </c>
      <c r="AC17">
        <v>1107</v>
      </c>
      <c r="AD17">
        <v>17237</v>
      </c>
      <c r="AE17">
        <v>62504</v>
      </c>
      <c r="AF17">
        <v>56327</v>
      </c>
      <c r="AG17">
        <v>48910.26225</v>
      </c>
      <c r="AH17">
        <v>13.839528639999999</v>
      </c>
      <c r="AI17">
        <v>79741</v>
      </c>
      <c r="AJ17">
        <v>73564</v>
      </c>
      <c r="AK17">
        <v>21.435450226867498</v>
      </c>
      <c r="AL17">
        <v>13.8395286389401</v>
      </c>
      <c r="AM17">
        <v>20.8154902051254</v>
      </c>
      <c r="AN17" t="s">
        <v>41</v>
      </c>
      <c r="AO17" t="s">
        <v>41</v>
      </c>
      <c r="AP17" t="s">
        <v>41</v>
      </c>
      <c r="AQ17" t="s">
        <v>41</v>
      </c>
      <c r="AR17" t="s">
        <v>41</v>
      </c>
      <c r="AS17" t="s">
        <v>41</v>
      </c>
      <c r="AT17" t="s">
        <v>41</v>
      </c>
      <c r="AU17" t="s">
        <v>41</v>
      </c>
      <c r="AV17" t="s">
        <v>41</v>
      </c>
      <c r="AW17" t="s">
        <v>41</v>
      </c>
      <c r="AX17" t="s">
        <v>41</v>
      </c>
      <c r="AY17" t="s">
        <v>41</v>
      </c>
      <c r="AZ17" t="s">
        <v>41</v>
      </c>
      <c r="BA17" t="s">
        <v>41</v>
      </c>
      <c r="BB17" t="s">
        <v>41</v>
      </c>
      <c r="BC17" t="s">
        <v>41</v>
      </c>
      <c r="BD17" t="s">
        <v>41</v>
      </c>
      <c r="BE17" t="s">
        <v>41</v>
      </c>
      <c r="BF17" t="s">
        <v>41</v>
      </c>
      <c r="BG17" t="s">
        <v>41</v>
      </c>
      <c r="BH17" t="s">
        <v>41</v>
      </c>
      <c r="BI17" t="s">
        <v>41</v>
      </c>
      <c r="BJ17" t="s">
        <v>41</v>
      </c>
      <c r="BK17" t="s">
        <v>41</v>
      </c>
      <c r="BL17" t="s">
        <v>41</v>
      </c>
      <c r="BM17" t="s">
        <v>41</v>
      </c>
      <c r="BN17" t="s">
        <v>41</v>
      </c>
      <c r="BO17" t="s">
        <v>41</v>
      </c>
      <c r="BP17" t="s">
        <v>41</v>
      </c>
      <c r="BQ17" t="s">
        <v>41</v>
      </c>
      <c r="BR17" t="s">
        <v>41</v>
      </c>
      <c r="BS17" t="s">
        <v>41</v>
      </c>
      <c r="BT17" t="s">
        <v>41</v>
      </c>
      <c r="BU17" t="s">
        <v>41</v>
      </c>
      <c r="BV17" t="s">
        <v>41</v>
      </c>
      <c r="BW17" t="s">
        <v>41</v>
      </c>
    </row>
    <row r="18" spans="1:75" x14ac:dyDescent="0.25">
      <c r="A18">
        <v>17</v>
      </c>
      <c r="B18" t="s">
        <v>61</v>
      </c>
      <c r="C18">
        <v>194.972881445594</v>
      </c>
      <c r="D18">
        <v>4620</v>
      </c>
      <c r="E18">
        <v>196</v>
      </c>
      <c r="F18">
        <v>429</v>
      </c>
      <c r="G18">
        <v>33</v>
      </c>
      <c r="H18">
        <v>5277</v>
      </c>
      <c r="I18">
        <v>319</v>
      </c>
      <c r="J18">
        <v>0</v>
      </c>
      <c r="K18">
        <v>4650</v>
      </c>
      <c r="L18">
        <v>1</v>
      </c>
      <c r="M18">
        <v>0</v>
      </c>
      <c r="N18">
        <v>4650</v>
      </c>
      <c r="O18">
        <v>0</v>
      </c>
      <c r="P18">
        <v>-65.2</v>
      </c>
      <c r="Q18">
        <v>118</v>
      </c>
      <c r="R18">
        <v>10922.8074952693</v>
      </c>
      <c r="S18">
        <v>3528344.5804068898</v>
      </c>
      <c r="T18">
        <v>5277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G18">
        <v>0</v>
      </c>
      <c r="AH18">
        <v>0</v>
      </c>
      <c r="AI18">
        <v>0</v>
      </c>
      <c r="AJ18">
        <v>0</v>
      </c>
      <c r="AK18">
        <v>27.065302419877799</v>
      </c>
      <c r="AL18">
        <v>0</v>
      </c>
      <c r="AM18">
        <v>0</v>
      </c>
      <c r="AN18" t="s">
        <v>41</v>
      </c>
      <c r="AO18" t="s">
        <v>41</v>
      </c>
      <c r="AP18" t="s">
        <v>41</v>
      </c>
      <c r="AQ18" t="s">
        <v>41</v>
      </c>
      <c r="AR18" t="s">
        <v>41</v>
      </c>
      <c r="AS18" t="s">
        <v>41</v>
      </c>
      <c r="AT18" t="s">
        <v>41</v>
      </c>
      <c r="AU18" t="s">
        <v>41</v>
      </c>
      <c r="AV18" t="s">
        <v>41</v>
      </c>
      <c r="AW18" t="s">
        <v>41</v>
      </c>
      <c r="AX18" t="s">
        <v>41</v>
      </c>
      <c r="AY18" t="s">
        <v>41</v>
      </c>
      <c r="AZ18" t="s">
        <v>41</v>
      </c>
      <c r="BA18" t="s">
        <v>41</v>
      </c>
      <c r="BB18" t="s">
        <v>41</v>
      </c>
      <c r="BC18" t="s">
        <v>41</v>
      </c>
      <c r="BD18" t="s">
        <v>41</v>
      </c>
      <c r="BE18" t="s">
        <v>41</v>
      </c>
      <c r="BF18" t="s">
        <v>41</v>
      </c>
      <c r="BG18" t="s">
        <v>41</v>
      </c>
      <c r="BH18" t="s">
        <v>41</v>
      </c>
      <c r="BI18" t="s">
        <v>41</v>
      </c>
      <c r="BJ18" t="s">
        <v>41</v>
      </c>
      <c r="BK18" t="s">
        <v>41</v>
      </c>
      <c r="BL18" t="s">
        <v>41</v>
      </c>
      <c r="BM18" t="s">
        <v>41</v>
      </c>
      <c r="BN18" t="s">
        <v>41</v>
      </c>
      <c r="BO18" t="s">
        <v>41</v>
      </c>
      <c r="BP18" t="s">
        <v>41</v>
      </c>
      <c r="BQ18" t="s">
        <v>41</v>
      </c>
      <c r="BR18" t="s">
        <v>41</v>
      </c>
      <c r="BS18" t="s">
        <v>41</v>
      </c>
      <c r="BT18" t="s">
        <v>41</v>
      </c>
      <c r="BU18" t="s">
        <v>41</v>
      </c>
      <c r="BV18" t="s">
        <v>41</v>
      </c>
      <c r="BW18" t="s">
        <v>41</v>
      </c>
    </row>
    <row r="19" spans="1:75" x14ac:dyDescent="0.25">
      <c r="A19">
        <v>18</v>
      </c>
      <c r="B19" t="s">
        <v>62</v>
      </c>
      <c r="C19">
        <v>331.93027460467101</v>
      </c>
      <c r="D19">
        <v>2358</v>
      </c>
      <c r="E19">
        <v>490</v>
      </c>
      <c r="F19">
        <v>1236</v>
      </c>
      <c r="G19">
        <v>101</v>
      </c>
      <c r="H19">
        <v>4186</v>
      </c>
      <c r="I19">
        <v>1324</v>
      </c>
      <c r="J19">
        <v>802</v>
      </c>
      <c r="K19">
        <v>1956</v>
      </c>
      <c r="L19">
        <v>1</v>
      </c>
      <c r="M19">
        <v>802</v>
      </c>
      <c r="N19">
        <v>1956</v>
      </c>
      <c r="O19">
        <v>86.2</v>
      </c>
      <c r="P19">
        <v>71.900000000000006</v>
      </c>
      <c r="Q19">
        <v>119</v>
      </c>
      <c r="R19">
        <v>14132.114987584901</v>
      </c>
      <c r="S19">
        <v>5935522.7823831802</v>
      </c>
      <c r="T19">
        <v>4186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G19">
        <v>0</v>
      </c>
      <c r="AH19">
        <v>0</v>
      </c>
      <c r="AI19">
        <v>0</v>
      </c>
      <c r="AJ19">
        <v>0</v>
      </c>
      <c r="AK19">
        <v>12.6110822671584</v>
      </c>
      <c r="AL19">
        <v>0</v>
      </c>
      <c r="AM19">
        <v>0</v>
      </c>
      <c r="AN19" t="s">
        <v>41</v>
      </c>
      <c r="AO19" t="s">
        <v>41</v>
      </c>
      <c r="AP19" t="s">
        <v>41</v>
      </c>
      <c r="AQ19" t="s">
        <v>41</v>
      </c>
      <c r="AR19" t="s">
        <v>41</v>
      </c>
      <c r="AS19" t="s">
        <v>41</v>
      </c>
      <c r="AT19" t="s">
        <v>41</v>
      </c>
      <c r="AU19" t="s">
        <v>41</v>
      </c>
      <c r="AV19" t="s">
        <v>41</v>
      </c>
      <c r="AW19" t="s">
        <v>41</v>
      </c>
      <c r="AX19" t="s">
        <v>41</v>
      </c>
      <c r="AY19" t="s">
        <v>41</v>
      </c>
      <c r="AZ19" t="s">
        <v>41</v>
      </c>
      <c r="BA19" t="s">
        <v>41</v>
      </c>
      <c r="BB19" t="s">
        <v>41</v>
      </c>
      <c r="BC19" t="s">
        <v>41</v>
      </c>
      <c r="BD19" t="s">
        <v>41</v>
      </c>
      <c r="BE19" t="s">
        <v>41</v>
      </c>
      <c r="BF19" t="s">
        <v>41</v>
      </c>
      <c r="BG19" t="s">
        <v>41</v>
      </c>
      <c r="BH19" t="s">
        <v>41</v>
      </c>
      <c r="BI19" t="s">
        <v>41</v>
      </c>
      <c r="BJ19" t="s">
        <v>41</v>
      </c>
      <c r="BK19" t="s">
        <v>41</v>
      </c>
      <c r="BL19" t="s">
        <v>41</v>
      </c>
      <c r="BM19" t="s">
        <v>41</v>
      </c>
      <c r="BN19" t="s">
        <v>41</v>
      </c>
      <c r="BO19" t="s">
        <v>41</v>
      </c>
      <c r="BP19" t="s">
        <v>41</v>
      </c>
      <c r="BQ19" t="s">
        <v>41</v>
      </c>
      <c r="BR19" t="s">
        <v>41</v>
      </c>
      <c r="BS19" t="s">
        <v>41</v>
      </c>
      <c r="BT19" t="s">
        <v>41</v>
      </c>
      <c r="BU19" t="s">
        <v>41</v>
      </c>
      <c r="BV19" t="s">
        <v>41</v>
      </c>
      <c r="BW19" t="s">
        <v>41</v>
      </c>
    </row>
    <row r="20" spans="1:75" x14ac:dyDescent="0.25">
      <c r="A20">
        <v>19</v>
      </c>
      <c r="B20" t="s">
        <v>63</v>
      </c>
      <c r="C20">
        <v>688.52720486422902</v>
      </c>
      <c r="D20">
        <v>2337</v>
      </c>
      <c r="E20">
        <v>324</v>
      </c>
      <c r="F20">
        <v>713</v>
      </c>
      <c r="G20">
        <v>1050</v>
      </c>
      <c r="H20">
        <v>5127</v>
      </c>
      <c r="I20">
        <v>609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120</v>
      </c>
      <c r="R20">
        <v>25709.829991211001</v>
      </c>
      <c r="S20">
        <v>14368080.8481372</v>
      </c>
      <c r="T20">
        <v>5127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t="s">
        <v>41</v>
      </c>
      <c r="AA20" t="s">
        <v>41</v>
      </c>
      <c r="AB20" t="s">
        <v>41</v>
      </c>
      <c r="AC20" t="s">
        <v>41</v>
      </c>
      <c r="AD20" t="s">
        <v>41</v>
      </c>
      <c r="AE20" t="s">
        <v>41</v>
      </c>
      <c r="AF20" t="s">
        <v>41</v>
      </c>
      <c r="AG20">
        <v>0</v>
      </c>
      <c r="AH20">
        <v>0</v>
      </c>
      <c r="AI20">
        <v>0</v>
      </c>
      <c r="AJ20">
        <v>0</v>
      </c>
      <c r="AK20">
        <v>7.4463288651186899</v>
      </c>
      <c r="AL20">
        <v>0</v>
      </c>
      <c r="AM20">
        <v>0</v>
      </c>
      <c r="AN20" t="s">
        <v>41</v>
      </c>
      <c r="AO20" t="s">
        <v>41</v>
      </c>
      <c r="AP20" t="s">
        <v>41</v>
      </c>
      <c r="AQ20" t="s">
        <v>41</v>
      </c>
      <c r="AR20" t="s">
        <v>41</v>
      </c>
      <c r="AS20" t="s">
        <v>41</v>
      </c>
      <c r="AT20" t="s">
        <v>41</v>
      </c>
      <c r="AU20" t="s">
        <v>41</v>
      </c>
      <c r="AV20" t="s">
        <v>41</v>
      </c>
      <c r="AW20" t="s">
        <v>41</v>
      </c>
      <c r="AX20" t="s">
        <v>41</v>
      </c>
      <c r="AY20" t="s">
        <v>41</v>
      </c>
      <c r="AZ20" t="s">
        <v>41</v>
      </c>
      <c r="BA20" t="s">
        <v>41</v>
      </c>
      <c r="BB20" t="s">
        <v>41</v>
      </c>
      <c r="BC20" t="s">
        <v>41</v>
      </c>
      <c r="BD20" t="s">
        <v>41</v>
      </c>
      <c r="BE20" t="s">
        <v>41</v>
      </c>
      <c r="BF20" t="s">
        <v>41</v>
      </c>
      <c r="BG20" t="s">
        <v>41</v>
      </c>
      <c r="BH20" t="s">
        <v>41</v>
      </c>
      <c r="BI20" t="s">
        <v>41</v>
      </c>
      <c r="BJ20" t="s">
        <v>41</v>
      </c>
      <c r="BK20" t="s">
        <v>41</v>
      </c>
      <c r="BL20" t="s">
        <v>41</v>
      </c>
      <c r="BM20" t="s">
        <v>41</v>
      </c>
      <c r="BN20" t="s">
        <v>41</v>
      </c>
      <c r="BO20" t="s">
        <v>41</v>
      </c>
      <c r="BP20" t="s">
        <v>41</v>
      </c>
      <c r="BQ20" t="s">
        <v>41</v>
      </c>
      <c r="BR20" t="s">
        <v>41</v>
      </c>
      <c r="BS20" t="s">
        <v>41</v>
      </c>
      <c r="BT20" t="s">
        <v>41</v>
      </c>
      <c r="BU20" t="s">
        <v>41</v>
      </c>
      <c r="BV20" t="s">
        <v>41</v>
      </c>
      <c r="BW20" t="s">
        <v>41</v>
      </c>
    </row>
    <row r="21" spans="1:75" x14ac:dyDescent="0.25">
      <c r="A21">
        <v>20</v>
      </c>
      <c r="B21" t="s">
        <v>64</v>
      </c>
      <c r="C21">
        <v>1099.5059152783599</v>
      </c>
      <c r="D21">
        <v>6047</v>
      </c>
      <c r="E21">
        <v>1809</v>
      </c>
      <c r="F21">
        <v>2514</v>
      </c>
      <c r="G21">
        <v>994</v>
      </c>
      <c r="H21">
        <v>11361</v>
      </c>
      <c r="I21">
        <v>1251</v>
      </c>
      <c r="J21">
        <v>4236</v>
      </c>
      <c r="K21">
        <v>7352</v>
      </c>
      <c r="L21">
        <v>3</v>
      </c>
      <c r="M21">
        <v>4236</v>
      </c>
      <c r="N21">
        <v>7352</v>
      </c>
      <c r="O21">
        <v>45</v>
      </c>
      <c r="P21">
        <v>30.1</v>
      </c>
      <c r="Q21">
        <v>363</v>
      </c>
      <c r="R21">
        <v>94697.597564455893</v>
      </c>
      <c r="S21">
        <v>29078372.469158199</v>
      </c>
      <c r="T21">
        <v>11361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41</v>
      </c>
      <c r="AE21" t="s">
        <v>41</v>
      </c>
      <c r="AF21" t="s">
        <v>41</v>
      </c>
      <c r="AG21">
        <v>0</v>
      </c>
      <c r="AH21">
        <v>0</v>
      </c>
      <c r="AI21">
        <v>0</v>
      </c>
      <c r="AJ21">
        <v>0</v>
      </c>
      <c r="AK21">
        <v>10.332822990882899</v>
      </c>
      <c r="AL21">
        <v>0</v>
      </c>
      <c r="AM21">
        <v>0</v>
      </c>
      <c r="AN21" t="s">
        <v>41</v>
      </c>
      <c r="AO21" t="s">
        <v>41</v>
      </c>
      <c r="AP21" t="s">
        <v>41</v>
      </c>
      <c r="AQ21" t="s">
        <v>41</v>
      </c>
      <c r="AR21" t="s">
        <v>41</v>
      </c>
      <c r="AS21" t="s">
        <v>41</v>
      </c>
      <c r="AT21" t="s">
        <v>41</v>
      </c>
      <c r="AU21" t="s">
        <v>41</v>
      </c>
      <c r="AV21" t="s">
        <v>41</v>
      </c>
      <c r="AW21" t="s">
        <v>41</v>
      </c>
      <c r="AX21" t="s">
        <v>41</v>
      </c>
      <c r="AY21" t="s">
        <v>41</v>
      </c>
      <c r="AZ21" t="s">
        <v>41</v>
      </c>
      <c r="BA21" t="s">
        <v>41</v>
      </c>
      <c r="BB21" t="s">
        <v>41</v>
      </c>
      <c r="BC21" t="s">
        <v>41</v>
      </c>
      <c r="BD21" t="s">
        <v>41</v>
      </c>
      <c r="BE21" t="s">
        <v>41</v>
      </c>
      <c r="BF21" t="s">
        <v>41</v>
      </c>
      <c r="BG21" t="s">
        <v>41</v>
      </c>
      <c r="BH21" t="s">
        <v>41</v>
      </c>
      <c r="BI21" t="s">
        <v>41</v>
      </c>
      <c r="BJ21" t="s">
        <v>41</v>
      </c>
      <c r="BK21" t="s">
        <v>41</v>
      </c>
      <c r="BL21" t="s">
        <v>41</v>
      </c>
      <c r="BM21" t="s">
        <v>41</v>
      </c>
      <c r="BN21" t="s">
        <v>41</v>
      </c>
      <c r="BO21" t="s">
        <v>41</v>
      </c>
      <c r="BP21" t="s">
        <v>41</v>
      </c>
      <c r="BQ21" t="s">
        <v>41</v>
      </c>
      <c r="BR21" t="s">
        <v>41</v>
      </c>
      <c r="BS21" t="s">
        <v>41</v>
      </c>
      <c r="BT21" t="s">
        <v>41</v>
      </c>
      <c r="BU21" t="s">
        <v>41</v>
      </c>
      <c r="BV21" t="s">
        <v>41</v>
      </c>
      <c r="BW21" t="s">
        <v>41</v>
      </c>
    </row>
    <row r="22" spans="1:75" x14ac:dyDescent="0.25">
      <c r="A22">
        <v>21</v>
      </c>
      <c r="B22" t="s">
        <v>36</v>
      </c>
      <c r="C22">
        <v>629.73904350898897</v>
      </c>
      <c r="D22">
        <v>4515</v>
      </c>
      <c r="E22">
        <v>503</v>
      </c>
      <c r="F22">
        <v>1015</v>
      </c>
      <c r="G22">
        <v>1897</v>
      </c>
      <c r="H22">
        <v>7931</v>
      </c>
      <c r="I22">
        <v>961</v>
      </c>
      <c r="J22">
        <v>0</v>
      </c>
      <c r="K22">
        <v>16750</v>
      </c>
      <c r="L22">
        <v>1</v>
      </c>
      <c r="M22">
        <v>0</v>
      </c>
      <c r="N22">
        <v>16750</v>
      </c>
      <c r="O22">
        <v>0</v>
      </c>
      <c r="P22">
        <v>-261.8</v>
      </c>
      <c r="Q22">
        <v>122</v>
      </c>
      <c r="R22">
        <v>22246.684242900399</v>
      </c>
      <c r="S22">
        <v>18157877.9524449</v>
      </c>
      <c r="T22">
        <v>7931</v>
      </c>
      <c r="U22">
        <v>12.685</v>
      </c>
      <c r="V22">
        <v>45.89</v>
      </c>
      <c r="W22" s="32">
        <v>2.6179999999999999</v>
      </c>
      <c r="X22">
        <v>3916</v>
      </c>
      <c r="Y22">
        <v>1196</v>
      </c>
      <c r="Z22">
        <v>455</v>
      </c>
      <c r="AA22">
        <v>433</v>
      </c>
      <c r="AB22">
        <v>1040</v>
      </c>
      <c r="AC22">
        <v>381</v>
      </c>
      <c r="AD22">
        <v>5331</v>
      </c>
      <c r="AE22">
        <v>7421</v>
      </c>
      <c r="AF22">
        <v>5834</v>
      </c>
      <c r="AG22">
        <v>4633.19625</v>
      </c>
      <c r="AH22">
        <v>7.3573272889999997</v>
      </c>
      <c r="AI22">
        <v>12752</v>
      </c>
      <c r="AJ22">
        <v>11165</v>
      </c>
      <c r="AK22">
        <v>12.594105577140899</v>
      </c>
      <c r="AL22">
        <v>7.35732728938516</v>
      </c>
      <c r="AM22">
        <v>17.729566103742101</v>
      </c>
      <c r="AN22">
        <v>1.6761216653302899</v>
      </c>
      <c r="AO22">
        <v>0.69</v>
      </c>
      <c r="AP22">
        <v>2</v>
      </c>
      <c r="AQ22">
        <v>0.71</v>
      </c>
      <c r="AR22">
        <v>13.075523613963</v>
      </c>
      <c r="AS22">
        <v>13.454524298425699</v>
      </c>
      <c r="AT22">
        <v>0.73625195026397705</v>
      </c>
      <c r="AU22">
        <v>0.90669018030166604</v>
      </c>
      <c r="AV22">
        <v>1.1024689674377399</v>
      </c>
      <c r="AW22">
        <v>0.18310436978936101</v>
      </c>
      <c r="AX22">
        <v>0.35520058870315502</v>
      </c>
      <c r="AY22">
        <v>0.586187303066253</v>
      </c>
      <c r="AZ22">
        <v>4.4091577688622401</v>
      </c>
      <c r="BA22">
        <v>1.9085130274155699</v>
      </c>
      <c r="BB22">
        <v>1.88942789714141</v>
      </c>
      <c r="BC22">
        <v>1.18356528206088</v>
      </c>
      <c r="BD22">
        <v>0.74159373168674603</v>
      </c>
      <c r="BE22">
        <v>4.5346708905213999</v>
      </c>
      <c r="BF22">
        <v>1.95768344490975</v>
      </c>
      <c r="BG22">
        <v>1.9381066104606499</v>
      </c>
      <c r="BH22">
        <v>1.21402558749128</v>
      </c>
      <c r="BI22">
        <v>0.76069379339427701</v>
      </c>
      <c r="BJ22">
        <v>2.0615885678692498</v>
      </c>
      <c r="BK22">
        <v>3.6600657839989998</v>
      </c>
      <c r="BL22">
        <v>5.9830573729504399</v>
      </c>
      <c r="BM22">
        <v>2.37515297129708</v>
      </c>
      <c r="BN22">
        <v>4.14370987169724</v>
      </c>
      <c r="BO22">
        <v>6.8400313196693103</v>
      </c>
      <c r="BP22">
        <v>2.00428242781972</v>
      </c>
      <c r="BQ22">
        <v>3.54132196894294</v>
      </c>
      <c r="BR22">
        <v>5.8261061802802496</v>
      </c>
      <c r="BS22">
        <v>2.3079554560259101</v>
      </c>
      <c r="BT22">
        <v>4.1573267411151802</v>
      </c>
      <c r="BU22">
        <v>6.8650196645277104</v>
      </c>
      <c r="BV22">
        <v>5.2237023754634597</v>
      </c>
      <c r="BW22">
        <v>5.07655582967576</v>
      </c>
    </row>
    <row r="23" spans="1:75" x14ac:dyDescent="0.25">
      <c r="A23">
        <v>22</v>
      </c>
      <c r="B23" t="s">
        <v>65</v>
      </c>
      <c r="C23">
        <v>1918.0114797204401</v>
      </c>
      <c r="D23">
        <v>13556</v>
      </c>
      <c r="E23">
        <v>2258</v>
      </c>
      <c r="F23">
        <v>3607</v>
      </c>
      <c r="G23">
        <v>2729</v>
      </c>
      <c r="H23">
        <v>22536</v>
      </c>
      <c r="I23">
        <v>3574</v>
      </c>
      <c r="J23">
        <v>7118</v>
      </c>
      <c r="K23">
        <v>10334</v>
      </c>
      <c r="L23">
        <v>7</v>
      </c>
      <c r="M23">
        <v>7118</v>
      </c>
      <c r="N23">
        <v>10334</v>
      </c>
      <c r="O23">
        <v>250</v>
      </c>
      <c r="P23">
        <v>203.1</v>
      </c>
      <c r="Q23">
        <v>861</v>
      </c>
      <c r="R23">
        <v>99707.253555400006</v>
      </c>
      <c r="S23">
        <v>54513595.320070803</v>
      </c>
      <c r="T23">
        <v>22536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t="s">
        <v>41</v>
      </c>
      <c r="AA23" t="s">
        <v>41</v>
      </c>
      <c r="AB23" t="s">
        <v>41</v>
      </c>
      <c r="AC23" t="s">
        <v>41</v>
      </c>
      <c r="AD23" t="s">
        <v>41</v>
      </c>
      <c r="AE23" t="s">
        <v>41</v>
      </c>
      <c r="AF23" t="s">
        <v>41</v>
      </c>
      <c r="AG23">
        <v>0</v>
      </c>
      <c r="AH23">
        <v>0</v>
      </c>
      <c r="AI23">
        <v>0</v>
      </c>
      <c r="AJ23">
        <v>0</v>
      </c>
      <c r="AK23">
        <v>11.7496689870097</v>
      </c>
      <c r="AL23">
        <v>0</v>
      </c>
      <c r="AM23">
        <v>0</v>
      </c>
      <c r="AN23" t="s">
        <v>41</v>
      </c>
      <c r="AO23" t="s">
        <v>41</v>
      </c>
      <c r="AP23" t="s">
        <v>41</v>
      </c>
      <c r="AQ23" t="s">
        <v>41</v>
      </c>
      <c r="AR23" t="s">
        <v>41</v>
      </c>
      <c r="AS23" t="s">
        <v>41</v>
      </c>
      <c r="AT23" t="s">
        <v>41</v>
      </c>
      <c r="AU23" t="s">
        <v>41</v>
      </c>
      <c r="AV23" t="s">
        <v>41</v>
      </c>
      <c r="AW23" t="s">
        <v>41</v>
      </c>
      <c r="AX23" t="s">
        <v>41</v>
      </c>
      <c r="AY23" t="s">
        <v>41</v>
      </c>
      <c r="AZ23" t="s">
        <v>41</v>
      </c>
      <c r="BA23" t="s">
        <v>41</v>
      </c>
      <c r="BB23" t="s">
        <v>41</v>
      </c>
      <c r="BC23" t="s">
        <v>41</v>
      </c>
      <c r="BD23" t="s">
        <v>41</v>
      </c>
      <c r="BE23" t="s">
        <v>41</v>
      </c>
      <c r="BF23" t="s">
        <v>41</v>
      </c>
      <c r="BG23" t="s">
        <v>41</v>
      </c>
      <c r="BH23" t="s">
        <v>41</v>
      </c>
      <c r="BI23" t="s">
        <v>41</v>
      </c>
      <c r="BJ23" t="s">
        <v>41</v>
      </c>
      <c r="BK23" t="s">
        <v>41</v>
      </c>
      <c r="BL23" t="s">
        <v>41</v>
      </c>
      <c r="BM23" t="s">
        <v>41</v>
      </c>
      <c r="BN23" t="s">
        <v>41</v>
      </c>
      <c r="BO23" t="s">
        <v>41</v>
      </c>
      <c r="BP23" t="s">
        <v>41</v>
      </c>
      <c r="BQ23" t="s">
        <v>41</v>
      </c>
      <c r="BR23" t="s">
        <v>41</v>
      </c>
      <c r="BS23" t="s">
        <v>41</v>
      </c>
      <c r="BT23" t="s">
        <v>41</v>
      </c>
      <c r="BU23" t="s">
        <v>41</v>
      </c>
      <c r="BV23" t="s">
        <v>41</v>
      </c>
      <c r="BW23" t="s">
        <v>41</v>
      </c>
    </row>
    <row r="24" spans="1:75" x14ac:dyDescent="0.25">
      <c r="A24">
        <v>23</v>
      </c>
      <c r="B24" t="s">
        <v>66</v>
      </c>
      <c r="C24">
        <v>162.41732979864</v>
      </c>
      <c r="D24">
        <v>1708</v>
      </c>
      <c r="E24">
        <v>212</v>
      </c>
      <c r="F24">
        <v>1019</v>
      </c>
      <c r="G24">
        <v>215</v>
      </c>
      <c r="H24">
        <v>3155</v>
      </c>
      <c r="I24">
        <v>382</v>
      </c>
      <c r="J24">
        <v>327</v>
      </c>
      <c r="K24">
        <v>557</v>
      </c>
      <c r="L24">
        <v>2</v>
      </c>
      <c r="M24">
        <v>317</v>
      </c>
      <c r="N24">
        <v>557</v>
      </c>
      <c r="O24">
        <v>82.2</v>
      </c>
      <c r="P24">
        <v>70.5</v>
      </c>
      <c r="Q24">
        <v>902</v>
      </c>
      <c r="R24">
        <v>57961.191556869402</v>
      </c>
      <c r="S24">
        <v>21473406.292872801</v>
      </c>
      <c r="T24">
        <v>3155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41</v>
      </c>
      <c r="AA24" t="s">
        <v>41</v>
      </c>
      <c r="AB24" t="s">
        <v>41</v>
      </c>
      <c r="AC24" t="s">
        <v>41</v>
      </c>
      <c r="AD24" t="s">
        <v>41</v>
      </c>
      <c r="AE24" t="s">
        <v>41</v>
      </c>
      <c r="AF24" t="s">
        <v>41</v>
      </c>
      <c r="AG24">
        <v>0</v>
      </c>
      <c r="AH24">
        <v>0</v>
      </c>
      <c r="AI24">
        <v>0</v>
      </c>
      <c r="AJ24">
        <v>0</v>
      </c>
      <c r="AK24">
        <v>19.4252670199138</v>
      </c>
      <c r="AL24">
        <v>0</v>
      </c>
      <c r="AM24">
        <v>0</v>
      </c>
      <c r="AN24" t="s">
        <v>41</v>
      </c>
      <c r="AO24" t="s">
        <v>41</v>
      </c>
      <c r="AP24" t="s">
        <v>41</v>
      </c>
      <c r="AQ24" t="s">
        <v>41</v>
      </c>
      <c r="AR24" t="s">
        <v>41</v>
      </c>
      <c r="AS24" t="s">
        <v>41</v>
      </c>
      <c r="AT24" t="s">
        <v>41</v>
      </c>
      <c r="AU24" t="s">
        <v>41</v>
      </c>
      <c r="AV24" t="s">
        <v>41</v>
      </c>
      <c r="AW24" t="s">
        <v>41</v>
      </c>
      <c r="AX24" t="s">
        <v>41</v>
      </c>
      <c r="AY24" t="s">
        <v>41</v>
      </c>
      <c r="AZ24" t="s">
        <v>41</v>
      </c>
      <c r="BA24" t="s">
        <v>41</v>
      </c>
      <c r="BB24" t="s">
        <v>41</v>
      </c>
      <c r="BC24" t="s">
        <v>41</v>
      </c>
      <c r="BD24" t="s">
        <v>41</v>
      </c>
      <c r="BE24" t="s">
        <v>41</v>
      </c>
      <c r="BF24" t="s">
        <v>41</v>
      </c>
      <c r="BG24" t="s">
        <v>41</v>
      </c>
      <c r="BH24" t="s">
        <v>41</v>
      </c>
      <c r="BI24" t="s">
        <v>41</v>
      </c>
      <c r="BJ24" t="s">
        <v>41</v>
      </c>
      <c r="BK24" t="s">
        <v>41</v>
      </c>
      <c r="BL24" t="s">
        <v>41</v>
      </c>
      <c r="BM24" t="s">
        <v>41</v>
      </c>
      <c r="BN24" t="s">
        <v>41</v>
      </c>
      <c r="BO24" t="s">
        <v>41</v>
      </c>
      <c r="BP24" t="s">
        <v>41</v>
      </c>
      <c r="BQ24" t="s">
        <v>41</v>
      </c>
      <c r="BR24" t="s">
        <v>41</v>
      </c>
      <c r="BS24" t="s">
        <v>41</v>
      </c>
      <c r="BT24" t="s">
        <v>41</v>
      </c>
      <c r="BU24" t="s">
        <v>41</v>
      </c>
      <c r="BV24" t="s">
        <v>41</v>
      </c>
      <c r="BW24" t="s">
        <v>41</v>
      </c>
    </row>
    <row r="25" spans="1:75" x14ac:dyDescent="0.25">
      <c r="A25">
        <v>24</v>
      </c>
      <c r="B25" t="s">
        <v>67</v>
      </c>
      <c r="C25">
        <v>1062.1764393159599</v>
      </c>
      <c r="D25">
        <v>1743</v>
      </c>
      <c r="E25">
        <v>323</v>
      </c>
      <c r="F25">
        <v>709</v>
      </c>
      <c r="G25">
        <v>182</v>
      </c>
      <c r="H25">
        <v>3066</v>
      </c>
      <c r="I25">
        <v>776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125</v>
      </c>
      <c r="R25">
        <v>17874.771878203901</v>
      </c>
      <c r="S25">
        <v>19749373.689245299</v>
      </c>
      <c r="T25">
        <v>3066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41</v>
      </c>
      <c r="AA25" t="s">
        <v>41</v>
      </c>
      <c r="AB25" t="s">
        <v>41</v>
      </c>
      <c r="AC25" t="s">
        <v>41</v>
      </c>
      <c r="AD25" t="s">
        <v>41</v>
      </c>
      <c r="AE25" t="s">
        <v>41</v>
      </c>
      <c r="AF25" t="s">
        <v>41</v>
      </c>
      <c r="AG25">
        <v>0</v>
      </c>
      <c r="AH25">
        <v>0</v>
      </c>
      <c r="AI25">
        <v>0</v>
      </c>
      <c r="AJ25">
        <v>0</v>
      </c>
      <c r="AK25">
        <v>2.88652608598106</v>
      </c>
      <c r="AL25">
        <v>0</v>
      </c>
      <c r="AM25">
        <v>0</v>
      </c>
      <c r="AN25" t="s">
        <v>41</v>
      </c>
      <c r="AO25" t="s">
        <v>41</v>
      </c>
      <c r="AP25" t="s">
        <v>41</v>
      </c>
      <c r="AQ25" t="s">
        <v>41</v>
      </c>
      <c r="AR25" t="s">
        <v>41</v>
      </c>
      <c r="AS25" t="s">
        <v>41</v>
      </c>
      <c r="AT25" t="s">
        <v>41</v>
      </c>
      <c r="AU25" t="s">
        <v>41</v>
      </c>
      <c r="AV25" t="s">
        <v>41</v>
      </c>
      <c r="AW25" t="s">
        <v>41</v>
      </c>
      <c r="AX25" t="s">
        <v>41</v>
      </c>
      <c r="AY25" t="s">
        <v>41</v>
      </c>
      <c r="AZ25" t="s">
        <v>41</v>
      </c>
      <c r="BA25" t="s">
        <v>41</v>
      </c>
      <c r="BB25" t="s">
        <v>41</v>
      </c>
      <c r="BC25" t="s">
        <v>41</v>
      </c>
      <c r="BD25" t="s">
        <v>41</v>
      </c>
      <c r="BE25" t="s">
        <v>41</v>
      </c>
      <c r="BF25" t="s">
        <v>41</v>
      </c>
      <c r="BG25" t="s">
        <v>41</v>
      </c>
      <c r="BH25" t="s">
        <v>41</v>
      </c>
      <c r="BI25" t="s">
        <v>41</v>
      </c>
      <c r="BJ25" t="s">
        <v>41</v>
      </c>
      <c r="BK25" t="s">
        <v>41</v>
      </c>
      <c r="BL25" t="s">
        <v>41</v>
      </c>
      <c r="BM25" t="s">
        <v>41</v>
      </c>
      <c r="BN25" t="s">
        <v>41</v>
      </c>
      <c r="BO25" t="s">
        <v>41</v>
      </c>
      <c r="BP25" t="s">
        <v>41</v>
      </c>
      <c r="BQ25" t="s">
        <v>41</v>
      </c>
      <c r="BR25" t="s">
        <v>41</v>
      </c>
      <c r="BS25" t="s">
        <v>41</v>
      </c>
      <c r="BT25" t="s">
        <v>41</v>
      </c>
      <c r="BU25" t="s">
        <v>41</v>
      </c>
      <c r="BV25" t="s">
        <v>41</v>
      </c>
      <c r="BW25" t="s">
        <v>41</v>
      </c>
    </row>
    <row r="26" spans="1:75" x14ac:dyDescent="0.25">
      <c r="A26">
        <v>25</v>
      </c>
      <c r="B26" t="s">
        <v>37</v>
      </c>
      <c r="C26">
        <v>1127.4748309839899</v>
      </c>
      <c r="D26">
        <v>29886</v>
      </c>
      <c r="E26">
        <v>2965</v>
      </c>
      <c r="F26">
        <v>3424</v>
      </c>
      <c r="G26">
        <v>1388</v>
      </c>
      <c r="H26">
        <v>37577</v>
      </c>
      <c r="I26">
        <v>4701</v>
      </c>
      <c r="J26">
        <v>804</v>
      </c>
      <c r="K26">
        <v>4912</v>
      </c>
      <c r="L26">
        <v>4</v>
      </c>
      <c r="M26">
        <v>804</v>
      </c>
      <c r="N26">
        <v>4912</v>
      </c>
      <c r="O26">
        <v>384</v>
      </c>
      <c r="P26">
        <v>321.5</v>
      </c>
      <c r="Q26">
        <v>504</v>
      </c>
      <c r="R26">
        <v>65014.837557038103</v>
      </c>
      <c r="S26">
        <v>29074083.328665901</v>
      </c>
      <c r="T26">
        <v>37577</v>
      </c>
      <c r="U26">
        <v>67.022000000000006</v>
      </c>
      <c r="V26">
        <v>13.459</v>
      </c>
      <c r="W26" s="32">
        <v>-0.79900000000000004</v>
      </c>
      <c r="X26">
        <v>22821</v>
      </c>
      <c r="Y26">
        <v>145</v>
      </c>
      <c r="Z26">
        <v>1973</v>
      </c>
      <c r="AA26">
        <v>1881</v>
      </c>
      <c r="AB26">
        <v>1163</v>
      </c>
      <c r="AC26">
        <v>419</v>
      </c>
      <c r="AD26">
        <v>13272</v>
      </c>
      <c r="AE26">
        <v>28402</v>
      </c>
      <c r="AF26">
        <v>25221</v>
      </c>
      <c r="AG26">
        <v>24479.785500000002</v>
      </c>
      <c r="AH26">
        <v>21.712046090000001</v>
      </c>
      <c r="AI26">
        <v>41674</v>
      </c>
      <c r="AJ26">
        <v>38493</v>
      </c>
      <c r="AK26">
        <v>33.328460172547601</v>
      </c>
      <c r="AL26">
        <v>21.7120460938674</v>
      </c>
      <c r="AM26">
        <v>34.140895159855098</v>
      </c>
      <c r="AN26">
        <v>24.6431819896926</v>
      </c>
      <c r="AO26">
        <v>1038.1600000000001</v>
      </c>
      <c r="AP26">
        <v>4</v>
      </c>
      <c r="AQ26">
        <v>683.52</v>
      </c>
      <c r="AR26">
        <v>19673.167529089598</v>
      </c>
      <c r="AS26">
        <v>12952.727392197099</v>
      </c>
      <c r="AT26">
        <v>0.78026066720485598</v>
      </c>
      <c r="AU26">
        <v>0.97615422308444899</v>
      </c>
      <c r="AV26">
        <v>1.1734965145587899</v>
      </c>
      <c r="AW26">
        <v>9.3285359442233998E-2</v>
      </c>
      <c r="AX26">
        <v>0.22373002022504801</v>
      </c>
      <c r="AY26">
        <v>0.427516549825668</v>
      </c>
      <c r="AZ26">
        <v>6894.1157652059001</v>
      </c>
      <c r="BA26">
        <v>1438.44292973951</v>
      </c>
      <c r="BB26">
        <v>869.93458378147295</v>
      </c>
      <c r="BC26">
        <v>789.80413177036803</v>
      </c>
      <c r="BD26">
        <v>538.19390183526298</v>
      </c>
      <c r="BE26">
        <v>4629.6235197962696</v>
      </c>
      <c r="BF26">
        <v>1061.70606058198</v>
      </c>
      <c r="BG26">
        <v>614.07568029286494</v>
      </c>
      <c r="BH26">
        <v>568.17455381651496</v>
      </c>
      <c r="BI26">
        <v>394.09520848648498</v>
      </c>
      <c r="BJ26">
        <v>2219.90562370422</v>
      </c>
      <c r="BK26">
        <v>1513.2618312055499</v>
      </c>
      <c r="BL26">
        <v>2524.3398403656702</v>
      </c>
      <c r="BM26">
        <v>7117.8892541447403</v>
      </c>
      <c r="BN26">
        <v>3617.0404842662201</v>
      </c>
      <c r="BO26">
        <v>6565.8254415251204</v>
      </c>
      <c r="BP26">
        <v>3333.7914666265901</v>
      </c>
      <c r="BQ26">
        <v>2687.2973660612201</v>
      </c>
      <c r="BR26">
        <v>3662.24330896127</v>
      </c>
      <c r="BS26">
        <v>10905.4374145539</v>
      </c>
      <c r="BT26">
        <v>3288.1662983506899</v>
      </c>
      <c r="BU26">
        <v>5962.3077517797201</v>
      </c>
      <c r="BV26">
        <v>14840.617746080299</v>
      </c>
      <c r="BW26">
        <v>22540.5777728094</v>
      </c>
    </row>
    <row r="27" spans="1:75" x14ac:dyDescent="0.25">
      <c r="A27">
        <v>26</v>
      </c>
      <c r="B27" t="s">
        <v>38</v>
      </c>
      <c r="C27">
        <v>1276.51037162022</v>
      </c>
      <c r="D27">
        <v>8683</v>
      </c>
      <c r="E27">
        <v>1631</v>
      </c>
      <c r="F27">
        <v>1622</v>
      </c>
      <c r="G27">
        <v>459</v>
      </c>
      <c r="H27">
        <v>12396</v>
      </c>
      <c r="I27">
        <v>1456</v>
      </c>
      <c r="J27">
        <v>4363</v>
      </c>
      <c r="K27">
        <v>7024</v>
      </c>
      <c r="L27">
        <v>4</v>
      </c>
      <c r="M27">
        <v>4363</v>
      </c>
      <c r="N27">
        <v>7024</v>
      </c>
      <c r="O27">
        <v>80</v>
      </c>
      <c r="P27">
        <v>68.2</v>
      </c>
      <c r="Q27">
        <v>508</v>
      </c>
      <c r="R27">
        <v>77219.830101124899</v>
      </c>
      <c r="S27">
        <v>26982346.103947099</v>
      </c>
      <c r="T27">
        <v>12396</v>
      </c>
      <c r="U27">
        <v>29.302</v>
      </c>
      <c r="V27">
        <v>19.245000000000001</v>
      </c>
      <c r="W27" s="32">
        <v>-0.34300000000000003</v>
      </c>
      <c r="X27">
        <v>8466</v>
      </c>
      <c r="Y27">
        <v>0</v>
      </c>
      <c r="Z27">
        <v>1833</v>
      </c>
      <c r="AA27">
        <v>417</v>
      </c>
      <c r="AB27">
        <v>2347</v>
      </c>
      <c r="AC27">
        <v>558</v>
      </c>
      <c r="AD27">
        <v>4293</v>
      </c>
      <c r="AE27">
        <v>13620</v>
      </c>
      <c r="AF27">
        <v>12903</v>
      </c>
      <c r="AG27">
        <v>10702.5555</v>
      </c>
      <c r="AH27">
        <v>8.3842291749999998</v>
      </c>
      <c r="AI27">
        <v>17913</v>
      </c>
      <c r="AJ27">
        <v>17196</v>
      </c>
      <c r="AK27">
        <v>9.7108494185333001</v>
      </c>
      <c r="AL27">
        <v>8.38422917505609</v>
      </c>
      <c r="AM27">
        <v>13.4711008874716</v>
      </c>
      <c r="AN27">
        <v>8.5151095845836995</v>
      </c>
      <c r="AO27">
        <v>91.88</v>
      </c>
      <c r="AP27">
        <v>3</v>
      </c>
      <c r="AQ27">
        <v>91.91</v>
      </c>
      <c r="AR27">
        <v>1741.1291444216199</v>
      </c>
      <c r="AS27">
        <v>1741.6976454483199</v>
      </c>
      <c r="AT27">
        <v>0.56141992410024</v>
      </c>
      <c r="AU27">
        <v>0.649747828642527</v>
      </c>
      <c r="AV27">
        <v>0.76272467772165897</v>
      </c>
      <c r="AW27">
        <v>0.124664684136708</v>
      </c>
      <c r="AX27">
        <v>0.28057717283566702</v>
      </c>
      <c r="AY27">
        <v>0.49209020535151099</v>
      </c>
      <c r="AZ27">
        <v>411.94300665743799</v>
      </c>
      <c r="BA27">
        <v>178.052362618415</v>
      </c>
      <c r="BB27">
        <v>129.45207954358301</v>
      </c>
      <c r="BC27">
        <v>106.552060426173</v>
      </c>
      <c r="BD27">
        <v>68.445707984038904</v>
      </c>
      <c r="BE27">
        <v>412.07792354531603</v>
      </c>
      <c r="BF27">
        <v>178.11062306546799</v>
      </c>
      <c r="BG27">
        <v>129.496709234939</v>
      </c>
      <c r="BH27">
        <v>106.58632160786399</v>
      </c>
      <c r="BI27">
        <v>68.467986528614603</v>
      </c>
      <c r="BJ27">
        <v>193.87829746457501</v>
      </c>
      <c r="BK27">
        <v>213.492826185333</v>
      </c>
      <c r="BL27">
        <v>331.82225606792701</v>
      </c>
      <c r="BM27">
        <v>362.56484011092101</v>
      </c>
      <c r="BN27">
        <v>355.48818083357497</v>
      </c>
      <c r="BO27">
        <v>576.65361290363705</v>
      </c>
      <c r="BP27">
        <v>193.814731863481</v>
      </c>
      <c r="BQ27">
        <v>213.40662914763999</v>
      </c>
      <c r="BR27">
        <v>331.72823923957901</v>
      </c>
      <c r="BS27">
        <v>362.44632842559002</v>
      </c>
      <c r="BT27">
        <v>355.51093461484498</v>
      </c>
      <c r="BU27">
        <v>576.69536841408399</v>
      </c>
      <c r="BV27">
        <v>770.59450347940594</v>
      </c>
      <c r="BW27">
        <v>770.34297660415405</v>
      </c>
    </row>
    <row r="28" spans="1:75" x14ac:dyDescent="0.25">
      <c r="A28">
        <v>27</v>
      </c>
      <c r="B28" t="s">
        <v>39</v>
      </c>
      <c r="C28">
        <v>6012.28155545155</v>
      </c>
      <c r="D28">
        <v>53970</v>
      </c>
      <c r="E28">
        <v>10294</v>
      </c>
      <c r="F28">
        <v>10199</v>
      </c>
      <c r="G28">
        <v>12529</v>
      </c>
      <c r="H28">
        <v>87090</v>
      </c>
      <c r="I28">
        <v>10563</v>
      </c>
      <c r="J28">
        <v>15560</v>
      </c>
      <c r="K28">
        <v>29576</v>
      </c>
      <c r="L28">
        <v>20</v>
      </c>
      <c r="M28">
        <v>15560</v>
      </c>
      <c r="N28">
        <v>29576</v>
      </c>
      <c r="O28">
        <v>1030</v>
      </c>
      <c r="P28">
        <v>740.19999980930004</v>
      </c>
      <c r="Q28">
        <v>2560</v>
      </c>
      <c r="R28">
        <v>355306.48950253503</v>
      </c>
      <c r="S28">
        <v>204507956.261969</v>
      </c>
      <c r="T28">
        <v>87090</v>
      </c>
      <c r="U28">
        <v>127.203</v>
      </c>
      <c r="V28">
        <v>81.031999999999996</v>
      </c>
      <c r="W28" s="32">
        <v>-0.36299999999999999</v>
      </c>
      <c r="X28">
        <v>34290</v>
      </c>
      <c r="Y28">
        <v>0</v>
      </c>
      <c r="Z28">
        <v>7117</v>
      </c>
      <c r="AA28">
        <v>4074</v>
      </c>
      <c r="AB28">
        <v>33403</v>
      </c>
      <c r="AC28">
        <v>2283</v>
      </c>
      <c r="AD28">
        <v>14636</v>
      </c>
      <c r="AE28">
        <v>81167</v>
      </c>
      <c r="AF28">
        <v>78001</v>
      </c>
      <c r="AG28">
        <v>46460.895750000003</v>
      </c>
      <c r="AH28">
        <v>7.7276646680000001</v>
      </c>
      <c r="AI28">
        <v>95803</v>
      </c>
      <c r="AJ28">
        <v>92637</v>
      </c>
      <c r="AK28">
        <v>14.4853495626851</v>
      </c>
      <c r="AL28">
        <v>7.7276646679781997</v>
      </c>
      <c r="AM28">
        <v>15.4079610453377</v>
      </c>
      <c r="AN28">
        <v>7.1735894674135201</v>
      </c>
      <c r="AO28">
        <v>126.53</v>
      </c>
      <c r="AP28">
        <v>5</v>
      </c>
      <c r="AQ28">
        <v>126.58</v>
      </c>
      <c r="AR28">
        <v>2397.74783025325</v>
      </c>
      <c r="AS28">
        <v>2398.6953319643999</v>
      </c>
      <c r="AT28">
        <v>0.62037578821182204</v>
      </c>
      <c r="AU28">
        <v>0.84783275127410795</v>
      </c>
      <c r="AV28">
        <v>1.09958537817001</v>
      </c>
      <c r="AW28">
        <v>0.101374230533838</v>
      </c>
      <c r="AX28">
        <v>0.24923006594180999</v>
      </c>
      <c r="AY28">
        <v>0.48630784749984701</v>
      </c>
      <c r="AZ28">
        <v>699.65288310575295</v>
      </c>
      <c r="BA28">
        <v>261.66419436885701</v>
      </c>
      <c r="BB28">
        <v>164.50862465236801</v>
      </c>
      <c r="BC28">
        <v>151.04204260571501</v>
      </c>
      <c r="BD28">
        <v>99.508301870455995</v>
      </c>
      <c r="BE28">
        <v>699.94629682514994</v>
      </c>
      <c r="BF28">
        <v>261.75044666392802</v>
      </c>
      <c r="BG28">
        <v>164.57721363758699</v>
      </c>
      <c r="BH28">
        <v>151.09159945708799</v>
      </c>
      <c r="BI28">
        <v>99.541047756799998</v>
      </c>
      <c r="BJ28">
        <v>326.23562883927502</v>
      </c>
      <c r="BK28">
        <v>312.61296613587501</v>
      </c>
      <c r="BL28">
        <v>475.53678340133399</v>
      </c>
      <c r="BM28">
        <v>455.858400536033</v>
      </c>
      <c r="BN28">
        <v>406.18231108380297</v>
      </c>
      <c r="BO28">
        <v>632.82986659298695</v>
      </c>
      <c r="BP28">
        <v>326.09984323772699</v>
      </c>
      <c r="BQ28">
        <v>312.40098597595698</v>
      </c>
      <c r="BR28">
        <v>475.28729962935398</v>
      </c>
      <c r="BS28">
        <v>455.67950108366699</v>
      </c>
      <c r="BT28">
        <v>406.21746487632998</v>
      </c>
      <c r="BU28">
        <v>632.89437738939705</v>
      </c>
      <c r="BV28">
        <v>978.167793672681</v>
      </c>
      <c r="BW28">
        <v>977.78141043928201</v>
      </c>
    </row>
    <row r="29" spans="1:75" x14ac:dyDescent="0.25">
      <c r="A29">
        <v>28</v>
      </c>
      <c r="B29" t="s">
        <v>40</v>
      </c>
      <c r="C29">
        <v>19337.511051440299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>
        <v>454.71</v>
      </c>
      <c r="V29">
        <v>420.95</v>
      </c>
      <c r="W29" s="32">
        <v>-7.3999999999999996E-2</v>
      </c>
      <c r="X29">
        <v>113728</v>
      </c>
      <c r="Y29">
        <v>18953</v>
      </c>
      <c r="Z29">
        <v>23256</v>
      </c>
      <c r="AA29">
        <v>19136</v>
      </c>
      <c r="AB29">
        <v>7946</v>
      </c>
      <c r="AC29">
        <v>69865</v>
      </c>
      <c r="AD29">
        <v>42925</v>
      </c>
      <c r="AE29">
        <v>252884</v>
      </c>
      <c r="AF29">
        <v>216935</v>
      </c>
      <c r="AG29">
        <v>166082.82750000001</v>
      </c>
      <c r="AH29">
        <v>8.5886351689999998</v>
      </c>
      <c r="AI29">
        <v>295809</v>
      </c>
      <c r="AJ29">
        <v>259860</v>
      </c>
      <c r="AK29" t="s">
        <v>41</v>
      </c>
      <c r="AL29">
        <v>8.5886351691382306</v>
      </c>
      <c r="AM29">
        <v>13.438130652323199</v>
      </c>
      <c r="AN29">
        <v>366.97813508203097</v>
      </c>
      <c r="AO29">
        <v>14120.41</v>
      </c>
      <c r="AP29">
        <v>112</v>
      </c>
      <c r="AQ29">
        <v>6673.29</v>
      </c>
      <c r="AR29">
        <v>267582.252744695</v>
      </c>
      <c r="AS29">
        <v>126459.073880903</v>
      </c>
      <c r="AT29">
        <v>0.60133715399674004</v>
      </c>
      <c r="AU29">
        <v>0.70921995623835499</v>
      </c>
      <c r="AV29">
        <v>0.83703850076666897</v>
      </c>
      <c r="AW29">
        <v>0.14765938973453399</v>
      </c>
      <c r="AX29">
        <v>0.20269843859464901</v>
      </c>
      <c r="AY29">
        <v>0.28407422060679099</v>
      </c>
      <c r="AZ29">
        <v>72804.679088868303</v>
      </c>
      <c r="BA29">
        <v>21235.6863847889</v>
      </c>
      <c r="BB29">
        <v>8291.7572270606306</v>
      </c>
      <c r="BC29">
        <v>6539.2418194862603</v>
      </c>
      <c r="BD29">
        <v>5350.3819079914101</v>
      </c>
      <c r="BE29">
        <v>34239.546149212299</v>
      </c>
      <c r="BF29">
        <v>9942.7789245781205</v>
      </c>
      <c r="BG29">
        <v>4637.93572991368</v>
      </c>
      <c r="BH29">
        <v>4231.1956037112996</v>
      </c>
      <c r="BI29">
        <v>3170.06624007439</v>
      </c>
      <c r="BJ29">
        <v>16070.8757286528</v>
      </c>
      <c r="BK29">
        <v>9893.07738061282</v>
      </c>
      <c r="BL29">
        <v>16242.580686909299</v>
      </c>
      <c r="BM29">
        <v>26929.910193586798</v>
      </c>
      <c r="BN29">
        <v>16728.113239960199</v>
      </c>
      <c r="BO29">
        <v>25074.180070328799</v>
      </c>
      <c r="BP29">
        <v>34082.356519123401</v>
      </c>
      <c r="BQ29">
        <v>24612.1657459954</v>
      </c>
      <c r="BR29">
        <v>20628.9344616411</v>
      </c>
      <c r="BS29">
        <v>56822.538306525399</v>
      </c>
      <c r="BT29">
        <v>14259.193448345701</v>
      </c>
      <c r="BU29">
        <v>20543.4603221254</v>
      </c>
      <c r="BV29">
        <v>57314.453187858402</v>
      </c>
      <c r="BW29">
        <v>121275.049928651</v>
      </c>
    </row>
    <row r="30" spans="1:75" x14ac:dyDescent="0.25">
      <c r="A30">
        <v>29</v>
      </c>
      <c r="B30" t="s">
        <v>42</v>
      </c>
      <c r="C30">
        <v>1697.04929287447</v>
      </c>
      <c r="D30">
        <v>9636</v>
      </c>
      <c r="E30">
        <v>2493</v>
      </c>
      <c r="F30">
        <v>1893</v>
      </c>
      <c r="G30">
        <v>787</v>
      </c>
      <c r="H30">
        <v>14808</v>
      </c>
      <c r="I30">
        <v>1967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129</v>
      </c>
      <c r="R30">
        <v>35721.207565293102</v>
      </c>
      <c r="S30">
        <v>43812948.973533399</v>
      </c>
      <c r="T30">
        <v>14808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t="s">
        <v>41</v>
      </c>
      <c r="AA30" t="s">
        <v>41</v>
      </c>
      <c r="AB30" t="s">
        <v>41</v>
      </c>
      <c r="AC30" t="s">
        <v>41</v>
      </c>
      <c r="AD30" t="s">
        <v>41</v>
      </c>
      <c r="AE30" t="s">
        <v>41</v>
      </c>
      <c r="AF30" t="s">
        <v>41</v>
      </c>
      <c r="AG30">
        <v>8884.7999999999993</v>
      </c>
      <c r="AH30" t="s">
        <v>41</v>
      </c>
      <c r="AI30" t="s">
        <v>41</v>
      </c>
      <c r="AJ30" t="s">
        <v>41</v>
      </c>
      <c r="AK30">
        <v>8.7257335789687698</v>
      </c>
      <c r="AL30">
        <v>5.2354401473812597</v>
      </c>
      <c r="AM30" t="s">
        <v>41</v>
      </c>
      <c r="AN30">
        <v>20.0930151278937</v>
      </c>
      <c r="AO30">
        <v>566.28</v>
      </c>
      <c r="AP30">
        <v>6</v>
      </c>
      <c r="AQ30">
        <v>559.26</v>
      </c>
      <c r="AR30">
        <v>10731.025379876701</v>
      </c>
      <c r="AS30">
        <v>10597.996139630301</v>
      </c>
      <c r="AT30">
        <v>0.55728436509768098</v>
      </c>
      <c r="AU30">
        <v>0.62911773721376996</v>
      </c>
      <c r="AV30">
        <v>0.70795876781145695</v>
      </c>
      <c r="AW30">
        <v>2.1747015416622099E-2</v>
      </c>
      <c r="AX30">
        <v>5.1526648302872902E-2</v>
      </c>
      <c r="AY30">
        <v>0.117572159816821</v>
      </c>
      <c r="AZ30">
        <v>2445.0194351601499</v>
      </c>
      <c r="BA30">
        <v>185.78609613081099</v>
      </c>
      <c r="BB30">
        <v>138.345907200119</v>
      </c>
      <c r="BC30">
        <v>108.901529741788</v>
      </c>
      <c r="BD30">
        <v>70.9578420970943</v>
      </c>
      <c r="BE30">
        <v>2414.8042276698102</v>
      </c>
      <c r="BF30">
        <v>183.52779048126001</v>
      </c>
      <c r="BG30">
        <v>136.42152051943199</v>
      </c>
      <c r="BH30">
        <v>107.563369955452</v>
      </c>
      <c r="BI30">
        <v>70.092651306101104</v>
      </c>
      <c r="BJ30">
        <v>1147.56269760758</v>
      </c>
      <c r="BK30">
        <v>885.940440642927</v>
      </c>
      <c r="BL30">
        <v>1298.9431307820601</v>
      </c>
      <c r="BM30">
        <v>1391.65511248404</v>
      </c>
      <c r="BN30">
        <v>1027.0185026418601</v>
      </c>
      <c r="BO30">
        <v>1525.4127699384201</v>
      </c>
      <c r="BP30">
        <v>1162.3489551370501</v>
      </c>
      <c r="BQ30">
        <v>901.52038823649104</v>
      </c>
      <c r="BR30">
        <v>1314.36393214138</v>
      </c>
      <c r="BS30">
        <v>1409.6421126704099</v>
      </c>
      <c r="BT30">
        <v>1023.72556829607</v>
      </c>
      <c r="BU30">
        <v>1519.3698994002</v>
      </c>
      <c r="BV30">
        <v>2927.9722568244401</v>
      </c>
      <c r="BW30">
        <v>2964.7250466590599</v>
      </c>
    </row>
    <row r="31" spans="1:75" x14ac:dyDescent="0.25">
      <c r="A31">
        <v>30</v>
      </c>
      <c r="B31" t="s">
        <v>68</v>
      </c>
      <c r="C31">
        <v>880.13844331285395</v>
      </c>
      <c r="D31">
        <v>4201</v>
      </c>
      <c r="E31">
        <v>423</v>
      </c>
      <c r="F31">
        <v>859</v>
      </c>
      <c r="G31">
        <v>328</v>
      </c>
      <c r="H31">
        <v>5812</v>
      </c>
      <c r="I31">
        <v>811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130</v>
      </c>
      <c r="R31">
        <v>23265.027145384502</v>
      </c>
      <c r="S31">
        <v>15804123.8494408</v>
      </c>
      <c r="T31">
        <v>5812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t="s">
        <v>41</v>
      </c>
      <c r="AA31" t="s">
        <v>41</v>
      </c>
      <c r="AB31" t="s">
        <v>41</v>
      </c>
      <c r="AC31" t="s">
        <v>41</v>
      </c>
      <c r="AD31" t="s">
        <v>41</v>
      </c>
      <c r="AE31" t="s">
        <v>41</v>
      </c>
      <c r="AF31" t="s">
        <v>41</v>
      </c>
      <c r="AG31">
        <v>0</v>
      </c>
      <c r="AH31">
        <v>0</v>
      </c>
      <c r="AI31">
        <v>0</v>
      </c>
      <c r="AJ31">
        <v>0</v>
      </c>
      <c r="AK31">
        <v>6.6035065780373596</v>
      </c>
      <c r="AL31">
        <v>0</v>
      </c>
      <c r="AM31">
        <v>0</v>
      </c>
      <c r="AN31" t="s">
        <v>41</v>
      </c>
      <c r="AO31" t="s">
        <v>41</v>
      </c>
      <c r="AP31" t="s">
        <v>41</v>
      </c>
      <c r="AQ31" t="s">
        <v>41</v>
      </c>
      <c r="AR31" t="s">
        <v>41</v>
      </c>
      <c r="AS31" t="s">
        <v>41</v>
      </c>
      <c r="AT31" t="s">
        <v>41</v>
      </c>
      <c r="AU31" t="s">
        <v>41</v>
      </c>
      <c r="AV31" t="s">
        <v>41</v>
      </c>
      <c r="AW31" t="s">
        <v>41</v>
      </c>
      <c r="AX31" t="s">
        <v>41</v>
      </c>
      <c r="AY31" t="s">
        <v>41</v>
      </c>
      <c r="AZ31" t="s">
        <v>41</v>
      </c>
      <c r="BA31" t="s">
        <v>41</v>
      </c>
      <c r="BB31" t="s">
        <v>41</v>
      </c>
      <c r="BC31" t="s">
        <v>41</v>
      </c>
      <c r="BD31" t="s">
        <v>41</v>
      </c>
      <c r="BE31" t="s">
        <v>41</v>
      </c>
      <c r="BF31" t="s">
        <v>41</v>
      </c>
      <c r="BG31" t="s">
        <v>41</v>
      </c>
      <c r="BH31" t="s">
        <v>41</v>
      </c>
      <c r="BI31" t="s">
        <v>41</v>
      </c>
      <c r="BJ31" t="s">
        <v>41</v>
      </c>
      <c r="BK31" t="s">
        <v>41</v>
      </c>
      <c r="BL31" t="s">
        <v>41</v>
      </c>
      <c r="BM31" t="s">
        <v>41</v>
      </c>
      <c r="BN31" t="s">
        <v>41</v>
      </c>
      <c r="BO31" t="s">
        <v>41</v>
      </c>
      <c r="BP31" t="s">
        <v>41</v>
      </c>
      <c r="BQ31" t="s">
        <v>41</v>
      </c>
      <c r="BR31" t="s">
        <v>41</v>
      </c>
      <c r="BS31" t="s">
        <v>41</v>
      </c>
      <c r="BT31" t="s">
        <v>41</v>
      </c>
      <c r="BU31" t="s">
        <v>41</v>
      </c>
      <c r="BV31" t="s">
        <v>41</v>
      </c>
      <c r="BW31" t="s">
        <v>41</v>
      </c>
    </row>
    <row r="32" spans="1:75" x14ac:dyDescent="0.25">
      <c r="A32">
        <v>31</v>
      </c>
      <c r="B32" t="s">
        <v>43</v>
      </c>
      <c r="C32">
        <v>5300.3633572647504</v>
      </c>
      <c r="D32">
        <v>49047</v>
      </c>
      <c r="E32">
        <v>6738</v>
      </c>
      <c r="F32">
        <v>9433</v>
      </c>
      <c r="G32">
        <v>11217</v>
      </c>
      <c r="H32">
        <v>76652</v>
      </c>
      <c r="I32">
        <v>10069</v>
      </c>
      <c r="J32">
        <v>7403</v>
      </c>
      <c r="K32">
        <v>13851</v>
      </c>
      <c r="L32">
        <v>7</v>
      </c>
      <c r="M32">
        <v>7403</v>
      </c>
      <c r="N32">
        <v>13851</v>
      </c>
      <c r="O32">
        <v>317.5</v>
      </c>
      <c r="P32">
        <v>242.2</v>
      </c>
      <c r="Q32">
        <v>917</v>
      </c>
      <c r="R32">
        <v>125930.585197747</v>
      </c>
      <c r="S32">
        <v>128788471.02538</v>
      </c>
      <c r="T32">
        <v>76652</v>
      </c>
      <c r="U32">
        <v>69.11</v>
      </c>
      <c r="V32">
        <v>37.950000000000003</v>
      </c>
      <c r="W32" s="32">
        <v>-0.45100000000000001</v>
      </c>
      <c r="X32">
        <v>32300</v>
      </c>
      <c r="Y32">
        <v>227</v>
      </c>
      <c r="Z32">
        <v>3765</v>
      </c>
      <c r="AA32">
        <v>2668</v>
      </c>
      <c r="AB32">
        <v>7584</v>
      </c>
      <c r="AC32">
        <v>1971</v>
      </c>
      <c r="AD32">
        <v>9394</v>
      </c>
      <c r="AE32">
        <v>48513</v>
      </c>
      <c r="AF32">
        <v>31885</v>
      </c>
      <c r="AG32">
        <v>25242.427500000002</v>
      </c>
      <c r="AH32">
        <v>4.7623956700000001</v>
      </c>
      <c r="AI32">
        <v>57907</v>
      </c>
      <c r="AJ32">
        <v>41279</v>
      </c>
      <c r="AK32">
        <v>14.4616500479989</v>
      </c>
      <c r="AL32">
        <v>4.7623956696105196</v>
      </c>
      <c r="AM32">
        <v>7.78795663950517</v>
      </c>
      <c r="AN32">
        <v>15.767232126754999</v>
      </c>
      <c r="AO32">
        <v>491.4</v>
      </c>
      <c r="AP32">
        <v>12</v>
      </c>
      <c r="AQ32">
        <v>288.47000000000003</v>
      </c>
      <c r="AR32">
        <v>9312.0468172484598</v>
      </c>
      <c r="AS32">
        <v>5466.5163723476999</v>
      </c>
      <c r="AT32">
        <v>0.68161245187123598</v>
      </c>
      <c r="AU32">
        <v>0.75125287473201696</v>
      </c>
      <c r="AV32">
        <v>0.83538914720217305</v>
      </c>
      <c r="AW32">
        <v>0.115904236833254</v>
      </c>
      <c r="AX32">
        <v>0.22981649513045899</v>
      </c>
      <c r="AY32">
        <v>0.38621553281943</v>
      </c>
      <c r="AZ32">
        <v>2717.6707845011802</v>
      </c>
      <c r="BA32">
        <v>991.65338435153399</v>
      </c>
      <c r="BB32">
        <v>519.44373805356997</v>
      </c>
      <c r="BC32">
        <v>481.15031005738001</v>
      </c>
      <c r="BD32">
        <v>356.56263921586901</v>
      </c>
      <c r="BE32">
        <v>1568.3780396592299</v>
      </c>
      <c r="BF32">
        <v>601.25504762022695</v>
      </c>
      <c r="BG32">
        <v>300.634970560851</v>
      </c>
      <c r="BH32">
        <v>269.96667454416598</v>
      </c>
      <c r="BI32">
        <v>210.949773602509</v>
      </c>
      <c r="BJ32">
        <v>721.94120361796195</v>
      </c>
      <c r="BK32">
        <v>557.004301352212</v>
      </c>
      <c r="BL32">
        <v>816.64770698206803</v>
      </c>
      <c r="BM32">
        <v>632.60415733041702</v>
      </c>
      <c r="BN32">
        <v>528.31923728968604</v>
      </c>
      <c r="BO32">
        <v>742.80339369884996</v>
      </c>
      <c r="BP32">
        <v>1265.91661183154</v>
      </c>
      <c r="BQ32">
        <v>1282.98744325404</v>
      </c>
      <c r="BR32">
        <v>1410.2556829385201</v>
      </c>
      <c r="BS32">
        <v>1090.0067251094399</v>
      </c>
      <c r="BT32">
        <v>510.681346050066</v>
      </c>
      <c r="BU32">
        <v>710.43606348932599</v>
      </c>
      <c r="BV32">
        <v>1373.80827881254</v>
      </c>
      <c r="BW32">
        <v>2340.2412320466101</v>
      </c>
    </row>
    <row r="33" spans="1:75" x14ac:dyDescent="0.25">
      <c r="A33">
        <v>32</v>
      </c>
      <c r="B33" t="s">
        <v>69</v>
      </c>
      <c r="C33">
        <v>1652.86848108043</v>
      </c>
      <c r="D33">
        <v>12755</v>
      </c>
      <c r="E33">
        <v>448</v>
      </c>
      <c r="F33">
        <v>1904</v>
      </c>
      <c r="G33">
        <v>1033</v>
      </c>
      <c r="H33">
        <v>16383</v>
      </c>
      <c r="I33">
        <v>2531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132</v>
      </c>
      <c r="R33">
        <v>35081.3990108012</v>
      </c>
      <c r="S33">
        <v>56754575.905716501</v>
      </c>
      <c r="T33">
        <v>16383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t="s">
        <v>41</v>
      </c>
      <c r="AA33" t="s">
        <v>41</v>
      </c>
      <c r="AB33" t="s">
        <v>41</v>
      </c>
      <c r="AC33" t="s">
        <v>41</v>
      </c>
      <c r="AD33" t="s">
        <v>41</v>
      </c>
      <c r="AE33" t="s">
        <v>41</v>
      </c>
      <c r="AF33" t="s">
        <v>41</v>
      </c>
      <c r="AG33">
        <v>0</v>
      </c>
      <c r="AH33">
        <v>0</v>
      </c>
      <c r="AI33">
        <v>0</v>
      </c>
      <c r="AJ33">
        <v>0</v>
      </c>
      <c r="AK33">
        <v>9.9118594053477604</v>
      </c>
      <c r="AL33">
        <v>0</v>
      </c>
      <c r="AM33">
        <v>0</v>
      </c>
      <c r="AN33" t="s">
        <v>41</v>
      </c>
      <c r="AO33" t="s">
        <v>41</v>
      </c>
      <c r="AP33" t="s">
        <v>41</v>
      </c>
      <c r="AQ33" t="s">
        <v>41</v>
      </c>
      <c r="AR33" t="s">
        <v>41</v>
      </c>
      <c r="AS33" t="s">
        <v>41</v>
      </c>
      <c r="AT33" t="s">
        <v>41</v>
      </c>
      <c r="AU33" t="s">
        <v>41</v>
      </c>
      <c r="AV33" t="s">
        <v>41</v>
      </c>
      <c r="AW33" t="s">
        <v>41</v>
      </c>
      <c r="AX33" t="s">
        <v>41</v>
      </c>
      <c r="AY33" t="s">
        <v>41</v>
      </c>
      <c r="AZ33" t="s">
        <v>41</v>
      </c>
      <c r="BA33" t="s">
        <v>41</v>
      </c>
      <c r="BB33" t="s">
        <v>41</v>
      </c>
      <c r="BC33" t="s">
        <v>41</v>
      </c>
      <c r="BD33" t="s">
        <v>41</v>
      </c>
      <c r="BE33" t="s">
        <v>41</v>
      </c>
      <c r="BF33" t="s">
        <v>41</v>
      </c>
      <c r="BG33" t="s">
        <v>41</v>
      </c>
      <c r="BH33" t="s">
        <v>41</v>
      </c>
      <c r="BI33" t="s">
        <v>41</v>
      </c>
      <c r="BJ33" t="s">
        <v>41</v>
      </c>
      <c r="BK33" t="s">
        <v>41</v>
      </c>
      <c r="BL33" t="s">
        <v>41</v>
      </c>
      <c r="BM33" t="s">
        <v>41</v>
      </c>
      <c r="BN33" t="s">
        <v>41</v>
      </c>
      <c r="BO33" t="s">
        <v>41</v>
      </c>
      <c r="BP33" t="s">
        <v>41</v>
      </c>
      <c r="BQ33" t="s">
        <v>41</v>
      </c>
      <c r="BR33" t="s">
        <v>41</v>
      </c>
      <c r="BS33" t="s">
        <v>41</v>
      </c>
      <c r="BT33" t="s">
        <v>41</v>
      </c>
      <c r="BU33" t="s">
        <v>41</v>
      </c>
      <c r="BV33" t="s">
        <v>41</v>
      </c>
      <c r="BW33" t="s">
        <v>41</v>
      </c>
    </row>
    <row r="34" spans="1:75" x14ac:dyDescent="0.25">
      <c r="A34">
        <v>33</v>
      </c>
      <c r="B34" t="s">
        <v>70</v>
      </c>
      <c r="C34">
        <v>125.654640164078</v>
      </c>
      <c r="D34">
        <v>1072</v>
      </c>
      <c r="E34">
        <v>274</v>
      </c>
      <c r="F34">
        <v>171</v>
      </c>
      <c r="G34">
        <v>30</v>
      </c>
      <c r="H34">
        <v>1546</v>
      </c>
      <c r="I34">
        <v>171</v>
      </c>
      <c r="J34">
        <v>723</v>
      </c>
      <c r="K34">
        <v>967</v>
      </c>
      <c r="L34">
        <v>2</v>
      </c>
      <c r="M34">
        <v>723</v>
      </c>
      <c r="N34">
        <v>967</v>
      </c>
      <c r="O34">
        <v>46</v>
      </c>
      <c r="P34">
        <v>38</v>
      </c>
      <c r="Q34">
        <v>266</v>
      </c>
      <c r="R34">
        <v>10924.618619180899</v>
      </c>
      <c r="S34">
        <v>3022448.1933045699</v>
      </c>
      <c r="T34">
        <v>1546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t="s">
        <v>41</v>
      </c>
      <c r="AA34" t="s">
        <v>41</v>
      </c>
      <c r="AB34" t="s">
        <v>41</v>
      </c>
      <c r="AC34" t="s">
        <v>41</v>
      </c>
      <c r="AD34" t="s">
        <v>41</v>
      </c>
      <c r="AE34" t="s">
        <v>41</v>
      </c>
      <c r="AF34" t="s">
        <v>41</v>
      </c>
      <c r="AG34">
        <v>0</v>
      </c>
      <c r="AH34">
        <v>0</v>
      </c>
      <c r="AI34">
        <v>0</v>
      </c>
      <c r="AJ34">
        <v>0</v>
      </c>
      <c r="AK34">
        <v>12.303564738884599</v>
      </c>
      <c r="AL34">
        <v>0</v>
      </c>
      <c r="AM34">
        <v>0</v>
      </c>
      <c r="AN34" t="s">
        <v>41</v>
      </c>
      <c r="AO34" t="s">
        <v>41</v>
      </c>
      <c r="AP34" t="s">
        <v>41</v>
      </c>
      <c r="AQ34" t="s">
        <v>41</v>
      </c>
      <c r="AR34" t="s">
        <v>41</v>
      </c>
      <c r="AS34" t="s">
        <v>41</v>
      </c>
      <c r="AT34" t="s">
        <v>41</v>
      </c>
      <c r="AU34" t="s">
        <v>41</v>
      </c>
      <c r="AV34" t="s">
        <v>41</v>
      </c>
      <c r="AW34" t="s">
        <v>41</v>
      </c>
      <c r="AX34" t="s">
        <v>41</v>
      </c>
      <c r="AY34" t="s">
        <v>41</v>
      </c>
      <c r="AZ34" t="s">
        <v>41</v>
      </c>
      <c r="BA34" t="s">
        <v>41</v>
      </c>
      <c r="BB34" t="s">
        <v>41</v>
      </c>
      <c r="BC34" t="s">
        <v>41</v>
      </c>
      <c r="BD34" t="s">
        <v>41</v>
      </c>
      <c r="BE34" t="s">
        <v>41</v>
      </c>
      <c r="BF34" t="s">
        <v>41</v>
      </c>
      <c r="BG34" t="s">
        <v>41</v>
      </c>
      <c r="BH34" t="s">
        <v>41</v>
      </c>
      <c r="BI34" t="s">
        <v>41</v>
      </c>
      <c r="BJ34" t="s">
        <v>41</v>
      </c>
      <c r="BK34" t="s">
        <v>41</v>
      </c>
      <c r="BL34" t="s">
        <v>41</v>
      </c>
      <c r="BM34" t="s">
        <v>41</v>
      </c>
      <c r="BN34" t="s">
        <v>41</v>
      </c>
      <c r="BO34" t="s">
        <v>41</v>
      </c>
      <c r="BP34" t="s">
        <v>41</v>
      </c>
      <c r="BQ34" t="s">
        <v>41</v>
      </c>
      <c r="BR34" t="s">
        <v>41</v>
      </c>
      <c r="BS34" t="s">
        <v>41</v>
      </c>
      <c r="BT34" t="s">
        <v>41</v>
      </c>
      <c r="BU34" t="s">
        <v>41</v>
      </c>
      <c r="BV34" t="s">
        <v>41</v>
      </c>
      <c r="BW34" t="s">
        <v>41</v>
      </c>
    </row>
    <row r="35" spans="1:75" x14ac:dyDescent="0.25">
      <c r="A35">
        <v>34</v>
      </c>
      <c r="B35" t="s">
        <v>71</v>
      </c>
      <c r="C35">
        <v>568.15319837541301</v>
      </c>
      <c r="D35">
        <v>3386</v>
      </c>
      <c r="E35">
        <v>407</v>
      </c>
      <c r="F35">
        <v>653</v>
      </c>
      <c r="G35">
        <v>220</v>
      </c>
      <c r="H35">
        <v>4668</v>
      </c>
      <c r="I35">
        <v>738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134</v>
      </c>
      <c r="R35">
        <v>13670.0341886936</v>
      </c>
      <c r="S35">
        <v>10244131.0575174</v>
      </c>
      <c r="T35">
        <v>4668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t="s">
        <v>41</v>
      </c>
      <c r="AA35" t="s">
        <v>41</v>
      </c>
      <c r="AB35" t="s">
        <v>41</v>
      </c>
      <c r="AC35" t="s">
        <v>41</v>
      </c>
      <c r="AD35" t="s">
        <v>41</v>
      </c>
      <c r="AE35" t="s">
        <v>41</v>
      </c>
      <c r="AF35" t="s">
        <v>41</v>
      </c>
      <c r="AG35">
        <v>0</v>
      </c>
      <c r="AH35">
        <v>0</v>
      </c>
      <c r="AI35">
        <v>0</v>
      </c>
      <c r="AJ35">
        <v>0</v>
      </c>
      <c r="AK35">
        <v>8.2160938517071695</v>
      </c>
      <c r="AL35">
        <v>0</v>
      </c>
      <c r="AM35">
        <v>0</v>
      </c>
      <c r="AN35" t="s">
        <v>41</v>
      </c>
      <c r="AO35" t="s">
        <v>41</v>
      </c>
      <c r="AP35" t="s">
        <v>41</v>
      </c>
      <c r="AQ35" t="s">
        <v>41</v>
      </c>
      <c r="AR35" t="s">
        <v>41</v>
      </c>
      <c r="AS35" t="s">
        <v>41</v>
      </c>
      <c r="AT35" t="s">
        <v>41</v>
      </c>
      <c r="AU35" t="s">
        <v>41</v>
      </c>
      <c r="AV35" t="s">
        <v>41</v>
      </c>
      <c r="AW35" t="s">
        <v>41</v>
      </c>
      <c r="AX35" t="s">
        <v>41</v>
      </c>
      <c r="AY35" t="s">
        <v>41</v>
      </c>
      <c r="AZ35" t="s">
        <v>41</v>
      </c>
      <c r="BA35" t="s">
        <v>41</v>
      </c>
      <c r="BB35" t="s">
        <v>41</v>
      </c>
      <c r="BC35" t="s">
        <v>41</v>
      </c>
      <c r="BD35" t="s">
        <v>41</v>
      </c>
      <c r="BE35" t="s">
        <v>41</v>
      </c>
      <c r="BF35" t="s">
        <v>41</v>
      </c>
      <c r="BG35" t="s">
        <v>41</v>
      </c>
      <c r="BH35" t="s">
        <v>41</v>
      </c>
      <c r="BI35" t="s">
        <v>41</v>
      </c>
      <c r="BJ35" t="s">
        <v>41</v>
      </c>
      <c r="BK35" t="s">
        <v>41</v>
      </c>
      <c r="BL35" t="s">
        <v>41</v>
      </c>
      <c r="BM35" t="s">
        <v>41</v>
      </c>
      <c r="BN35" t="s">
        <v>41</v>
      </c>
      <c r="BO35" t="s">
        <v>41</v>
      </c>
      <c r="BP35" t="s">
        <v>41</v>
      </c>
      <c r="BQ35" t="s">
        <v>41</v>
      </c>
      <c r="BR35" t="s">
        <v>41</v>
      </c>
      <c r="BS35" t="s">
        <v>41</v>
      </c>
      <c r="BT35" t="s">
        <v>41</v>
      </c>
      <c r="BU35" t="s">
        <v>41</v>
      </c>
      <c r="BV35" t="s">
        <v>41</v>
      </c>
      <c r="BW35" t="s">
        <v>41</v>
      </c>
    </row>
    <row r="36" spans="1:75" x14ac:dyDescent="0.25">
      <c r="A36">
        <v>35</v>
      </c>
      <c r="B36" t="s">
        <v>72</v>
      </c>
      <c r="C36">
        <v>507.34119053263998</v>
      </c>
      <c r="D36">
        <v>2165</v>
      </c>
      <c r="E36">
        <v>383</v>
      </c>
      <c r="F36">
        <v>711</v>
      </c>
      <c r="G36">
        <v>251</v>
      </c>
      <c r="H36">
        <v>3509</v>
      </c>
      <c r="I36">
        <v>470</v>
      </c>
      <c r="J36">
        <v>1044</v>
      </c>
      <c r="K36">
        <v>1610</v>
      </c>
      <c r="L36">
        <v>3</v>
      </c>
      <c r="M36">
        <v>1044</v>
      </c>
      <c r="N36">
        <v>1610</v>
      </c>
      <c r="O36">
        <v>73</v>
      </c>
      <c r="P36">
        <v>54.8</v>
      </c>
      <c r="Q36">
        <v>405</v>
      </c>
      <c r="R36">
        <v>47250.618534183101</v>
      </c>
      <c r="S36">
        <v>9414810.8343242891</v>
      </c>
      <c r="T36">
        <v>3509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t="s">
        <v>41</v>
      </c>
      <c r="AA36" t="s">
        <v>41</v>
      </c>
      <c r="AB36" t="s">
        <v>41</v>
      </c>
      <c r="AC36" t="s">
        <v>41</v>
      </c>
      <c r="AD36" t="s">
        <v>41</v>
      </c>
      <c r="AE36" t="s">
        <v>41</v>
      </c>
      <c r="AF36" t="s">
        <v>41</v>
      </c>
      <c r="AG36">
        <v>0</v>
      </c>
      <c r="AH36">
        <v>0</v>
      </c>
      <c r="AI36">
        <v>0</v>
      </c>
      <c r="AJ36">
        <v>0</v>
      </c>
      <c r="AK36">
        <v>6.9164500448229296</v>
      </c>
      <c r="AL36">
        <v>0</v>
      </c>
      <c r="AM36">
        <v>0</v>
      </c>
      <c r="AN36" t="s">
        <v>41</v>
      </c>
      <c r="AO36" t="s">
        <v>41</v>
      </c>
      <c r="AP36" t="s">
        <v>41</v>
      </c>
      <c r="AQ36" t="s">
        <v>41</v>
      </c>
      <c r="AR36" t="s">
        <v>41</v>
      </c>
      <c r="AS36" t="s">
        <v>41</v>
      </c>
      <c r="AT36" t="s">
        <v>41</v>
      </c>
      <c r="AU36" t="s">
        <v>41</v>
      </c>
      <c r="AV36" t="s">
        <v>41</v>
      </c>
      <c r="AW36" t="s">
        <v>41</v>
      </c>
      <c r="AX36" t="s">
        <v>41</v>
      </c>
      <c r="AY36" t="s">
        <v>41</v>
      </c>
      <c r="AZ36" t="s">
        <v>41</v>
      </c>
      <c r="BA36" t="s">
        <v>41</v>
      </c>
      <c r="BB36" t="s">
        <v>41</v>
      </c>
      <c r="BC36" t="s">
        <v>41</v>
      </c>
      <c r="BD36" t="s">
        <v>41</v>
      </c>
      <c r="BE36" t="s">
        <v>41</v>
      </c>
      <c r="BF36" t="s">
        <v>41</v>
      </c>
      <c r="BG36" t="s">
        <v>41</v>
      </c>
      <c r="BH36" t="s">
        <v>41</v>
      </c>
      <c r="BI36" t="s">
        <v>41</v>
      </c>
      <c r="BJ36" t="s">
        <v>41</v>
      </c>
      <c r="BK36" t="s">
        <v>41</v>
      </c>
      <c r="BL36" t="s">
        <v>41</v>
      </c>
      <c r="BM36" t="s">
        <v>41</v>
      </c>
      <c r="BN36" t="s">
        <v>41</v>
      </c>
      <c r="BO36" t="s">
        <v>41</v>
      </c>
      <c r="BP36" t="s">
        <v>41</v>
      </c>
      <c r="BQ36" t="s">
        <v>41</v>
      </c>
      <c r="BR36" t="s">
        <v>41</v>
      </c>
      <c r="BS36" t="s">
        <v>41</v>
      </c>
      <c r="BT36" t="s">
        <v>41</v>
      </c>
      <c r="BU36" t="s">
        <v>41</v>
      </c>
      <c r="BV36" t="s">
        <v>41</v>
      </c>
      <c r="BW36" t="s">
        <v>41</v>
      </c>
    </row>
    <row r="37" spans="1:75" x14ac:dyDescent="0.25">
      <c r="A37">
        <v>36</v>
      </c>
      <c r="B37" t="s">
        <v>73</v>
      </c>
      <c r="C37">
        <v>712.48653148448795</v>
      </c>
      <c r="D37">
        <v>6750</v>
      </c>
      <c r="E37">
        <v>561</v>
      </c>
      <c r="F37">
        <v>1021</v>
      </c>
      <c r="G37">
        <v>578</v>
      </c>
      <c r="H37">
        <v>8911</v>
      </c>
      <c r="I37">
        <v>1535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136</v>
      </c>
      <c r="R37">
        <v>17797.241375596699</v>
      </c>
      <c r="S37">
        <v>12796349.8406741</v>
      </c>
      <c r="T37">
        <v>8911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t="s">
        <v>41</v>
      </c>
      <c r="AA37" t="s">
        <v>41</v>
      </c>
      <c r="AB37" t="s">
        <v>41</v>
      </c>
      <c r="AC37" t="s">
        <v>41</v>
      </c>
      <c r="AD37" t="s">
        <v>41</v>
      </c>
      <c r="AE37" t="s">
        <v>41</v>
      </c>
      <c r="AF37" t="s">
        <v>41</v>
      </c>
      <c r="AG37">
        <v>0</v>
      </c>
      <c r="AH37">
        <v>0</v>
      </c>
      <c r="AI37">
        <v>0</v>
      </c>
      <c r="AJ37">
        <v>0</v>
      </c>
      <c r="AK37">
        <v>12.5069030869027</v>
      </c>
      <c r="AL37">
        <v>0</v>
      </c>
      <c r="AM37">
        <v>0</v>
      </c>
      <c r="AN37" t="s">
        <v>41</v>
      </c>
      <c r="AO37" t="s">
        <v>41</v>
      </c>
      <c r="AP37" t="s">
        <v>41</v>
      </c>
      <c r="AQ37" t="s">
        <v>41</v>
      </c>
      <c r="AR37" t="s">
        <v>41</v>
      </c>
      <c r="AS37" t="s">
        <v>41</v>
      </c>
      <c r="AT37" t="s">
        <v>41</v>
      </c>
      <c r="AU37" t="s">
        <v>41</v>
      </c>
      <c r="AV37" t="s">
        <v>41</v>
      </c>
      <c r="AW37" t="s">
        <v>41</v>
      </c>
      <c r="AX37" t="s">
        <v>41</v>
      </c>
      <c r="AY37" t="s">
        <v>41</v>
      </c>
      <c r="AZ37" t="s">
        <v>41</v>
      </c>
      <c r="BA37" t="s">
        <v>41</v>
      </c>
      <c r="BB37" t="s">
        <v>41</v>
      </c>
      <c r="BC37" t="s">
        <v>41</v>
      </c>
      <c r="BD37" t="s">
        <v>41</v>
      </c>
      <c r="BE37" t="s">
        <v>41</v>
      </c>
      <c r="BF37" t="s">
        <v>41</v>
      </c>
      <c r="BG37" t="s">
        <v>41</v>
      </c>
      <c r="BH37" t="s">
        <v>41</v>
      </c>
      <c r="BI37" t="s">
        <v>41</v>
      </c>
      <c r="BJ37" t="s">
        <v>41</v>
      </c>
      <c r="BK37" t="s">
        <v>41</v>
      </c>
      <c r="BL37" t="s">
        <v>41</v>
      </c>
      <c r="BM37" t="s">
        <v>41</v>
      </c>
      <c r="BN37" t="s">
        <v>41</v>
      </c>
      <c r="BO37" t="s">
        <v>41</v>
      </c>
      <c r="BP37" t="s">
        <v>41</v>
      </c>
      <c r="BQ37" t="s">
        <v>41</v>
      </c>
      <c r="BR37" t="s">
        <v>41</v>
      </c>
      <c r="BS37" t="s">
        <v>41</v>
      </c>
      <c r="BT37" t="s">
        <v>41</v>
      </c>
      <c r="BU37" t="s">
        <v>41</v>
      </c>
      <c r="BV37" t="s">
        <v>41</v>
      </c>
      <c r="BW37" t="s">
        <v>41</v>
      </c>
    </row>
    <row r="38" spans="1:75" x14ac:dyDescent="0.25">
      <c r="A38">
        <v>37</v>
      </c>
      <c r="B38" t="s">
        <v>74</v>
      </c>
      <c r="C38">
        <v>245.999581599897</v>
      </c>
      <c r="D38">
        <v>1889</v>
      </c>
      <c r="E38">
        <v>327</v>
      </c>
      <c r="F38">
        <v>592</v>
      </c>
      <c r="G38">
        <v>112</v>
      </c>
      <c r="H38">
        <v>2921</v>
      </c>
      <c r="I38">
        <v>450</v>
      </c>
      <c r="J38">
        <v>858</v>
      </c>
      <c r="K38">
        <v>1358</v>
      </c>
      <c r="L38">
        <v>2</v>
      </c>
      <c r="M38">
        <v>858</v>
      </c>
      <c r="N38">
        <v>1358</v>
      </c>
      <c r="O38">
        <v>78.8</v>
      </c>
      <c r="P38">
        <v>67</v>
      </c>
      <c r="Q38">
        <v>274</v>
      </c>
      <c r="R38">
        <v>17834.410959365301</v>
      </c>
      <c r="S38">
        <v>4484874.5418034298</v>
      </c>
      <c r="T38">
        <v>2921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t="s">
        <v>41</v>
      </c>
      <c r="AA38" t="s">
        <v>41</v>
      </c>
      <c r="AB38" t="s">
        <v>41</v>
      </c>
      <c r="AC38" t="s">
        <v>41</v>
      </c>
      <c r="AD38" t="s">
        <v>41</v>
      </c>
      <c r="AE38" t="s">
        <v>41</v>
      </c>
      <c r="AF38" t="s">
        <v>41</v>
      </c>
      <c r="AG38">
        <v>0</v>
      </c>
      <c r="AH38">
        <v>0</v>
      </c>
      <c r="AI38">
        <v>0</v>
      </c>
      <c r="AJ38">
        <v>0</v>
      </c>
      <c r="AK38">
        <v>11.874003935302699</v>
      </c>
      <c r="AL38">
        <v>0</v>
      </c>
      <c r="AM38">
        <v>0</v>
      </c>
      <c r="AN38" t="s">
        <v>41</v>
      </c>
      <c r="AO38" t="s">
        <v>41</v>
      </c>
      <c r="AP38" t="s">
        <v>41</v>
      </c>
      <c r="AQ38" t="s">
        <v>41</v>
      </c>
      <c r="AR38" t="s">
        <v>41</v>
      </c>
      <c r="AS38" t="s">
        <v>41</v>
      </c>
      <c r="AT38" t="s">
        <v>41</v>
      </c>
      <c r="AU38" t="s">
        <v>41</v>
      </c>
      <c r="AV38" t="s">
        <v>41</v>
      </c>
      <c r="AW38" t="s">
        <v>41</v>
      </c>
      <c r="AX38" t="s">
        <v>41</v>
      </c>
      <c r="AY38" t="s">
        <v>41</v>
      </c>
      <c r="AZ38" t="s">
        <v>41</v>
      </c>
      <c r="BA38" t="s">
        <v>41</v>
      </c>
      <c r="BB38" t="s">
        <v>41</v>
      </c>
      <c r="BC38" t="s">
        <v>41</v>
      </c>
      <c r="BD38" t="s">
        <v>41</v>
      </c>
      <c r="BE38" t="s">
        <v>41</v>
      </c>
      <c r="BF38" t="s">
        <v>41</v>
      </c>
      <c r="BG38" t="s">
        <v>41</v>
      </c>
      <c r="BH38" t="s">
        <v>41</v>
      </c>
      <c r="BI38" t="s">
        <v>41</v>
      </c>
      <c r="BJ38" t="s">
        <v>41</v>
      </c>
      <c r="BK38" t="s">
        <v>41</v>
      </c>
      <c r="BL38" t="s">
        <v>41</v>
      </c>
      <c r="BM38" t="s">
        <v>41</v>
      </c>
      <c r="BN38" t="s">
        <v>41</v>
      </c>
      <c r="BO38" t="s">
        <v>41</v>
      </c>
      <c r="BP38" t="s">
        <v>41</v>
      </c>
      <c r="BQ38" t="s">
        <v>41</v>
      </c>
      <c r="BR38" t="s">
        <v>41</v>
      </c>
      <c r="BS38" t="s">
        <v>41</v>
      </c>
      <c r="BT38" t="s">
        <v>41</v>
      </c>
      <c r="BU38" t="s">
        <v>41</v>
      </c>
      <c r="BV38" t="s">
        <v>41</v>
      </c>
      <c r="BW38" t="s">
        <v>41</v>
      </c>
    </row>
    <row r="39" spans="1:75" x14ac:dyDescent="0.25">
      <c r="A39">
        <v>38</v>
      </c>
      <c r="B39" t="s">
        <v>75</v>
      </c>
      <c r="C39">
        <v>28.6351422526966</v>
      </c>
      <c r="D39">
        <v>115</v>
      </c>
      <c r="E39">
        <v>5</v>
      </c>
      <c r="F39">
        <v>12</v>
      </c>
      <c r="G39">
        <v>2</v>
      </c>
      <c r="H39">
        <v>135</v>
      </c>
      <c r="I39">
        <v>18</v>
      </c>
      <c r="J39">
        <v>0</v>
      </c>
      <c r="K39">
        <v>34</v>
      </c>
      <c r="L39">
        <v>1</v>
      </c>
      <c r="M39">
        <v>0</v>
      </c>
      <c r="N39">
        <v>34</v>
      </c>
      <c r="O39">
        <v>100</v>
      </c>
      <c r="P39">
        <v>79.099999999999994</v>
      </c>
      <c r="Q39">
        <v>138</v>
      </c>
      <c r="R39">
        <v>3107.0439374591301</v>
      </c>
      <c r="S39">
        <v>516844.21327564301</v>
      </c>
      <c r="T39">
        <v>135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t="s">
        <v>41</v>
      </c>
      <c r="AA39" t="s">
        <v>41</v>
      </c>
      <c r="AB39" t="s">
        <v>41</v>
      </c>
      <c r="AC39" t="s">
        <v>41</v>
      </c>
      <c r="AD39" t="s">
        <v>41</v>
      </c>
      <c r="AE39" t="s">
        <v>41</v>
      </c>
      <c r="AF39" t="s">
        <v>41</v>
      </c>
      <c r="AG39">
        <v>0</v>
      </c>
      <c r="AH39">
        <v>0</v>
      </c>
      <c r="AI39">
        <v>0</v>
      </c>
      <c r="AJ39">
        <v>0</v>
      </c>
      <c r="AK39">
        <v>4.71448679418683</v>
      </c>
      <c r="AL39">
        <v>0</v>
      </c>
      <c r="AM39">
        <v>0</v>
      </c>
      <c r="AN39" t="s">
        <v>41</v>
      </c>
      <c r="AO39" t="s">
        <v>41</v>
      </c>
      <c r="AP39" t="s">
        <v>41</v>
      </c>
      <c r="AQ39" t="s">
        <v>41</v>
      </c>
      <c r="AR39" t="s">
        <v>41</v>
      </c>
      <c r="AS39" t="s">
        <v>41</v>
      </c>
      <c r="AT39" t="s">
        <v>41</v>
      </c>
      <c r="AU39" t="s">
        <v>41</v>
      </c>
      <c r="AV39" t="s">
        <v>41</v>
      </c>
      <c r="AW39" t="s">
        <v>41</v>
      </c>
      <c r="AX39" t="s">
        <v>41</v>
      </c>
      <c r="AY39" t="s">
        <v>41</v>
      </c>
      <c r="AZ39" t="s">
        <v>41</v>
      </c>
      <c r="BA39" t="s">
        <v>41</v>
      </c>
      <c r="BB39" t="s">
        <v>41</v>
      </c>
      <c r="BC39" t="s">
        <v>41</v>
      </c>
      <c r="BD39" t="s">
        <v>41</v>
      </c>
      <c r="BE39" t="s">
        <v>41</v>
      </c>
      <c r="BF39" t="s">
        <v>41</v>
      </c>
      <c r="BG39" t="s">
        <v>41</v>
      </c>
      <c r="BH39" t="s">
        <v>41</v>
      </c>
      <c r="BI39" t="s">
        <v>41</v>
      </c>
      <c r="BJ39" t="s">
        <v>41</v>
      </c>
      <c r="BK39" t="s">
        <v>41</v>
      </c>
      <c r="BL39" t="s">
        <v>41</v>
      </c>
      <c r="BM39" t="s">
        <v>41</v>
      </c>
      <c r="BN39" t="s">
        <v>41</v>
      </c>
      <c r="BO39" t="s">
        <v>41</v>
      </c>
      <c r="BP39" t="s">
        <v>41</v>
      </c>
      <c r="BQ39" t="s">
        <v>41</v>
      </c>
      <c r="BR39" t="s">
        <v>41</v>
      </c>
      <c r="BS39" t="s">
        <v>41</v>
      </c>
      <c r="BT39" t="s">
        <v>41</v>
      </c>
      <c r="BU39" t="s">
        <v>41</v>
      </c>
      <c r="BV39" t="s">
        <v>41</v>
      </c>
      <c r="BW39" t="s">
        <v>41</v>
      </c>
    </row>
    <row r="40" spans="1:75" x14ac:dyDescent="0.25">
      <c r="A40">
        <v>39</v>
      </c>
      <c r="B40" t="s">
        <v>76</v>
      </c>
      <c r="C40">
        <v>190.27735865033199</v>
      </c>
      <c r="D40">
        <v>2490</v>
      </c>
      <c r="E40">
        <v>350</v>
      </c>
      <c r="F40">
        <v>890</v>
      </c>
      <c r="G40">
        <v>1022</v>
      </c>
      <c r="H40">
        <v>5455</v>
      </c>
      <c r="I40">
        <v>671</v>
      </c>
      <c r="J40">
        <v>0</v>
      </c>
      <c r="K40">
        <v>466</v>
      </c>
      <c r="L40">
        <v>1</v>
      </c>
      <c r="M40">
        <v>0</v>
      </c>
      <c r="N40">
        <v>466</v>
      </c>
      <c r="O40">
        <v>100</v>
      </c>
      <c r="P40">
        <v>73.099999999999994</v>
      </c>
      <c r="Q40">
        <v>139</v>
      </c>
      <c r="R40">
        <v>34452.080392042801</v>
      </c>
      <c r="S40">
        <v>14168114.521837199</v>
      </c>
      <c r="T40">
        <v>5455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t="s">
        <v>41</v>
      </c>
      <c r="AA40" t="s">
        <v>41</v>
      </c>
      <c r="AB40" t="s">
        <v>41</v>
      </c>
      <c r="AC40" t="s">
        <v>41</v>
      </c>
      <c r="AD40" t="s">
        <v>41</v>
      </c>
      <c r="AE40" t="s">
        <v>41</v>
      </c>
      <c r="AF40" t="s">
        <v>41</v>
      </c>
      <c r="AG40">
        <v>0</v>
      </c>
      <c r="AH40">
        <v>0</v>
      </c>
      <c r="AI40">
        <v>0</v>
      </c>
      <c r="AJ40">
        <v>0</v>
      </c>
      <c r="AK40">
        <v>28.668676287568701</v>
      </c>
      <c r="AL40">
        <v>0</v>
      </c>
      <c r="AM40">
        <v>0</v>
      </c>
      <c r="AN40" t="s">
        <v>41</v>
      </c>
      <c r="AO40" t="s">
        <v>41</v>
      </c>
      <c r="AP40" t="s">
        <v>41</v>
      </c>
      <c r="AQ40" t="s">
        <v>41</v>
      </c>
      <c r="AR40" t="s">
        <v>41</v>
      </c>
      <c r="AS40" t="s">
        <v>41</v>
      </c>
      <c r="AT40" t="s">
        <v>41</v>
      </c>
      <c r="AU40" t="s">
        <v>41</v>
      </c>
      <c r="AV40" t="s">
        <v>41</v>
      </c>
      <c r="AW40" t="s">
        <v>41</v>
      </c>
      <c r="AX40" t="s">
        <v>41</v>
      </c>
      <c r="AY40" t="s">
        <v>41</v>
      </c>
      <c r="AZ40" t="s">
        <v>41</v>
      </c>
      <c r="BA40" t="s">
        <v>41</v>
      </c>
      <c r="BB40" t="s">
        <v>41</v>
      </c>
      <c r="BC40" t="s">
        <v>41</v>
      </c>
      <c r="BD40" t="s">
        <v>41</v>
      </c>
      <c r="BE40" t="s">
        <v>41</v>
      </c>
      <c r="BF40" t="s">
        <v>41</v>
      </c>
      <c r="BG40" t="s">
        <v>41</v>
      </c>
      <c r="BH40" t="s">
        <v>41</v>
      </c>
      <c r="BI40" t="s">
        <v>41</v>
      </c>
      <c r="BJ40" t="s">
        <v>41</v>
      </c>
      <c r="BK40" t="s">
        <v>41</v>
      </c>
      <c r="BL40" t="s">
        <v>41</v>
      </c>
      <c r="BM40" t="s">
        <v>41</v>
      </c>
      <c r="BN40" t="s">
        <v>41</v>
      </c>
      <c r="BO40" t="s">
        <v>41</v>
      </c>
      <c r="BP40" t="s">
        <v>41</v>
      </c>
      <c r="BQ40" t="s">
        <v>41</v>
      </c>
      <c r="BR40" t="s">
        <v>41</v>
      </c>
      <c r="BS40" t="s">
        <v>41</v>
      </c>
      <c r="BT40" t="s">
        <v>41</v>
      </c>
      <c r="BU40" t="s">
        <v>41</v>
      </c>
      <c r="BV40" t="s">
        <v>41</v>
      </c>
      <c r="BW40" t="s">
        <v>41</v>
      </c>
    </row>
    <row r="41" spans="1:75" x14ac:dyDescent="0.25">
      <c r="A41">
        <v>40</v>
      </c>
      <c r="B41" t="s">
        <v>44</v>
      </c>
      <c r="C41">
        <v>2768.84443917407</v>
      </c>
      <c r="D41">
        <v>12545</v>
      </c>
      <c r="E41">
        <v>3770</v>
      </c>
      <c r="F41">
        <v>2081</v>
      </c>
      <c r="G41">
        <v>1108</v>
      </c>
      <c r="H41">
        <v>19676</v>
      </c>
      <c r="I41">
        <v>1954</v>
      </c>
      <c r="J41">
        <v>30312</v>
      </c>
      <c r="K41">
        <v>34947</v>
      </c>
      <c r="L41">
        <v>3</v>
      </c>
      <c r="M41">
        <v>30312</v>
      </c>
      <c r="N41">
        <v>34947</v>
      </c>
      <c r="O41">
        <v>-600</v>
      </c>
      <c r="P41">
        <v>-403.4</v>
      </c>
      <c r="Q41">
        <v>420</v>
      </c>
      <c r="R41">
        <v>73043.267135187401</v>
      </c>
      <c r="S41">
        <v>49785570.199228004</v>
      </c>
      <c r="T41">
        <v>19676</v>
      </c>
      <c r="U41">
        <v>40.381</v>
      </c>
      <c r="V41">
        <v>95.745000000000005</v>
      </c>
      <c r="W41" s="32">
        <v>1.371</v>
      </c>
      <c r="X41">
        <v>10552</v>
      </c>
      <c r="Y41">
        <v>242</v>
      </c>
      <c r="Z41">
        <v>2121</v>
      </c>
      <c r="AA41">
        <v>1290</v>
      </c>
      <c r="AB41">
        <v>564</v>
      </c>
      <c r="AC41">
        <v>1246</v>
      </c>
      <c r="AD41">
        <v>4092</v>
      </c>
      <c r="AE41">
        <v>16016</v>
      </c>
      <c r="AF41">
        <v>15072</v>
      </c>
      <c r="AG41">
        <v>14749.160250000001</v>
      </c>
      <c r="AH41">
        <v>5.3268287809999997</v>
      </c>
      <c r="AI41">
        <v>20108</v>
      </c>
      <c r="AJ41">
        <v>19164</v>
      </c>
      <c r="AK41">
        <v>7.1062135964089004</v>
      </c>
      <c r="AL41">
        <v>5.3268287814679596</v>
      </c>
      <c r="AM41">
        <v>6.9212989104279403</v>
      </c>
      <c r="AN41">
        <v>3.6769419409427999</v>
      </c>
      <c r="AO41">
        <v>6.76</v>
      </c>
      <c r="AP41">
        <v>2</v>
      </c>
      <c r="AQ41">
        <v>6.78</v>
      </c>
      <c r="AR41">
        <v>128.102231348391</v>
      </c>
      <c r="AS41">
        <v>128.481232032854</v>
      </c>
      <c r="AT41">
        <v>0.46919687092304202</v>
      </c>
      <c r="AU41">
        <v>0.55746516585350003</v>
      </c>
      <c r="AV41">
        <v>0.666319400072097</v>
      </c>
      <c r="AW41">
        <v>5.2144303917884799E-2</v>
      </c>
      <c r="AX41">
        <v>0.134720973670482</v>
      </c>
      <c r="AY41">
        <v>0.293417587876319</v>
      </c>
      <c r="AZ41">
        <v>26.073294496818701</v>
      </c>
      <c r="BA41">
        <v>6.3070970405706701</v>
      </c>
      <c r="BB41">
        <v>6.2440260701649697</v>
      </c>
      <c r="BC41">
        <v>3.9132346692046802</v>
      </c>
      <c r="BD41">
        <v>2.4511124789681902</v>
      </c>
      <c r="BE41">
        <v>26.150464399727799</v>
      </c>
      <c r="BF41">
        <v>6.3257464649558797</v>
      </c>
      <c r="BG41">
        <v>6.2624890003063198</v>
      </c>
      <c r="BH41">
        <v>3.92477987666273</v>
      </c>
      <c r="BI41">
        <v>2.45835530908789</v>
      </c>
      <c r="BJ41">
        <v>12.2375306345275</v>
      </c>
      <c r="BK41">
        <v>18.940848914090498</v>
      </c>
      <c r="BL41">
        <v>30.486250671270501</v>
      </c>
      <c r="BM41">
        <v>16.901289895856699</v>
      </c>
      <c r="BN41">
        <v>25.094788299723302</v>
      </c>
      <c r="BO41">
        <v>41.048688574004899</v>
      </c>
      <c r="BP41">
        <v>12.201678069890299</v>
      </c>
      <c r="BQ41">
        <v>18.878186151089999</v>
      </c>
      <c r="BR41">
        <v>30.410069042604601</v>
      </c>
      <c r="BS41">
        <v>16.8517928466004</v>
      </c>
      <c r="BT41">
        <v>25.104440368026602</v>
      </c>
      <c r="BU41">
        <v>41.066401104246403</v>
      </c>
      <c r="BV41">
        <v>36.115899138352802</v>
      </c>
      <c r="BW41">
        <v>36.009362562723403</v>
      </c>
    </row>
    <row r="42" spans="1:75" x14ac:dyDescent="0.25">
      <c r="A42">
        <v>41</v>
      </c>
      <c r="B42" t="s">
        <v>45</v>
      </c>
      <c r="C42">
        <v>713.25120549181202</v>
      </c>
      <c r="D42">
        <v>9245</v>
      </c>
      <c r="E42">
        <v>1688</v>
      </c>
      <c r="F42">
        <v>1228</v>
      </c>
      <c r="G42">
        <v>443</v>
      </c>
      <c r="H42">
        <v>12604</v>
      </c>
      <c r="I42">
        <v>1425</v>
      </c>
      <c r="J42">
        <v>1927</v>
      </c>
      <c r="K42">
        <v>3386</v>
      </c>
      <c r="L42">
        <v>1</v>
      </c>
      <c r="M42">
        <v>1927</v>
      </c>
      <c r="N42">
        <v>3386</v>
      </c>
      <c r="O42">
        <v>60.1</v>
      </c>
      <c r="P42">
        <v>46.2</v>
      </c>
      <c r="Q42">
        <v>141</v>
      </c>
      <c r="R42">
        <v>20383.238992229599</v>
      </c>
      <c r="S42">
        <v>14016508.2142756</v>
      </c>
      <c r="T42">
        <v>12604</v>
      </c>
      <c r="U42">
        <v>17.242999999999999</v>
      </c>
      <c r="V42">
        <v>9.2769999999999992</v>
      </c>
      <c r="W42" s="32">
        <v>-0.46200000000000002</v>
      </c>
      <c r="X42">
        <v>8039</v>
      </c>
      <c r="Y42">
        <v>0</v>
      </c>
      <c r="Z42">
        <v>2254</v>
      </c>
      <c r="AA42">
        <v>679</v>
      </c>
      <c r="AB42">
        <v>181</v>
      </c>
      <c r="AC42">
        <v>273</v>
      </c>
      <c r="AD42">
        <v>1378</v>
      </c>
      <c r="AE42">
        <v>10583</v>
      </c>
      <c r="AF42">
        <v>6349</v>
      </c>
      <c r="AG42">
        <v>6298.0057500000003</v>
      </c>
      <c r="AH42">
        <v>8.8299966429999994</v>
      </c>
      <c r="AI42">
        <v>11961</v>
      </c>
      <c r="AJ42">
        <v>7727</v>
      </c>
      <c r="AK42">
        <v>17.6711934069695</v>
      </c>
      <c r="AL42">
        <v>8.8299966428480108</v>
      </c>
      <c r="AM42">
        <v>10.833490277344699</v>
      </c>
      <c r="AN42">
        <v>14.127144267534799</v>
      </c>
      <c r="AO42">
        <v>1034.98</v>
      </c>
      <c r="AP42">
        <v>2</v>
      </c>
      <c r="AQ42">
        <v>548.5</v>
      </c>
      <c r="AR42">
        <v>19612.906420259998</v>
      </c>
      <c r="AS42">
        <v>10394.0937713894</v>
      </c>
      <c r="AT42">
        <v>0.99344202876091003</v>
      </c>
      <c r="AU42">
        <v>1.1504353880882201</v>
      </c>
      <c r="AV42">
        <v>1.3311099410056999</v>
      </c>
      <c r="AW42">
        <v>0.48589162528514801</v>
      </c>
      <c r="AX42">
        <v>0.64759811758995001</v>
      </c>
      <c r="AY42">
        <v>0.84026613831520003</v>
      </c>
      <c r="AZ42">
        <v>8260.2197320881805</v>
      </c>
      <c r="BA42">
        <v>4659.2863416910704</v>
      </c>
      <c r="BB42">
        <v>2087.1898183629201</v>
      </c>
      <c r="BC42">
        <v>2072.9737960471598</v>
      </c>
      <c r="BD42">
        <v>1638.48484173513</v>
      </c>
      <c r="BE42">
        <v>4269.1922687291999</v>
      </c>
      <c r="BF42">
        <v>2353.9748217515798</v>
      </c>
      <c r="BG42">
        <v>1083.07223935193</v>
      </c>
      <c r="BH42">
        <v>1146.8387915466501</v>
      </c>
      <c r="BI42">
        <v>850.14338889626197</v>
      </c>
      <c r="BJ42">
        <v>2071.04307685091</v>
      </c>
      <c r="BK42">
        <v>1285.20333424465</v>
      </c>
      <c r="BL42">
        <v>2279.3473771710201</v>
      </c>
      <c r="BM42">
        <v>2349.52452417226</v>
      </c>
      <c r="BN42">
        <v>1529.9296110347</v>
      </c>
      <c r="BO42">
        <v>2519.3580523414798</v>
      </c>
      <c r="BP42">
        <v>4007.4413283414301</v>
      </c>
      <c r="BQ42">
        <v>3248.88721628333</v>
      </c>
      <c r="BR42">
        <v>3895.61180036721</v>
      </c>
      <c r="BS42">
        <v>4433.7054893123404</v>
      </c>
      <c r="BT42">
        <v>1403.3398956641799</v>
      </c>
      <c r="BU42">
        <v>2287.0530073186801</v>
      </c>
      <c r="BV42">
        <v>4843.2531586021296</v>
      </c>
      <c r="BW42">
        <v>9138.8699254148396</v>
      </c>
    </row>
    <row r="43" spans="1:75" x14ac:dyDescent="0.25">
      <c r="A43">
        <v>42</v>
      </c>
      <c r="B43" t="s">
        <v>46</v>
      </c>
      <c r="C43">
        <v>2837.17497040833</v>
      </c>
      <c r="D43">
        <v>18590</v>
      </c>
      <c r="E43">
        <v>3090</v>
      </c>
      <c r="F43">
        <v>3236</v>
      </c>
      <c r="G43">
        <v>2058</v>
      </c>
      <c r="H43">
        <v>26974</v>
      </c>
      <c r="I43">
        <v>3108</v>
      </c>
      <c r="J43">
        <v>53794</v>
      </c>
      <c r="K43">
        <v>57696</v>
      </c>
      <c r="L43">
        <v>3</v>
      </c>
      <c r="M43">
        <v>53794</v>
      </c>
      <c r="N43">
        <v>57696</v>
      </c>
      <c r="O43">
        <v>-568.9</v>
      </c>
      <c r="P43">
        <v>-970.599999999999</v>
      </c>
      <c r="Q43">
        <v>426</v>
      </c>
      <c r="R43">
        <v>70954.271961511695</v>
      </c>
      <c r="S43">
        <v>56209921.262685999</v>
      </c>
      <c r="T43">
        <v>26974</v>
      </c>
      <c r="U43">
        <v>39.74</v>
      </c>
      <c r="V43">
        <v>158.071</v>
      </c>
      <c r="W43" s="32">
        <v>2.9780000000000002</v>
      </c>
      <c r="X43">
        <v>13325</v>
      </c>
      <c r="Y43">
        <v>98</v>
      </c>
      <c r="Z43">
        <v>2370</v>
      </c>
      <c r="AA43">
        <v>1480</v>
      </c>
      <c r="AB43">
        <v>977</v>
      </c>
      <c r="AC43">
        <v>1086</v>
      </c>
      <c r="AD43">
        <v>6166</v>
      </c>
      <c r="AE43">
        <v>19239</v>
      </c>
      <c r="AF43">
        <v>14650</v>
      </c>
      <c r="AG43">
        <v>14515.035</v>
      </c>
      <c r="AH43">
        <v>5.1160168659999998</v>
      </c>
      <c r="AI43">
        <v>25405</v>
      </c>
      <c r="AJ43">
        <v>20816</v>
      </c>
      <c r="AK43">
        <v>9.5073445527110998</v>
      </c>
      <c r="AL43">
        <v>5.1160168658582696</v>
      </c>
      <c r="AM43">
        <v>7.3368756657979697</v>
      </c>
      <c r="AN43">
        <v>22.7758819837122</v>
      </c>
      <c r="AO43">
        <v>636.86</v>
      </c>
      <c r="AP43">
        <v>7</v>
      </c>
      <c r="AQ43">
        <v>632.24</v>
      </c>
      <c r="AR43">
        <v>12068.518795345601</v>
      </c>
      <c r="AS43">
        <v>11980.969637234701</v>
      </c>
      <c r="AT43">
        <v>0.51410701019423299</v>
      </c>
      <c r="AU43">
        <v>0.618619348321642</v>
      </c>
      <c r="AV43">
        <v>0.76473699297223696</v>
      </c>
      <c r="AW43">
        <v>5.6831951652254298E-2</v>
      </c>
      <c r="AX43">
        <v>0.156734434621674</v>
      </c>
      <c r="AY43">
        <v>0.34332255806241702</v>
      </c>
      <c r="AZ43">
        <v>2813.1940214740398</v>
      </c>
      <c r="BA43">
        <v>719.63020668884599</v>
      </c>
      <c r="BB43">
        <v>435.92168902215298</v>
      </c>
      <c r="BC43">
        <v>401.002523020767</v>
      </c>
      <c r="BD43">
        <v>270.68807787816098</v>
      </c>
      <c r="BE43">
        <v>2794.8853432749202</v>
      </c>
      <c r="BF43">
        <v>715.24208275020499</v>
      </c>
      <c r="BG43">
        <v>432.59708719890398</v>
      </c>
      <c r="BH43">
        <v>398.38698222952002</v>
      </c>
      <c r="BI43">
        <v>269.00299785183898</v>
      </c>
      <c r="BJ43">
        <v>1315.3541024103599</v>
      </c>
      <c r="BK43">
        <v>1064.2689251432701</v>
      </c>
      <c r="BL43">
        <v>1547.8990350823001</v>
      </c>
      <c r="BM43">
        <v>1523.9947126153199</v>
      </c>
      <c r="BN43">
        <v>1201.5601994020799</v>
      </c>
      <c r="BO43">
        <v>1771.62383436962</v>
      </c>
      <c r="BP43">
        <v>1324.2677635228499</v>
      </c>
      <c r="BQ43">
        <v>1074.3364229824699</v>
      </c>
      <c r="BR43">
        <v>1558.1761695551199</v>
      </c>
      <c r="BS43">
        <v>1535.5013769853799</v>
      </c>
      <c r="BT43">
        <v>1199.4508640321101</v>
      </c>
      <c r="BU43">
        <v>1767.75298872743</v>
      </c>
      <c r="BV43">
        <v>3234.5505032702299</v>
      </c>
      <c r="BW43">
        <v>3258.1865011905002</v>
      </c>
    </row>
    <row r="44" spans="1:75" x14ac:dyDescent="0.25">
      <c r="A44">
        <v>43</v>
      </c>
      <c r="B44" t="s">
        <v>77</v>
      </c>
      <c r="C44">
        <v>665.39807944466997</v>
      </c>
      <c r="D44">
        <v>9919</v>
      </c>
      <c r="E44">
        <v>1181</v>
      </c>
      <c r="F44">
        <v>1317</v>
      </c>
      <c r="G44">
        <v>447</v>
      </c>
      <c r="H44">
        <v>12864</v>
      </c>
      <c r="I44">
        <v>1559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143</v>
      </c>
      <c r="R44">
        <v>15520.415437196199</v>
      </c>
      <c r="S44">
        <v>12173802.8529504</v>
      </c>
      <c r="T44">
        <v>12864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t="s">
        <v>41</v>
      </c>
      <c r="AA44" t="s">
        <v>41</v>
      </c>
      <c r="AB44" t="s">
        <v>41</v>
      </c>
      <c r="AC44" t="s">
        <v>41</v>
      </c>
      <c r="AD44" t="s">
        <v>41</v>
      </c>
      <c r="AE44" t="s">
        <v>41</v>
      </c>
      <c r="AF44" t="s">
        <v>41</v>
      </c>
      <c r="AG44">
        <v>0</v>
      </c>
      <c r="AH44">
        <v>0</v>
      </c>
      <c r="AI44">
        <v>0</v>
      </c>
      <c r="AJ44">
        <v>0</v>
      </c>
      <c r="AK44">
        <v>19.332787991717701</v>
      </c>
      <c r="AL44">
        <v>0</v>
      </c>
      <c r="AM44">
        <v>0</v>
      </c>
      <c r="AN44" t="s">
        <v>41</v>
      </c>
      <c r="AO44" t="s">
        <v>41</v>
      </c>
      <c r="AP44" t="s">
        <v>41</v>
      </c>
      <c r="AQ44" t="s">
        <v>41</v>
      </c>
      <c r="AR44" t="s">
        <v>41</v>
      </c>
      <c r="AS44" t="s">
        <v>41</v>
      </c>
      <c r="AT44" t="s">
        <v>41</v>
      </c>
      <c r="AU44" t="s">
        <v>41</v>
      </c>
      <c r="AV44" t="s">
        <v>41</v>
      </c>
      <c r="AW44" t="s">
        <v>41</v>
      </c>
      <c r="AX44" t="s">
        <v>41</v>
      </c>
      <c r="AY44" t="s">
        <v>41</v>
      </c>
      <c r="AZ44" t="s">
        <v>41</v>
      </c>
      <c r="BA44" t="s">
        <v>41</v>
      </c>
      <c r="BB44" t="s">
        <v>41</v>
      </c>
      <c r="BC44" t="s">
        <v>41</v>
      </c>
      <c r="BD44" t="s">
        <v>41</v>
      </c>
      <c r="BE44" t="s">
        <v>41</v>
      </c>
      <c r="BF44" t="s">
        <v>41</v>
      </c>
      <c r="BG44" t="s">
        <v>41</v>
      </c>
      <c r="BH44" t="s">
        <v>41</v>
      </c>
      <c r="BI44" t="s">
        <v>41</v>
      </c>
      <c r="BJ44" t="s">
        <v>41</v>
      </c>
      <c r="BK44" t="s">
        <v>41</v>
      </c>
      <c r="BL44" t="s">
        <v>41</v>
      </c>
      <c r="BM44" t="s">
        <v>41</v>
      </c>
      <c r="BN44" t="s">
        <v>41</v>
      </c>
      <c r="BO44" t="s">
        <v>41</v>
      </c>
      <c r="BP44" t="s">
        <v>41</v>
      </c>
      <c r="BQ44" t="s">
        <v>41</v>
      </c>
      <c r="BR44" t="s">
        <v>41</v>
      </c>
      <c r="BS44" t="s">
        <v>41</v>
      </c>
      <c r="BT44" t="s">
        <v>41</v>
      </c>
      <c r="BU44" t="s">
        <v>41</v>
      </c>
      <c r="BV44" t="s">
        <v>41</v>
      </c>
      <c r="BW44" t="s">
        <v>41</v>
      </c>
    </row>
    <row r="45" spans="1:75" x14ac:dyDescent="0.25">
      <c r="A45">
        <v>44</v>
      </c>
      <c r="B45" t="s">
        <v>47</v>
      </c>
      <c r="C45">
        <v>1021.1072363282</v>
      </c>
      <c r="D45">
        <v>8891</v>
      </c>
      <c r="E45">
        <v>1276</v>
      </c>
      <c r="F45">
        <v>1774</v>
      </c>
      <c r="G45">
        <v>642</v>
      </c>
      <c r="H45">
        <v>12585</v>
      </c>
      <c r="I45">
        <v>2070</v>
      </c>
      <c r="J45">
        <v>1711</v>
      </c>
      <c r="K45">
        <v>3764</v>
      </c>
      <c r="L45">
        <v>6</v>
      </c>
      <c r="M45">
        <v>1711</v>
      </c>
      <c r="N45">
        <v>3764</v>
      </c>
      <c r="O45">
        <v>458</v>
      </c>
      <c r="P45">
        <v>384</v>
      </c>
      <c r="Q45">
        <v>864</v>
      </c>
      <c r="R45">
        <v>57984.013540441098</v>
      </c>
      <c r="S45">
        <v>21050422.1082693</v>
      </c>
      <c r="T45">
        <v>12585</v>
      </c>
      <c r="U45">
        <v>28.876999999999999</v>
      </c>
      <c r="V45">
        <v>10.39</v>
      </c>
      <c r="W45" s="32">
        <v>-0.64</v>
      </c>
      <c r="X45">
        <v>8346</v>
      </c>
      <c r="Y45">
        <v>0</v>
      </c>
      <c r="Z45">
        <v>836</v>
      </c>
      <c r="AA45">
        <v>712</v>
      </c>
      <c r="AB45">
        <v>3095</v>
      </c>
      <c r="AC45">
        <v>574</v>
      </c>
      <c r="AD45">
        <v>2814</v>
      </c>
      <c r="AE45">
        <v>13590</v>
      </c>
      <c r="AF45">
        <v>13357</v>
      </c>
      <c r="AG45">
        <v>10547.32425</v>
      </c>
      <c r="AH45">
        <v>10.32930125</v>
      </c>
      <c r="AI45">
        <v>16404</v>
      </c>
      <c r="AJ45">
        <v>16171</v>
      </c>
      <c r="AK45">
        <v>12.3248563444269</v>
      </c>
      <c r="AL45">
        <v>10.3293012474645</v>
      </c>
      <c r="AM45">
        <v>15.836730389013001</v>
      </c>
      <c r="AN45">
        <v>1.7764690145664901</v>
      </c>
      <c r="AO45">
        <v>0.91</v>
      </c>
      <c r="AP45">
        <v>1</v>
      </c>
      <c r="AQ45">
        <v>0.92</v>
      </c>
      <c r="AR45">
        <v>17.244531143052701</v>
      </c>
      <c r="AS45">
        <v>17.434031485283999</v>
      </c>
      <c r="AT45">
        <v>0.59709990024566595</v>
      </c>
      <c r="AU45">
        <v>0.84349435567855802</v>
      </c>
      <c r="AV45">
        <v>1.1185432672500599</v>
      </c>
      <c r="AW45">
        <v>7.26604908704757E-2</v>
      </c>
      <c r="AX45">
        <v>0.21101406216621399</v>
      </c>
      <c r="AY45">
        <v>0.46283957362174899</v>
      </c>
      <c r="AZ45">
        <v>5.3128040263745104</v>
      </c>
      <c r="BA45">
        <v>1.32908578646793</v>
      </c>
      <c r="BB45">
        <v>1.31579492860326</v>
      </c>
      <c r="BC45">
        <v>0.82551529326605899</v>
      </c>
      <c r="BD45">
        <v>0.51668573487675296</v>
      </c>
      <c r="BE45">
        <v>5.3711864882028104</v>
      </c>
      <c r="BF45">
        <v>1.3436911247807699</v>
      </c>
      <c r="BG45">
        <v>1.33025421353296</v>
      </c>
      <c r="BH45">
        <v>0.83458002832126099</v>
      </c>
      <c r="BI45">
        <v>0.52236231170439396</v>
      </c>
      <c r="BJ45">
        <v>2.5076460325326999</v>
      </c>
      <c r="BK45">
        <v>4.3349811368303897</v>
      </c>
      <c r="BL45">
        <v>7.22470363399884</v>
      </c>
      <c r="BM45">
        <v>4.4366459516935999</v>
      </c>
      <c r="BN45">
        <v>7.1698892382703798</v>
      </c>
      <c r="BO45">
        <v>12.291115485510201</v>
      </c>
      <c r="BP45">
        <v>2.48038901043995</v>
      </c>
      <c r="BQ45">
        <v>4.2826103615730302</v>
      </c>
      <c r="BR45">
        <v>7.15581112919301</v>
      </c>
      <c r="BS45">
        <v>4.38842153917519</v>
      </c>
      <c r="BT45">
        <v>7.17928238964</v>
      </c>
      <c r="BU45">
        <v>12.308352876758301</v>
      </c>
      <c r="BV45">
        <v>9.5029571476673702</v>
      </c>
      <c r="BW45">
        <v>9.3996641351927206</v>
      </c>
    </row>
    <row r="46" spans="1:75" x14ac:dyDescent="0.25">
      <c r="A46">
        <v>45</v>
      </c>
      <c r="B46" t="s">
        <v>48</v>
      </c>
      <c r="C46">
        <v>464.500666000303</v>
      </c>
      <c r="D46">
        <v>8371</v>
      </c>
      <c r="E46">
        <v>966</v>
      </c>
      <c r="F46">
        <v>1322</v>
      </c>
      <c r="G46">
        <v>841</v>
      </c>
      <c r="H46">
        <v>11708</v>
      </c>
      <c r="I46">
        <v>1738</v>
      </c>
      <c r="J46">
        <v>4019</v>
      </c>
      <c r="K46">
        <v>6242</v>
      </c>
      <c r="L46">
        <v>3</v>
      </c>
      <c r="M46">
        <v>4019</v>
      </c>
      <c r="N46">
        <v>6242</v>
      </c>
      <c r="O46">
        <v>106</v>
      </c>
      <c r="P46">
        <v>92</v>
      </c>
      <c r="Q46">
        <v>435</v>
      </c>
      <c r="R46">
        <v>56000.862242510702</v>
      </c>
      <c r="S46">
        <v>14862237.2077142</v>
      </c>
      <c r="T46">
        <v>11708</v>
      </c>
      <c r="U46">
        <v>24.523</v>
      </c>
      <c r="V46">
        <v>10.44</v>
      </c>
      <c r="W46" s="32">
        <v>-0.57399999999999995</v>
      </c>
      <c r="X46">
        <v>5345</v>
      </c>
      <c r="Y46">
        <v>1170</v>
      </c>
      <c r="Z46">
        <v>670</v>
      </c>
      <c r="AA46">
        <v>387</v>
      </c>
      <c r="AB46">
        <v>340</v>
      </c>
      <c r="AC46">
        <v>203</v>
      </c>
      <c r="AD46">
        <v>1685</v>
      </c>
      <c r="AE46">
        <v>8115</v>
      </c>
      <c r="AF46">
        <v>7983</v>
      </c>
      <c r="AG46">
        <v>8957.0257500000007</v>
      </c>
      <c r="AH46">
        <v>19.2831279</v>
      </c>
      <c r="AI46">
        <v>9800</v>
      </c>
      <c r="AJ46">
        <v>9668</v>
      </c>
      <c r="AK46">
        <v>25.2055612768321</v>
      </c>
      <c r="AL46">
        <v>19.283127895438</v>
      </c>
      <c r="AM46">
        <v>20.813748413427799</v>
      </c>
      <c r="AN46">
        <v>5.4808256918302201</v>
      </c>
      <c r="AO46">
        <v>25.71</v>
      </c>
      <c r="AP46">
        <v>1</v>
      </c>
      <c r="AQ46">
        <v>25.72</v>
      </c>
      <c r="AR46">
        <v>487.20537987679597</v>
      </c>
      <c r="AS46">
        <v>487.39488021902798</v>
      </c>
      <c r="AT46">
        <v>0.66674488782882602</v>
      </c>
      <c r="AU46">
        <v>0.94014710187911898</v>
      </c>
      <c r="AV46">
        <v>1.2645728588104199</v>
      </c>
      <c r="AW46">
        <v>0.10584072768688201</v>
      </c>
      <c r="AX46">
        <v>0.30263015627861001</v>
      </c>
      <c r="AY46">
        <v>0.60416090488433805</v>
      </c>
      <c r="AZ46">
        <v>167.300836139024</v>
      </c>
      <c r="BA46">
        <v>53.853570452004497</v>
      </c>
      <c r="BB46">
        <v>45.689047586054997</v>
      </c>
      <c r="BC46">
        <v>33.147000709300201</v>
      </c>
      <c r="BD46">
        <v>20.8787862183062</v>
      </c>
      <c r="BE46">
        <v>167.36590842068</v>
      </c>
      <c r="BF46">
        <v>53.874516998271297</v>
      </c>
      <c r="BG46">
        <v>45.706818510825897</v>
      </c>
      <c r="BH46">
        <v>33.159766628556497</v>
      </c>
      <c r="BI46">
        <v>20.886883152183302</v>
      </c>
      <c r="BJ46">
        <v>80.630226651391098</v>
      </c>
      <c r="BK46">
        <v>95.001546543306304</v>
      </c>
      <c r="BL46">
        <v>159.188775021282</v>
      </c>
      <c r="BM46">
        <v>238.934755809367</v>
      </c>
      <c r="BN46">
        <v>232.77689529428599</v>
      </c>
      <c r="BO46">
        <v>422.92334925082901</v>
      </c>
      <c r="BP46">
        <v>80.598877418633904</v>
      </c>
      <c r="BQ46">
        <v>94.958725593898194</v>
      </c>
      <c r="BR46">
        <v>159.13767997485701</v>
      </c>
      <c r="BS46">
        <v>238.84185738175799</v>
      </c>
      <c r="BT46">
        <v>232.794338698476</v>
      </c>
      <c r="BU46">
        <v>422.95535967745701</v>
      </c>
      <c r="BV46">
        <v>495.96204947066599</v>
      </c>
      <c r="BW46">
        <v>495.76921819171099</v>
      </c>
    </row>
    <row r="47" spans="1:75" x14ac:dyDescent="0.25">
      <c r="A47">
        <v>46</v>
      </c>
      <c r="B47" t="s">
        <v>78</v>
      </c>
      <c r="C47">
        <v>842.18229420125999</v>
      </c>
      <c r="D47">
        <v>14916</v>
      </c>
      <c r="E47">
        <v>1218</v>
      </c>
      <c r="F47">
        <v>2305</v>
      </c>
      <c r="G47">
        <v>749</v>
      </c>
      <c r="H47">
        <v>19586</v>
      </c>
      <c r="I47">
        <v>2956</v>
      </c>
      <c r="J47">
        <v>0</v>
      </c>
      <c r="K47">
        <v>3915</v>
      </c>
      <c r="L47">
        <v>3</v>
      </c>
      <c r="M47">
        <v>0</v>
      </c>
      <c r="N47">
        <v>3915</v>
      </c>
      <c r="O47">
        <v>300</v>
      </c>
      <c r="P47">
        <v>230</v>
      </c>
      <c r="Q47">
        <v>438</v>
      </c>
      <c r="R47">
        <v>49993.321007042599</v>
      </c>
      <c r="S47">
        <v>24485079.965087101</v>
      </c>
      <c r="T47">
        <v>19586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t="s">
        <v>41</v>
      </c>
      <c r="AA47" t="s">
        <v>41</v>
      </c>
      <c r="AB47" t="s">
        <v>41</v>
      </c>
      <c r="AC47" t="s">
        <v>41</v>
      </c>
      <c r="AD47" t="s">
        <v>41</v>
      </c>
      <c r="AE47" t="s">
        <v>41</v>
      </c>
      <c r="AF47" t="s">
        <v>41</v>
      </c>
      <c r="AG47">
        <v>0</v>
      </c>
      <c r="AH47">
        <v>0</v>
      </c>
      <c r="AI47">
        <v>0</v>
      </c>
      <c r="AJ47">
        <v>0</v>
      </c>
      <c r="AK47">
        <v>23.256247649537301</v>
      </c>
      <c r="AL47">
        <v>0</v>
      </c>
      <c r="AM47">
        <v>0</v>
      </c>
      <c r="AN47" t="s">
        <v>41</v>
      </c>
      <c r="AO47" t="s">
        <v>41</v>
      </c>
      <c r="AP47" t="s">
        <v>41</v>
      </c>
      <c r="AQ47" t="s">
        <v>41</v>
      </c>
      <c r="AR47" t="s">
        <v>41</v>
      </c>
      <c r="AS47" t="s">
        <v>41</v>
      </c>
      <c r="AT47" t="s">
        <v>41</v>
      </c>
      <c r="AU47" t="s">
        <v>41</v>
      </c>
      <c r="AV47" t="s">
        <v>41</v>
      </c>
      <c r="AW47" t="s">
        <v>41</v>
      </c>
      <c r="AX47" t="s">
        <v>41</v>
      </c>
      <c r="AY47" t="s">
        <v>41</v>
      </c>
      <c r="AZ47" t="s">
        <v>41</v>
      </c>
      <c r="BA47" t="s">
        <v>41</v>
      </c>
      <c r="BB47" t="s">
        <v>41</v>
      </c>
      <c r="BC47" t="s">
        <v>41</v>
      </c>
      <c r="BD47" t="s">
        <v>41</v>
      </c>
      <c r="BE47" t="s">
        <v>41</v>
      </c>
      <c r="BF47" t="s">
        <v>41</v>
      </c>
      <c r="BG47" t="s">
        <v>41</v>
      </c>
      <c r="BH47" t="s">
        <v>41</v>
      </c>
      <c r="BI47" t="s">
        <v>41</v>
      </c>
      <c r="BJ47" t="s">
        <v>41</v>
      </c>
      <c r="BK47" t="s">
        <v>41</v>
      </c>
      <c r="BL47" t="s">
        <v>41</v>
      </c>
      <c r="BM47" t="s">
        <v>41</v>
      </c>
      <c r="BN47" t="s">
        <v>41</v>
      </c>
      <c r="BO47" t="s">
        <v>41</v>
      </c>
      <c r="BP47" t="s">
        <v>41</v>
      </c>
      <c r="BQ47" t="s">
        <v>41</v>
      </c>
      <c r="BR47" t="s">
        <v>41</v>
      </c>
      <c r="BS47" t="s">
        <v>41</v>
      </c>
      <c r="BT47" t="s">
        <v>41</v>
      </c>
      <c r="BU47" t="s">
        <v>41</v>
      </c>
      <c r="BV47" t="s">
        <v>41</v>
      </c>
      <c r="BW47" t="s">
        <v>41</v>
      </c>
    </row>
    <row r="48" spans="1:75" x14ac:dyDescent="0.25">
      <c r="A48">
        <v>47</v>
      </c>
      <c r="B48" t="s">
        <v>79</v>
      </c>
      <c r="C48">
        <v>257.82588911729403</v>
      </c>
      <c r="D48">
        <v>4529</v>
      </c>
      <c r="E48">
        <v>447</v>
      </c>
      <c r="F48">
        <v>804</v>
      </c>
      <c r="G48">
        <v>299</v>
      </c>
      <c r="H48">
        <v>6080</v>
      </c>
      <c r="I48">
        <v>1091</v>
      </c>
      <c r="J48">
        <v>1843</v>
      </c>
      <c r="K48">
        <v>2570</v>
      </c>
      <c r="L48">
        <v>2</v>
      </c>
      <c r="M48">
        <v>1843</v>
      </c>
      <c r="N48">
        <v>2570</v>
      </c>
      <c r="O48">
        <v>119</v>
      </c>
      <c r="P48">
        <v>102</v>
      </c>
      <c r="Q48">
        <v>294</v>
      </c>
      <c r="R48">
        <v>33644.053392672802</v>
      </c>
      <c r="S48">
        <v>8089375.4113682602</v>
      </c>
      <c r="T48">
        <v>6080</v>
      </c>
      <c r="U48">
        <v>10.778</v>
      </c>
      <c r="V48">
        <v>7.04</v>
      </c>
      <c r="W48" s="32">
        <v>-0.34699999999999998</v>
      </c>
      <c r="X48">
        <v>3263</v>
      </c>
      <c r="Y48" t="s">
        <v>41</v>
      </c>
      <c r="Z48">
        <v>362</v>
      </c>
      <c r="AA48">
        <v>264</v>
      </c>
      <c r="AB48">
        <v>208</v>
      </c>
      <c r="AC48">
        <v>134</v>
      </c>
      <c r="AD48">
        <v>1306</v>
      </c>
      <c r="AE48">
        <v>4232</v>
      </c>
      <c r="AF48">
        <v>4028</v>
      </c>
      <c r="AG48">
        <v>3936.6644999999999</v>
      </c>
      <c r="AH48">
        <v>15.26869359</v>
      </c>
      <c r="AI48">
        <v>5538</v>
      </c>
      <c r="AJ48">
        <v>5334</v>
      </c>
      <c r="AK48">
        <v>23.581805616246601</v>
      </c>
      <c r="AL48">
        <v>15.268693588055701</v>
      </c>
      <c r="AM48">
        <v>20.688380124516399</v>
      </c>
      <c r="AN48" t="s">
        <v>41</v>
      </c>
      <c r="AO48" t="s">
        <v>41</v>
      </c>
      <c r="AP48" t="s">
        <v>41</v>
      </c>
      <c r="AQ48" t="s">
        <v>41</v>
      </c>
      <c r="AR48" t="s">
        <v>41</v>
      </c>
      <c r="AS48" t="s">
        <v>41</v>
      </c>
      <c r="AT48" t="s">
        <v>41</v>
      </c>
      <c r="AU48" t="s">
        <v>41</v>
      </c>
      <c r="AV48" t="s">
        <v>41</v>
      </c>
      <c r="AW48" t="s">
        <v>41</v>
      </c>
      <c r="AX48" t="s">
        <v>41</v>
      </c>
      <c r="AY48" t="s">
        <v>41</v>
      </c>
      <c r="AZ48" t="s">
        <v>41</v>
      </c>
      <c r="BA48" t="s">
        <v>41</v>
      </c>
      <c r="BB48" t="s">
        <v>41</v>
      </c>
      <c r="BC48" t="s">
        <v>41</v>
      </c>
      <c r="BD48" t="s">
        <v>41</v>
      </c>
      <c r="BE48" t="s">
        <v>41</v>
      </c>
      <c r="BF48" t="s">
        <v>41</v>
      </c>
      <c r="BG48" t="s">
        <v>41</v>
      </c>
      <c r="BH48" t="s">
        <v>41</v>
      </c>
      <c r="BI48" t="s">
        <v>41</v>
      </c>
      <c r="BJ48" t="s">
        <v>41</v>
      </c>
      <c r="BK48" t="s">
        <v>41</v>
      </c>
      <c r="BL48" t="s">
        <v>41</v>
      </c>
      <c r="BM48" t="s">
        <v>41</v>
      </c>
      <c r="BN48" t="s">
        <v>41</v>
      </c>
      <c r="BO48" t="s">
        <v>41</v>
      </c>
      <c r="BP48" t="s">
        <v>41</v>
      </c>
      <c r="BQ48" t="s">
        <v>41</v>
      </c>
      <c r="BR48" t="s">
        <v>41</v>
      </c>
      <c r="BS48" t="s">
        <v>41</v>
      </c>
      <c r="BT48" t="s">
        <v>41</v>
      </c>
      <c r="BU48" t="s">
        <v>41</v>
      </c>
      <c r="BV48" t="s">
        <v>41</v>
      </c>
      <c r="BW48" t="s">
        <v>41</v>
      </c>
    </row>
    <row r="49" spans="1:75" x14ac:dyDescent="0.25">
      <c r="A49">
        <v>48</v>
      </c>
      <c r="B49" t="s">
        <v>49</v>
      </c>
      <c r="C49">
        <v>5028.3203347819799</v>
      </c>
      <c r="D49">
        <v>61552</v>
      </c>
      <c r="E49">
        <v>9451</v>
      </c>
      <c r="F49">
        <v>8256</v>
      </c>
      <c r="G49">
        <v>6062</v>
      </c>
      <c r="H49">
        <v>86332</v>
      </c>
      <c r="I49">
        <v>8463</v>
      </c>
      <c r="J49">
        <v>14486</v>
      </c>
      <c r="K49">
        <v>25643</v>
      </c>
      <c r="L49">
        <v>7</v>
      </c>
      <c r="M49">
        <v>14486</v>
      </c>
      <c r="N49">
        <v>25643</v>
      </c>
      <c r="O49">
        <v>400.2</v>
      </c>
      <c r="P49">
        <v>322.8</v>
      </c>
      <c r="Q49">
        <v>1036</v>
      </c>
      <c r="R49">
        <v>178970.31786832199</v>
      </c>
      <c r="S49">
        <v>107023118.792293</v>
      </c>
      <c r="T49">
        <v>86332</v>
      </c>
      <c r="U49">
        <v>130.75899999999999</v>
      </c>
      <c r="V49">
        <v>70.254000000000005</v>
      </c>
      <c r="W49" s="32">
        <v>-0.46300000000000002</v>
      </c>
      <c r="X49">
        <v>53584</v>
      </c>
      <c r="Y49">
        <v>39</v>
      </c>
      <c r="Z49">
        <v>7920</v>
      </c>
      <c r="AA49">
        <v>2828</v>
      </c>
      <c r="AB49">
        <v>8555</v>
      </c>
      <c r="AC49">
        <v>1641</v>
      </c>
      <c r="AD49">
        <v>10372</v>
      </c>
      <c r="AE49">
        <v>74567</v>
      </c>
      <c r="AF49">
        <v>54657</v>
      </c>
      <c r="AG49">
        <v>47759.724750000001</v>
      </c>
      <c r="AH49">
        <v>9.4981468109999998</v>
      </c>
      <c r="AI49">
        <v>84939</v>
      </c>
      <c r="AJ49">
        <v>65029</v>
      </c>
      <c r="AK49">
        <v>17.169152769130999</v>
      </c>
      <c r="AL49">
        <v>9.49814681050362</v>
      </c>
      <c r="AM49">
        <v>12.932549175552699</v>
      </c>
      <c r="AN49">
        <v>67.150064000663804</v>
      </c>
      <c r="AO49">
        <v>2925.45</v>
      </c>
      <c r="AP49">
        <v>23</v>
      </c>
      <c r="AQ49">
        <v>1441.8799999999901</v>
      </c>
      <c r="AR49">
        <v>55437.377618069797</v>
      </c>
      <c r="AS49">
        <v>27323.675345653599</v>
      </c>
      <c r="AT49">
        <v>0.57477320795473796</v>
      </c>
      <c r="AU49">
        <v>0.70612543562184205</v>
      </c>
      <c r="AV49">
        <v>0.81313737060712699</v>
      </c>
      <c r="AW49">
        <v>4.7409433709538498E-2</v>
      </c>
      <c r="AX49">
        <v>0.12336101050933999</v>
      </c>
      <c r="AY49">
        <v>0.26657862621157002</v>
      </c>
      <c r="AZ49">
        <v>14079.08063352</v>
      </c>
      <c r="BA49">
        <v>2686.0666365858301</v>
      </c>
      <c r="BB49">
        <v>1628.38514843543</v>
      </c>
      <c r="BC49">
        <v>1505.56495650583</v>
      </c>
      <c r="BD49">
        <v>1012.18301541557</v>
      </c>
      <c r="BE49">
        <v>6967.0185441581598</v>
      </c>
      <c r="BF49">
        <v>1325.08127353176</v>
      </c>
      <c r="BG49">
        <v>821.67159299291404</v>
      </c>
      <c r="BH49">
        <v>776.77165578220502</v>
      </c>
      <c r="BI49">
        <v>506.20636922069798</v>
      </c>
      <c r="BJ49">
        <v>3337.0410652915102</v>
      </c>
      <c r="BK49">
        <v>2459.9874536853899</v>
      </c>
      <c r="BL49">
        <v>4289.1465623051699</v>
      </c>
      <c r="BM49">
        <v>6560.5814578684704</v>
      </c>
      <c r="BN49">
        <v>4638.3473807666296</v>
      </c>
      <c r="BO49">
        <v>7574.7733526248803</v>
      </c>
      <c r="BP49">
        <v>6764.4889503079103</v>
      </c>
      <c r="BQ49">
        <v>5992.3787862464696</v>
      </c>
      <c r="BR49">
        <v>7094.55934725315</v>
      </c>
      <c r="BS49">
        <v>13351.486008742701</v>
      </c>
      <c r="BT49">
        <v>3983.1962062181601</v>
      </c>
      <c r="BU49">
        <v>6372.5040951677902</v>
      </c>
      <c r="BV49">
        <v>13695.1879231289</v>
      </c>
      <c r="BW49">
        <v>27786.353586787802</v>
      </c>
    </row>
    <row r="50" spans="1:75" x14ac:dyDescent="0.25">
      <c r="A50">
        <v>49</v>
      </c>
      <c r="B50" t="s">
        <v>50</v>
      </c>
      <c r="C50">
        <v>5562.1631537970798</v>
      </c>
      <c r="D50">
        <v>36327</v>
      </c>
      <c r="E50">
        <v>12414</v>
      </c>
      <c r="F50">
        <v>9124</v>
      </c>
      <c r="G50">
        <v>9139</v>
      </c>
      <c r="H50">
        <v>67005</v>
      </c>
      <c r="I50">
        <v>8505</v>
      </c>
      <c r="J50">
        <v>5685</v>
      </c>
      <c r="K50">
        <v>15440</v>
      </c>
      <c r="L50">
        <v>10</v>
      </c>
      <c r="M50">
        <v>5685</v>
      </c>
      <c r="N50">
        <v>15440</v>
      </c>
      <c r="O50">
        <v>680</v>
      </c>
      <c r="P50">
        <v>478</v>
      </c>
      <c r="Q50">
        <v>1490</v>
      </c>
      <c r="R50">
        <v>203297.03735375899</v>
      </c>
      <c r="S50">
        <v>149790023.59567401</v>
      </c>
      <c r="T50">
        <v>67005</v>
      </c>
      <c r="U50">
        <v>90.866</v>
      </c>
      <c r="V50">
        <v>42.3</v>
      </c>
      <c r="W50" s="32">
        <v>-0.53400000000000003</v>
      </c>
      <c r="X50">
        <v>27063</v>
      </c>
      <c r="Y50">
        <v>164</v>
      </c>
      <c r="Z50">
        <v>4184</v>
      </c>
      <c r="AA50">
        <v>4575</v>
      </c>
      <c r="AB50">
        <v>10230</v>
      </c>
      <c r="AC50">
        <v>2102</v>
      </c>
      <c r="AD50">
        <v>19845</v>
      </c>
      <c r="AE50">
        <v>48319</v>
      </c>
      <c r="AF50">
        <v>40233</v>
      </c>
      <c r="AG50">
        <v>33188.806499999999</v>
      </c>
      <c r="AH50">
        <v>5.9668883460000002</v>
      </c>
      <c r="AI50">
        <v>68164</v>
      </c>
      <c r="AJ50">
        <v>60078</v>
      </c>
      <c r="AK50">
        <v>12.046572196333001</v>
      </c>
      <c r="AL50">
        <v>5.9668883458305597</v>
      </c>
      <c r="AM50">
        <v>10.8011934096156</v>
      </c>
      <c r="AN50">
        <v>17.088560953221599</v>
      </c>
      <c r="AO50">
        <v>5664.47</v>
      </c>
      <c r="AP50">
        <v>7</v>
      </c>
      <c r="AQ50">
        <v>1388.37</v>
      </c>
      <c r="AR50">
        <v>107341.90035592001</v>
      </c>
      <c r="AS50">
        <v>26309.659014373701</v>
      </c>
      <c r="AT50">
        <v>0.63019045761653303</v>
      </c>
      <c r="AU50">
        <v>0.70656925439834595</v>
      </c>
      <c r="AV50">
        <v>0.79232035364423403</v>
      </c>
      <c r="AW50">
        <v>0.105648781039885</v>
      </c>
      <c r="AX50">
        <v>0.209527609603745</v>
      </c>
      <c r="AY50">
        <v>0.39360308221408202</v>
      </c>
      <c r="AZ50">
        <v>27508.7697892756</v>
      </c>
      <c r="BA50">
        <v>7492.2142482892896</v>
      </c>
      <c r="BB50">
        <v>2901.5729811605402</v>
      </c>
      <c r="BC50">
        <v>2498.8593448946199</v>
      </c>
      <c r="BD50">
        <v>2388.2867790893702</v>
      </c>
      <c r="BE50">
        <v>6659.2417307837004</v>
      </c>
      <c r="BF50">
        <v>1659.11793212766</v>
      </c>
      <c r="BG50">
        <v>697.14145732959196</v>
      </c>
      <c r="BH50">
        <v>787.91845167957501</v>
      </c>
      <c r="BI50">
        <v>593.41349039884096</v>
      </c>
      <c r="BJ50">
        <v>3131.1039662296398</v>
      </c>
      <c r="BK50">
        <v>1504.0670561361701</v>
      </c>
      <c r="BL50">
        <v>2314.3102711185102</v>
      </c>
      <c r="BM50">
        <v>3894.9805587910801</v>
      </c>
      <c r="BN50">
        <v>2024.33417262785</v>
      </c>
      <c r="BO50">
        <v>2682.11747602696</v>
      </c>
      <c r="BP50">
        <v>12978.428652926499</v>
      </c>
      <c r="BQ50">
        <v>13630.2301908796</v>
      </c>
      <c r="BR50">
        <v>6829.7281365131203</v>
      </c>
      <c r="BS50">
        <v>15945.2745054797</v>
      </c>
      <c r="BT50">
        <v>1700.46226469724</v>
      </c>
      <c r="BU50">
        <v>2087.7794768204199</v>
      </c>
      <c r="BV50">
        <v>8284.2487727007792</v>
      </c>
      <c r="BW50">
        <v>33799.260028306802</v>
      </c>
    </row>
    <row r="51" spans="1:75" x14ac:dyDescent="0.25">
      <c r="A51">
        <v>50</v>
      </c>
      <c r="B51" t="s">
        <v>51</v>
      </c>
      <c r="C51">
        <v>11077.5731120075</v>
      </c>
      <c r="D51" t="s">
        <v>41</v>
      </c>
      <c r="E51" t="s">
        <v>41</v>
      </c>
      <c r="F51" t="s">
        <v>41</v>
      </c>
      <c r="G51" t="s">
        <v>41</v>
      </c>
      <c r="H51" t="s">
        <v>41</v>
      </c>
      <c r="I51" t="s">
        <v>41</v>
      </c>
      <c r="J51" t="s">
        <v>41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Q51" t="s">
        <v>41</v>
      </c>
      <c r="R51" t="s">
        <v>41</v>
      </c>
      <c r="S51" t="s">
        <v>41</v>
      </c>
      <c r="T51" t="s">
        <v>41</v>
      </c>
      <c r="U51">
        <v>129.47999999999999</v>
      </c>
      <c r="V51">
        <v>80.58</v>
      </c>
      <c r="W51" s="32">
        <v>-0.378</v>
      </c>
      <c r="X51">
        <v>18199</v>
      </c>
      <c r="Y51">
        <v>8242</v>
      </c>
      <c r="Z51">
        <v>10870</v>
      </c>
      <c r="AA51">
        <v>4683</v>
      </c>
      <c r="AB51">
        <v>8836</v>
      </c>
      <c r="AC51">
        <v>4125</v>
      </c>
      <c r="AD51">
        <v>21694</v>
      </c>
      <c r="AE51">
        <v>54954</v>
      </c>
      <c r="AF51">
        <v>51489</v>
      </c>
      <c r="AG51">
        <v>47292.57</v>
      </c>
      <c r="AH51">
        <v>4.2692175910000003</v>
      </c>
      <c r="AI51">
        <v>76648</v>
      </c>
      <c r="AJ51">
        <v>73183</v>
      </c>
      <c r="AK51" t="s">
        <v>41</v>
      </c>
      <c r="AL51">
        <v>4.2692175914178403</v>
      </c>
      <c r="AM51">
        <v>6.6064109223231497</v>
      </c>
      <c r="AN51">
        <v>596.75255233815199</v>
      </c>
      <c r="AO51">
        <v>17068.810000000001</v>
      </c>
      <c r="AP51">
        <v>95</v>
      </c>
      <c r="AQ51">
        <v>7145.17</v>
      </c>
      <c r="AR51">
        <v>323454.53364818601</v>
      </c>
      <c r="AS51">
        <v>135401.21603011599</v>
      </c>
      <c r="AT51">
        <v>0.51293338505845298</v>
      </c>
      <c r="AU51">
        <v>0.592261812247728</v>
      </c>
      <c r="AV51">
        <v>0.68966294527053795</v>
      </c>
      <c r="AW51">
        <v>4.0486326862714701E-2</v>
      </c>
      <c r="AX51">
        <v>8.3578828918306397E-2</v>
      </c>
      <c r="AY51">
        <v>0.20781999583307001</v>
      </c>
      <c r="AZ51">
        <v>67906.954937104194</v>
      </c>
      <c r="BA51">
        <v>8697.0379832574308</v>
      </c>
      <c r="BB51">
        <v>5880.16283631852</v>
      </c>
      <c r="BC51">
        <v>4904.6446116348197</v>
      </c>
      <c r="BD51">
        <v>3275.2900063785501</v>
      </c>
      <c r="BE51">
        <v>28334.6748627985</v>
      </c>
      <c r="BF51">
        <v>3739.6606030707399</v>
      </c>
      <c r="BG51">
        <v>2763.5577093614002</v>
      </c>
      <c r="BH51">
        <v>2231.33255019634</v>
      </c>
      <c r="BI51">
        <v>1435.6198722186</v>
      </c>
      <c r="BJ51">
        <v>13805.4571468511</v>
      </c>
      <c r="BK51">
        <v>10763.0800229956</v>
      </c>
      <c r="BL51">
        <v>18660.2008308974</v>
      </c>
      <c r="BM51">
        <v>14854.485792461501</v>
      </c>
      <c r="BN51">
        <v>12485.1845674591</v>
      </c>
      <c r="BO51">
        <v>19549.274417721401</v>
      </c>
      <c r="BP51">
        <v>32918.0390232188</v>
      </c>
      <c r="BQ51">
        <v>32938.440165649401</v>
      </c>
      <c r="BR51">
        <v>33493.670244565597</v>
      </c>
      <c r="BS51">
        <v>35313.317522691599</v>
      </c>
      <c r="BT51">
        <v>11226.2022688627</v>
      </c>
      <c r="BU51">
        <v>17238.913432215501</v>
      </c>
      <c r="BV51">
        <v>30504.285457671001</v>
      </c>
      <c r="BW51">
        <v>72870.4639165689</v>
      </c>
    </row>
    <row r="52" spans="1:75" x14ac:dyDescent="0.25">
      <c r="A52">
        <v>51</v>
      </c>
      <c r="B52" t="s">
        <v>80</v>
      </c>
      <c r="C52">
        <v>4495.8012948836003</v>
      </c>
      <c r="D52">
        <v>15346</v>
      </c>
      <c r="E52">
        <v>1610</v>
      </c>
      <c r="F52">
        <v>4774</v>
      </c>
      <c r="G52">
        <v>2772</v>
      </c>
      <c r="H52">
        <v>24623</v>
      </c>
      <c r="I52">
        <v>5055</v>
      </c>
      <c r="J52">
        <v>10140</v>
      </c>
      <c r="K52">
        <v>19210</v>
      </c>
      <c r="L52">
        <v>7</v>
      </c>
      <c r="M52">
        <v>10140</v>
      </c>
      <c r="N52">
        <v>19210</v>
      </c>
      <c r="O52">
        <v>370.1</v>
      </c>
      <c r="P52">
        <v>290.89999999999998</v>
      </c>
      <c r="Q52">
        <v>1050</v>
      </c>
      <c r="R52">
        <v>154374.932149453</v>
      </c>
      <c r="S52">
        <v>130216485.797327</v>
      </c>
      <c r="T52">
        <v>24623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t="s">
        <v>41</v>
      </c>
      <c r="AA52" t="s">
        <v>41</v>
      </c>
      <c r="AB52" t="s">
        <v>41</v>
      </c>
      <c r="AC52" t="s">
        <v>41</v>
      </c>
      <c r="AD52" t="s">
        <v>41</v>
      </c>
      <c r="AE52" t="s">
        <v>41</v>
      </c>
      <c r="AF52" t="s">
        <v>41</v>
      </c>
      <c r="AG52">
        <v>0</v>
      </c>
      <c r="AH52">
        <v>0</v>
      </c>
      <c r="AI52">
        <v>0</v>
      </c>
      <c r="AJ52">
        <v>0</v>
      </c>
      <c r="AK52">
        <v>5.4768879638924304</v>
      </c>
      <c r="AL52">
        <v>0</v>
      </c>
      <c r="AM52">
        <v>0</v>
      </c>
      <c r="AN52" t="s">
        <v>41</v>
      </c>
      <c r="AO52" t="s">
        <v>41</v>
      </c>
      <c r="AP52" t="s">
        <v>41</v>
      </c>
      <c r="AQ52" t="s">
        <v>41</v>
      </c>
      <c r="AR52" t="s">
        <v>41</v>
      </c>
      <c r="AS52" t="s">
        <v>41</v>
      </c>
      <c r="AT52" t="s">
        <v>41</v>
      </c>
      <c r="AU52" t="s">
        <v>41</v>
      </c>
      <c r="AV52" t="s">
        <v>41</v>
      </c>
      <c r="AW52" t="s">
        <v>41</v>
      </c>
      <c r="AX52" t="s">
        <v>41</v>
      </c>
      <c r="AY52" t="s">
        <v>41</v>
      </c>
      <c r="AZ52" t="s">
        <v>41</v>
      </c>
      <c r="BA52" t="s">
        <v>41</v>
      </c>
      <c r="BB52" t="s">
        <v>41</v>
      </c>
      <c r="BC52" t="s">
        <v>41</v>
      </c>
      <c r="BD52" t="s">
        <v>41</v>
      </c>
      <c r="BE52" t="s">
        <v>41</v>
      </c>
      <c r="BF52" t="s">
        <v>41</v>
      </c>
      <c r="BG52" t="s">
        <v>41</v>
      </c>
      <c r="BH52" t="s">
        <v>41</v>
      </c>
      <c r="BI52" t="s">
        <v>41</v>
      </c>
      <c r="BJ52" t="s">
        <v>41</v>
      </c>
      <c r="BK52" t="s">
        <v>41</v>
      </c>
      <c r="BL52" t="s">
        <v>41</v>
      </c>
      <c r="BM52" t="s">
        <v>41</v>
      </c>
      <c r="BN52" t="s">
        <v>41</v>
      </c>
      <c r="BO52" t="s">
        <v>41</v>
      </c>
      <c r="BP52" t="s">
        <v>41</v>
      </c>
      <c r="BQ52" t="s">
        <v>41</v>
      </c>
      <c r="BR52" t="s">
        <v>41</v>
      </c>
      <c r="BS52" t="s">
        <v>41</v>
      </c>
      <c r="BT52" t="s">
        <v>41</v>
      </c>
      <c r="BU52" t="s">
        <v>41</v>
      </c>
      <c r="BV52" t="s">
        <v>41</v>
      </c>
      <c r="BW52" t="s">
        <v>41</v>
      </c>
    </row>
    <row r="53" spans="1:75" x14ac:dyDescent="0.25">
      <c r="A53">
        <v>52</v>
      </c>
      <c r="B53" t="s">
        <v>81</v>
      </c>
      <c r="C53">
        <v>685.32708042688898</v>
      </c>
      <c r="D53">
        <v>9222</v>
      </c>
      <c r="E53">
        <v>438</v>
      </c>
      <c r="F53">
        <v>955</v>
      </c>
      <c r="G53">
        <v>196</v>
      </c>
      <c r="H53">
        <v>10812</v>
      </c>
      <c r="I53">
        <v>873</v>
      </c>
      <c r="J53">
        <v>2096</v>
      </c>
      <c r="K53">
        <v>6763</v>
      </c>
      <c r="L53">
        <v>6</v>
      </c>
      <c r="M53">
        <v>2096</v>
      </c>
      <c r="N53">
        <v>6763</v>
      </c>
      <c r="O53">
        <v>275</v>
      </c>
      <c r="P53">
        <v>284</v>
      </c>
      <c r="Q53">
        <v>906</v>
      </c>
      <c r="R53">
        <v>73623.203380539198</v>
      </c>
      <c r="S53">
        <v>13623201.4403094</v>
      </c>
      <c r="T53">
        <v>10812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t="s">
        <v>41</v>
      </c>
      <c r="AA53" t="s">
        <v>41</v>
      </c>
      <c r="AB53" t="s">
        <v>41</v>
      </c>
      <c r="AC53" t="s">
        <v>41</v>
      </c>
      <c r="AD53" t="s">
        <v>41</v>
      </c>
      <c r="AE53" t="s">
        <v>41</v>
      </c>
      <c r="AF53" t="s">
        <v>41</v>
      </c>
      <c r="AG53">
        <v>0</v>
      </c>
      <c r="AH53">
        <v>0</v>
      </c>
      <c r="AI53">
        <v>0</v>
      </c>
      <c r="AJ53">
        <v>0</v>
      </c>
      <c r="AK53">
        <v>15.7764085336671</v>
      </c>
      <c r="AL53">
        <v>0</v>
      </c>
      <c r="AM53">
        <v>0</v>
      </c>
      <c r="AN53" t="s">
        <v>41</v>
      </c>
      <c r="AO53" t="s">
        <v>41</v>
      </c>
      <c r="AP53" t="s">
        <v>41</v>
      </c>
      <c r="AQ53" t="s">
        <v>41</v>
      </c>
      <c r="AR53" t="s">
        <v>41</v>
      </c>
      <c r="AS53" t="s">
        <v>41</v>
      </c>
      <c r="AT53" t="s">
        <v>41</v>
      </c>
      <c r="AU53" t="s">
        <v>41</v>
      </c>
      <c r="AV53" t="s">
        <v>41</v>
      </c>
      <c r="AW53" t="s">
        <v>41</v>
      </c>
      <c r="AX53" t="s">
        <v>41</v>
      </c>
      <c r="AY53" t="s">
        <v>41</v>
      </c>
      <c r="AZ53" t="s">
        <v>41</v>
      </c>
      <c r="BA53" t="s">
        <v>41</v>
      </c>
      <c r="BB53" t="s">
        <v>41</v>
      </c>
      <c r="BC53" t="s">
        <v>41</v>
      </c>
      <c r="BD53" t="s">
        <v>41</v>
      </c>
      <c r="BE53" t="s">
        <v>41</v>
      </c>
      <c r="BF53" t="s">
        <v>41</v>
      </c>
      <c r="BG53" t="s">
        <v>41</v>
      </c>
      <c r="BH53" t="s">
        <v>41</v>
      </c>
      <c r="BI53" t="s">
        <v>41</v>
      </c>
      <c r="BJ53" t="s">
        <v>41</v>
      </c>
      <c r="BK53" t="s">
        <v>41</v>
      </c>
      <c r="BL53" t="s">
        <v>41</v>
      </c>
      <c r="BM53" t="s">
        <v>41</v>
      </c>
      <c r="BN53" t="s">
        <v>41</v>
      </c>
      <c r="BO53" t="s">
        <v>41</v>
      </c>
      <c r="BP53" t="s">
        <v>41</v>
      </c>
      <c r="BQ53" t="s">
        <v>41</v>
      </c>
      <c r="BR53" t="s">
        <v>41</v>
      </c>
      <c r="BS53" t="s">
        <v>41</v>
      </c>
      <c r="BT53" t="s">
        <v>41</v>
      </c>
      <c r="BU53" t="s">
        <v>41</v>
      </c>
      <c r="BV53" t="s">
        <v>41</v>
      </c>
      <c r="BW53" t="s">
        <v>41</v>
      </c>
    </row>
    <row r="54" spans="1:75" x14ac:dyDescent="0.25">
      <c r="A54">
        <v>53</v>
      </c>
      <c r="B54" t="s">
        <v>52</v>
      </c>
      <c r="C54">
        <v>862.21743388623304</v>
      </c>
      <c r="D54">
        <v>9720</v>
      </c>
      <c r="E54">
        <v>2110</v>
      </c>
      <c r="F54">
        <v>1474</v>
      </c>
      <c r="G54">
        <v>298</v>
      </c>
      <c r="H54">
        <v>13613</v>
      </c>
      <c r="I54">
        <v>1716</v>
      </c>
      <c r="J54">
        <v>3587</v>
      </c>
      <c r="K54">
        <v>5885</v>
      </c>
      <c r="L54">
        <v>2</v>
      </c>
      <c r="M54">
        <v>3587</v>
      </c>
      <c r="N54">
        <v>5885</v>
      </c>
      <c r="O54">
        <v>94.899999618500004</v>
      </c>
      <c r="P54">
        <v>69.199999809299996</v>
      </c>
      <c r="Q54">
        <v>304</v>
      </c>
      <c r="R54">
        <v>54050.621428380997</v>
      </c>
      <c r="S54">
        <v>16099678.24093</v>
      </c>
      <c r="T54">
        <v>13613</v>
      </c>
      <c r="U54">
        <v>23.658000000000001</v>
      </c>
      <c r="V54">
        <v>16.120999999999999</v>
      </c>
      <c r="W54" s="32">
        <v>-0.31900000000000001</v>
      </c>
      <c r="X54">
        <v>6782</v>
      </c>
      <c r="Y54">
        <v>0</v>
      </c>
      <c r="Z54">
        <v>1905</v>
      </c>
      <c r="AA54">
        <v>764</v>
      </c>
      <c r="AB54">
        <v>642</v>
      </c>
      <c r="AC54">
        <v>276</v>
      </c>
      <c r="AD54">
        <v>567</v>
      </c>
      <c r="AE54">
        <v>10370</v>
      </c>
      <c r="AF54">
        <v>9178</v>
      </c>
      <c r="AG54">
        <v>8641.0845000000008</v>
      </c>
      <c r="AH54">
        <v>10.02193201</v>
      </c>
      <c r="AI54">
        <v>10937</v>
      </c>
      <c r="AJ54">
        <v>9745</v>
      </c>
      <c r="AK54">
        <v>15.7883608762615</v>
      </c>
      <c r="AL54">
        <v>10.0219320097164</v>
      </c>
      <c r="AM54">
        <v>11.302253488516</v>
      </c>
      <c r="AN54">
        <v>4.57083754723081</v>
      </c>
      <c r="AO54">
        <v>159.38</v>
      </c>
      <c r="AP54">
        <v>1</v>
      </c>
      <c r="AQ54">
        <v>159.38999999999999</v>
      </c>
      <c r="AR54">
        <v>3020.2564544832298</v>
      </c>
      <c r="AS54">
        <v>3020.4459548254599</v>
      </c>
      <c r="AT54">
        <v>0.71357369422912598</v>
      </c>
      <c r="AU54">
        <v>0.78299278020858698</v>
      </c>
      <c r="AV54">
        <v>0.85858929157257002</v>
      </c>
      <c r="AW54">
        <v>0.195373490452766</v>
      </c>
      <c r="AX54">
        <v>0.31799224019050598</v>
      </c>
      <c r="AY54">
        <v>0.46480718255043002</v>
      </c>
      <c r="AZ54">
        <v>863.75744410670495</v>
      </c>
      <c r="BA54">
        <v>350.79271683647698</v>
      </c>
      <c r="BB54">
        <v>215.62711206300801</v>
      </c>
      <c r="BC54">
        <v>201.9376556181</v>
      </c>
      <c r="BD54">
        <v>133.29762618563799</v>
      </c>
      <c r="BE54">
        <v>863.81163895198802</v>
      </c>
      <c r="BF54">
        <v>350.81472666938203</v>
      </c>
      <c r="BG54">
        <v>215.640641182851</v>
      </c>
      <c r="BH54">
        <v>201.94935337489201</v>
      </c>
      <c r="BI54">
        <v>133.305797124576</v>
      </c>
      <c r="BJ54">
        <v>414.06367117275897</v>
      </c>
      <c r="BK54">
        <v>351.98370538615399</v>
      </c>
      <c r="BL54">
        <v>550.927628156624</v>
      </c>
      <c r="BM54">
        <v>765.70344256609997</v>
      </c>
      <c r="BN54">
        <v>562.07614712969303</v>
      </c>
      <c r="BO54">
        <v>929.83542615267299</v>
      </c>
      <c r="BP54">
        <v>414.03769315210701</v>
      </c>
      <c r="BQ54">
        <v>351.956720885469</v>
      </c>
      <c r="BR54">
        <v>550.90205783691397</v>
      </c>
      <c r="BS54">
        <v>765.65540294990296</v>
      </c>
      <c r="BT54">
        <v>562.08521143233497</v>
      </c>
      <c r="BU54">
        <v>929.85206007295005</v>
      </c>
      <c r="BV54">
        <v>1597.3957430287001</v>
      </c>
      <c r="BW54">
        <v>1597.2955237086001</v>
      </c>
    </row>
    <row r="55" spans="1:75" x14ac:dyDescent="0.25">
      <c r="A55">
        <v>54</v>
      </c>
      <c r="B55" t="s">
        <v>53</v>
      </c>
      <c r="C55">
        <v>43.314647061709401</v>
      </c>
      <c r="D55">
        <v>1063</v>
      </c>
      <c r="E55">
        <v>155</v>
      </c>
      <c r="F55">
        <v>118</v>
      </c>
      <c r="G55">
        <v>4</v>
      </c>
      <c r="H55">
        <v>1340</v>
      </c>
      <c r="I55">
        <v>152</v>
      </c>
      <c r="J55">
        <v>0</v>
      </c>
      <c r="K55">
        <v>241</v>
      </c>
      <c r="L55">
        <v>1</v>
      </c>
      <c r="M55">
        <v>0</v>
      </c>
      <c r="N55">
        <v>241</v>
      </c>
      <c r="O55">
        <v>100</v>
      </c>
      <c r="P55">
        <v>83</v>
      </c>
      <c r="Q55">
        <v>153</v>
      </c>
      <c r="R55">
        <v>4078.7518271285999</v>
      </c>
      <c r="S55">
        <v>876187.76873502799</v>
      </c>
      <c r="T55">
        <v>1340</v>
      </c>
      <c r="U55">
        <v>3.8660000000000001</v>
      </c>
      <c r="V55">
        <v>0.66</v>
      </c>
      <c r="W55" s="32">
        <v>-0.82899999999999996</v>
      </c>
      <c r="X55">
        <v>2281</v>
      </c>
      <c r="Y55">
        <v>0</v>
      </c>
      <c r="Z55">
        <v>223</v>
      </c>
      <c r="AA55">
        <v>98</v>
      </c>
      <c r="AB55">
        <v>0</v>
      </c>
      <c r="AC55">
        <v>22</v>
      </c>
      <c r="AD55">
        <v>253</v>
      </c>
      <c r="AE55">
        <v>958</v>
      </c>
      <c r="AF55">
        <v>671</v>
      </c>
      <c r="AG55">
        <v>1412.0564999999999</v>
      </c>
      <c r="AH55">
        <v>32.59997705</v>
      </c>
      <c r="AI55">
        <v>1211</v>
      </c>
      <c r="AJ55">
        <v>924</v>
      </c>
      <c r="AK55">
        <v>30.936417376111301</v>
      </c>
      <c r="AL55">
        <v>32.599977046754397</v>
      </c>
      <c r="AM55">
        <v>21.3322758623335</v>
      </c>
      <c r="AN55">
        <v>2.8409199447482001</v>
      </c>
      <c r="AO55">
        <v>6.99</v>
      </c>
      <c r="AP55">
        <v>1</v>
      </c>
      <c r="AQ55">
        <v>7</v>
      </c>
      <c r="AR55">
        <v>132.460739219712</v>
      </c>
      <c r="AS55">
        <v>132.65023956194301</v>
      </c>
      <c r="AT55">
        <v>0.86683547496795599</v>
      </c>
      <c r="AU55">
        <v>1.08986473083496</v>
      </c>
      <c r="AV55">
        <v>1.35913527011871</v>
      </c>
      <c r="AW55">
        <v>0.33934947848320002</v>
      </c>
      <c r="AX55">
        <v>0.56832903623580899</v>
      </c>
      <c r="AY55">
        <v>0.849986672401428</v>
      </c>
      <c r="AZ55">
        <v>52.729056153974497</v>
      </c>
      <c r="BA55">
        <v>27.496489075900001</v>
      </c>
      <c r="BB55">
        <v>23.3750104457161</v>
      </c>
      <c r="BC55">
        <v>16.926643922170602</v>
      </c>
      <c r="BD55">
        <v>10.660735124393099</v>
      </c>
      <c r="BE55">
        <v>52.804491141319197</v>
      </c>
      <c r="BF55">
        <v>27.535825970143001</v>
      </c>
      <c r="BG55">
        <v>23.408451090130502</v>
      </c>
      <c r="BH55">
        <v>16.950624726625801</v>
      </c>
      <c r="BI55">
        <v>10.6759421861964</v>
      </c>
      <c r="BJ55">
        <v>24.978990165457201</v>
      </c>
      <c r="BK55">
        <v>33.253254372819299</v>
      </c>
      <c r="BL55">
        <v>55.727777883880101</v>
      </c>
      <c r="BM55">
        <v>107.94918044110599</v>
      </c>
      <c r="BN55">
        <v>113.47023925381799</v>
      </c>
      <c r="BO55">
        <v>210.576305699199</v>
      </c>
      <c r="BP55">
        <v>24.943305893792299</v>
      </c>
      <c r="BQ55">
        <v>33.198932121247097</v>
      </c>
      <c r="BR55">
        <v>55.660677768820101</v>
      </c>
      <c r="BS55">
        <v>107.79496732619</v>
      </c>
      <c r="BT55">
        <v>113.49974434837701</v>
      </c>
      <c r="BU55">
        <v>210.63045055843901</v>
      </c>
      <c r="BV55">
        <v>228.19983932728101</v>
      </c>
      <c r="BW55">
        <v>227.87383955681301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2066-6D79-4185-9B87-F95B7952C047}">
  <dimension ref="A1:AE27"/>
  <sheetViews>
    <sheetView workbookViewId="0">
      <selection activeCell="AC28" sqref="AC28"/>
    </sheetView>
  </sheetViews>
  <sheetFormatPr defaultRowHeight="13.2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3</v>
      </c>
      <c r="G1" t="s">
        <v>90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 x14ac:dyDescent="0.25">
      <c r="A2" t="s">
        <v>47</v>
      </c>
      <c r="B2">
        <v>1.8363057139132299</v>
      </c>
      <c r="C2">
        <v>6.85</v>
      </c>
      <c r="D2">
        <v>1021.1072363282</v>
      </c>
      <c r="E2">
        <v>6.65</v>
      </c>
      <c r="F2">
        <v>129.807734428473</v>
      </c>
      <c r="G2">
        <v>126.017727583846</v>
      </c>
      <c r="H2">
        <v>0.22721429169178001</v>
      </c>
      <c r="I2">
        <v>0.85827481746673495</v>
      </c>
      <c r="J2">
        <v>40.692761671307601</v>
      </c>
      <c r="K2">
        <v>10.7727464816208</v>
      </c>
      <c r="L2">
        <v>9.7712550820286896</v>
      </c>
      <c r="M2">
        <v>6.6569557354010298</v>
      </c>
      <c r="N2">
        <v>4.1815089750551797</v>
      </c>
      <c r="O2">
        <v>39.504651841488403</v>
      </c>
      <c r="P2">
        <v>10.458213737631899</v>
      </c>
      <c r="Q2">
        <v>9.4859629628453703</v>
      </c>
      <c r="R2">
        <v>6.4636991081246897</v>
      </c>
      <c r="S2">
        <v>4.0596297232551004</v>
      </c>
      <c r="T2">
        <v>18.460701624179499</v>
      </c>
      <c r="U2">
        <v>24.581910954405899</v>
      </c>
      <c r="V2">
        <v>29.650821803715701</v>
      </c>
      <c r="W2">
        <v>32.0990776323642</v>
      </c>
      <c r="X2">
        <v>40.042718219015903</v>
      </c>
      <c r="Y2">
        <v>19.015910695583401</v>
      </c>
      <c r="Z2">
        <v>25.411738340438099</v>
      </c>
      <c r="AA2">
        <v>30.4157739487984</v>
      </c>
      <c r="AB2">
        <v>33.064463425818801</v>
      </c>
      <c r="AC2">
        <v>39.889916382655002</v>
      </c>
      <c r="AD2">
        <v>68.689853295639097</v>
      </c>
      <c r="AE2">
        <v>70.755713545131997</v>
      </c>
    </row>
    <row r="3" spans="1:31" x14ac:dyDescent="0.25">
      <c r="A3" t="s">
        <v>36</v>
      </c>
      <c r="B3">
        <v>1.0951687288852101</v>
      </c>
      <c r="C3">
        <v>6.87</v>
      </c>
      <c r="D3">
        <v>629.73904350898897</v>
      </c>
      <c r="E3">
        <v>6.88</v>
      </c>
      <c r="F3">
        <v>130.18673511293599</v>
      </c>
      <c r="G3">
        <v>130.37623545516701</v>
      </c>
      <c r="H3">
        <v>0.28450083732604903</v>
      </c>
      <c r="I3">
        <v>0.87890326976776101</v>
      </c>
      <c r="J3">
        <v>41.7924701042622</v>
      </c>
      <c r="K3">
        <v>13.5282153879439</v>
      </c>
      <c r="L3">
        <v>11.1252402137555</v>
      </c>
      <c r="M3">
        <v>8.3056353849207003</v>
      </c>
      <c r="N3">
        <v>5.2408537409614304</v>
      </c>
      <c r="O3">
        <v>41.853303394079198</v>
      </c>
      <c r="P3">
        <v>13.5479071133995</v>
      </c>
      <c r="Q3">
        <v>11.1414341587537</v>
      </c>
      <c r="R3">
        <v>8.3175755457914207</v>
      </c>
      <c r="S3">
        <v>5.2484540379387301</v>
      </c>
      <c r="T3">
        <v>19.275545957926902</v>
      </c>
      <c r="U3">
        <v>24.8894162000203</v>
      </c>
      <c r="V3">
        <v>29.377069414682101</v>
      </c>
      <c r="W3">
        <v>23.3123180943733</v>
      </c>
      <c r="X3">
        <v>29.3737886541957</v>
      </c>
      <c r="Y3">
        <v>19.247529176011302</v>
      </c>
      <c r="Z3">
        <v>24.848676166812599</v>
      </c>
      <c r="AA3">
        <v>29.340762763235901</v>
      </c>
      <c r="AB3">
        <v>23.278433911096499</v>
      </c>
      <c r="AC3">
        <v>29.379315964853099</v>
      </c>
      <c r="AD3">
        <v>50.618411750969898</v>
      </c>
      <c r="AE3">
        <v>50.544838478076002</v>
      </c>
    </row>
    <row r="4" spans="1:31" x14ac:dyDescent="0.25">
      <c r="A4" t="s">
        <v>53</v>
      </c>
      <c r="B4">
        <v>2.8409198590561902</v>
      </c>
      <c r="C4">
        <v>6.28</v>
      </c>
      <c r="D4">
        <v>43.314647061709401</v>
      </c>
      <c r="E4">
        <v>6.29</v>
      </c>
      <c r="F4">
        <v>119.006214921286</v>
      </c>
      <c r="G4">
        <v>119.195715263518</v>
      </c>
      <c r="H4">
        <v>0.56832903623580899</v>
      </c>
      <c r="I4">
        <v>1.08986473083496</v>
      </c>
      <c r="J4">
        <v>47.3731720524978</v>
      </c>
      <c r="K4">
        <v>24.703569584642601</v>
      </c>
      <c r="L4">
        <v>21.301576349528201</v>
      </c>
      <c r="M4">
        <v>15.222300210200499</v>
      </c>
      <c r="N4">
        <v>9.5807102943984095</v>
      </c>
      <c r="O4">
        <v>47.448607039842599</v>
      </c>
      <c r="P4">
        <v>24.7429064788857</v>
      </c>
      <c r="Q4">
        <v>21.335496057091099</v>
      </c>
      <c r="R4">
        <v>15.246328431474399</v>
      </c>
      <c r="S4">
        <v>9.5959263413307898</v>
      </c>
      <c r="T4">
        <v>22.4454068583549</v>
      </c>
      <c r="U4">
        <v>30.007941327948402</v>
      </c>
      <c r="V4">
        <v>36.888306159832197</v>
      </c>
      <c r="W4">
        <v>97.0000492004379</v>
      </c>
      <c r="X4">
        <v>107.127035651396</v>
      </c>
      <c r="Y4">
        <v>22.409722586720001</v>
      </c>
      <c r="Z4">
        <v>29.954575397700001</v>
      </c>
      <c r="AA4">
        <v>36.837586638180703</v>
      </c>
      <c r="AB4">
        <v>96.845836085651797</v>
      </c>
      <c r="AC4">
        <v>107.15152858106499</v>
      </c>
      <c r="AD4">
        <v>205.053855624085</v>
      </c>
      <c r="AE4">
        <v>204.727855853618</v>
      </c>
    </row>
    <row r="5" spans="1:31" x14ac:dyDescent="0.25">
      <c r="A5" t="s">
        <v>44</v>
      </c>
      <c r="B5">
        <v>2.9168974912274899</v>
      </c>
      <c r="C5">
        <v>48.21</v>
      </c>
      <c r="D5">
        <v>2768.84443917407</v>
      </c>
      <c r="E5">
        <v>48.22</v>
      </c>
      <c r="F5">
        <v>913.58114989732996</v>
      </c>
      <c r="G5">
        <v>913.77065023956197</v>
      </c>
      <c r="H5">
        <v>0.12788237631320901</v>
      </c>
      <c r="I5">
        <v>0.54765230417251498</v>
      </c>
      <c r="J5">
        <v>182.74364115874201</v>
      </c>
      <c r="K5">
        <v>42.672496599497101</v>
      </c>
      <c r="L5">
        <v>34.2719474314572</v>
      </c>
      <c r="M5">
        <v>26.1391590583642</v>
      </c>
      <c r="N5">
        <v>16.520110388626101</v>
      </c>
      <c r="O5">
        <v>182.78154691297499</v>
      </c>
      <c r="P5">
        <v>42.681347978173598</v>
      </c>
      <c r="Q5">
        <v>34.279056319121899</v>
      </c>
      <c r="R5">
        <v>26.144501659438401</v>
      </c>
      <c r="S5">
        <v>16.523522044201599</v>
      </c>
      <c r="T5">
        <v>86.527895633414204</v>
      </c>
      <c r="U5">
        <v>97.310478157949305</v>
      </c>
      <c r="V5">
        <v>111.63729274576799</v>
      </c>
      <c r="W5">
        <v>121.596125491417</v>
      </c>
      <c r="X5">
        <v>130.183895091442</v>
      </c>
      <c r="Y5">
        <v>86.509951233656096</v>
      </c>
      <c r="Z5">
        <v>97.2874522700358</v>
      </c>
      <c r="AA5">
        <v>111.618126843965</v>
      </c>
      <c r="AB5">
        <v>121.570908542954</v>
      </c>
      <c r="AC5">
        <v>130.187894463059</v>
      </c>
      <c r="AD5">
        <v>256.85968384238498</v>
      </c>
      <c r="AE5">
        <v>256.80641555456998</v>
      </c>
    </row>
    <row r="6" spans="1:31" x14ac:dyDescent="0.25">
      <c r="A6" t="s">
        <v>48</v>
      </c>
      <c r="B6">
        <v>5.51688607756609</v>
      </c>
      <c r="C6">
        <v>33.51</v>
      </c>
      <c r="D6">
        <v>464.500666000303</v>
      </c>
      <c r="E6">
        <v>33.520000000000003</v>
      </c>
      <c r="F6">
        <v>635.01564681724801</v>
      </c>
      <c r="G6">
        <v>635.205147159479</v>
      </c>
      <c r="H6">
        <v>0.30263015627861001</v>
      </c>
      <c r="I6">
        <v>0.94014710187911898</v>
      </c>
      <c r="J6">
        <v>218.057215831143</v>
      </c>
      <c r="K6">
        <v>70.191876540127197</v>
      </c>
      <c r="L6">
        <v>57.4880776031914</v>
      </c>
      <c r="M6">
        <v>43.078276007232297</v>
      </c>
      <c r="N6">
        <v>27.189430831417798</v>
      </c>
      <c r="O6">
        <v>218.12228811279999</v>
      </c>
      <c r="P6">
        <v>70.212823086393996</v>
      </c>
      <c r="Q6">
        <v>57.505233102326997</v>
      </c>
      <c r="R6">
        <v>43.090967748326101</v>
      </c>
      <c r="S6">
        <v>27.197513678266802</v>
      </c>
      <c r="T6">
        <v>105.101681107499</v>
      </c>
      <c r="U6">
        <v>120.109414456788</v>
      </c>
      <c r="V6">
        <v>145.508919488332</v>
      </c>
      <c r="W6">
        <v>311.451989576431</v>
      </c>
      <c r="X6">
        <v>303.19773143602498</v>
      </c>
      <c r="Y6">
        <v>105.070326190701</v>
      </c>
      <c r="Z6">
        <v>120.068697915</v>
      </c>
      <c r="AA6">
        <v>145.47235188644899</v>
      </c>
      <c r="AB6">
        <v>311.35907430507802</v>
      </c>
      <c r="AC6">
        <v>303.21220982557003</v>
      </c>
      <c r="AD6">
        <v>646.37044705508299</v>
      </c>
      <c r="AE6">
        <v>646.17761577612805</v>
      </c>
    </row>
    <row r="7" spans="1:31" x14ac:dyDescent="0.25">
      <c r="A7" t="s">
        <v>38</v>
      </c>
      <c r="B7">
        <v>5.3072589799444501</v>
      </c>
      <c r="C7">
        <v>51.82</v>
      </c>
      <c r="D7">
        <v>1276.51037162022</v>
      </c>
      <c r="E7">
        <v>51.83</v>
      </c>
      <c r="F7">
        <v>981.99077344284694</v>
      </c>
      <c r="G7">
        <v>982.18027378507804</v>
      </c>
      <c r="H7">
        <v>0.30641493201255798</v>
      </c>
      <c r="I7">
        <v>0.65002423524856501</v>
      </c>
      <c r="J7">
        <v>233.145577008224</v>
      </c>
      <c r="K7">
        <v>109.902496328749</v>
      </c>
      <c r="L7">
        <v>83.9248537187935</v>
      </c>
      <c r="M7">
        <v>66.913113352811905</v>
      </c>
      <c r="N7">
        <v>42.469826422441301</v>
      </c>
      <c r="O7">
        <v>233.19056843566599</v>
      </c>
      <c r="P7">
        <v>109.92370483826799</v>
      </c>
      <c r="Q7">
        <v>83.941049174933696</v>
      </c>
      <c r="R7">
        <v>66.925758511975104</v>
      </c>
      <c r="S7">
        <v>42.477971141980298</v>
      </c>
      <c r="T7">
        <v>112.241996831137</v>
      </c>
      <c r="U7">
        <v>126.788636513705</v>
      </c>
      <c r="V7">
        <v>149.777540140453</v>
      </c>
      <c r="W7">
        <v>209.16487384092801</v>
      </c>
      <c r="X7">
        <v>215.959868156493</v>
      </c>
      <c r="Y7">
        <v>112.220341033948</v>
      </c>
      <c r="Z7">
        <v>126.760796839778</v>
      </c>
      <c r="AA7">
        <v>149.75337313567499</v>
      </c>
      <c r="AB7">
        <v>209.12451789382399</v>
      </c>
      <c r="AC7">
        <v>215.966162972295</v>
      </c>
      <c r="AD7">
        <v>434.55459814315702</v>
      </c>
      <c r="AE7">
        <v>434.47075585140698</v>
      </c>
    </row>
    <row r="8" spans="1:31" x14ac:dyDescent="0.25">
      <c r="A8" t="s">
        <v>46</v>
      </c>
      <c r="B8">
        <v>2.3119666655608802</v>
      </c>
      <c r="C8">
        <v>109.27</v>
      </c>
      <c r="D8">
        <v>2837.17497040833</v>
      </c>
      <c r="E8">
        <v>109.28</v>
      </c>
      <c r="F8">
        <v>2070.67023956194</v>
      </c>
      <c r="G8">
        <v>2070.8597399041701</v>
      </c>
      <c r="H8">
        <v>0.181258410215377</v>
      </c>
      <c r="I8">
        <v>0.65526700019836404</v>
      </c>
      <c r="J8">
        <v>495.58649531046001</v>
      </c>
      <c r="K8">
        <v>137.087966030627</v>
      </c>
      <c r="L8">
        <v>88.286979240626195</v>
      </c>
      <c r="M8">
        <v>80.305426318667003</v>
      </c>
      <c r="N8">
        <v>52.3654482451376</v>
      </c>
      <c r="O8">
        <v>495.63184961587899</v>
      </c>
      <c r="P8">
        <v>137.10051183149099</v>
      </c>
      <c r="Q8">
        <v>88.295058949534507</v>
      </c>
      <c r="R8">
        <v>80.312339771270203</v>
      </c>
      <c r="S8">
        <v>52.370155288391999</v>
      </c>
      <c r="T8">
        <v>233.11108087908701</v>
      </c>
      <c r="U8">
        <v>221.04795939760999</v>
      </c>
      <c r="V8">
        <v>244.521382300742</v>
      </c>
      <c r="W8">
        <v>262.95193154988999</v>
      </c>
      <c r="X8">
        <v>244.28507237609199</v>
      </c>
      <c r="Y8">
        <v>233.08974933801099</v>
      </c>
      <c r="Z8">
        <v>221.02432704666299</v>
      </c>
      <c r="AA8">
        <v>244.503775865731</v>
      </c>
      <c r="AB8">
        <v>262.92786933067799</v>
      </c>
      <c r="AC8">
        <v>244.288913248011</v>
      </c>
      <c r="AD8">
        <v>559.07832310099195</v>
      </c>
      <c r="AE8">
        <v>559.027162932333</v>
      </c>
    </row>
    <row r="9" spans="1:31" x14ac:dyDescent="0.25">
      <c r="A9" t="s">
        <v>28</v>
      </c>
      <c r="B9">
        <v>15.8063323176205</v>
      </c>
      <c r="C9">
        <v>101.35</v>
      </c>
      <c r="D9">
        <v>4779.4871016583602</v>
      </c>
      <c r="E9">
        <v>101.36</v>
      </c>
      <c r="F9">
        <v>1920.58596851471</v>
      </c>
      <c r="G9">
        <v>1920.7754688569401</v>
      </c>
      <c r="H9">
        <v>0.215746149420738</v>
      </c>
      <c r="I9">
        <v>0.89986765384673995</v>
      </c>
      <c r="J9">
        <v>631.25178246425605</v>
      </c>
      <c r="K9">
        <v>151.34463473540501</v>
      </c>
      <c r="L9">
        <v>128.844949020256</v>
      </c>
      <c r="M9">
        <v>93.176355491658796</v>
      </c>
      <c r="N9">
        <v>58.680048122072201</v>
      </c>
      <c r="O9">
        <v>631.31406680391694</v>
      </c>
      <c r="P9">
        <v>151.35956760513699</v>
      </c>
      <c r="Q9">
        <v>128.85766189139801</v>
      </c>
      <c r="R9">
        <v>93.1854609786011</v>
      </c>
      <c r="S9">
        <v>58.6858213311681</v>
      </c>
      <c r="T9">
        <v>313.109849497651</v>
      </c>
      <c r="U9">
        <v>330.13194535552401</v>
      </c>
      <c r="V9">
        <v>405.46142454537102</v>
      </c>
      <c r="W9">
        <v>836.80170341509404</v>
      </c>
      <c r="X9">
        <v>757.76783396999497</v>
      </c>
      <c r="Y9">
        <v>313.07895862852098</v>
      </c>
      <c r="Z9">
        <v>330.09469953695702</v>
      </c>
      <c r="AA9">
        <v>405.42797192971398</v>
      </c>
      <c r="AB9">
        <v>836.71914602525499</v>
      </c>
      <c r="AC9">
        <v>757.78033092197097</v>
      </c>
      <c r="AD9">
        <v>1687.21835911262</v>
      </c>
      <c r="AE9">
        <v>1687.0519011056101</v>
      </c>
    </row>
    <row r="10" spans="1:31" x14ac:dyDescent="0.25">
      <c r="A10" t="s">
        <v>52</v>
      </c>
      <c r="B10">
        <v>4.5708375911716503</v>
      </c>
      <c r="C10">
        <v>116.31</v>
      </c>
      <c r="D10">
        <v>862.21743388623304</v>
      </c>
      <c r="E10">
        <v>116.32</v>
      </c>
      <c r="F10">
        <v>2204.0784804928098</v>
      </c>
      <c r="G10">
        <v>2204.2679808350399</v>
      </c>
      <c r="H10">
        <v>0.32021585106849598</v>
      </c>
      <c r="I10">
        <v>0.79219418764114302</v>
      </c>
      <c r="J10">
        <v>637.74774343357296</v>
      </c>
      <c r="K10">
        <v>257.78646147187197</v>
      </c>
      <c r="L10">
        <v>167.486990595912</v>
      </c>
      <c r="M10">
        <v>151.448076768612</v>
      </c>
      <c r="N10">
        <v>98.555990548527106</v>
      </c>
      <c r="O10">
        <v>637.80257515427104</v>
      </c>
      <c r="P10">
        <v>257.80862521200402</v>
      </c>
      <c r="Q10">
        <v>167.50139064669</v>
      </c>
      <c r="R10">
        <v>151.46036341485501</v>
      </c>
      <c r="S10">
        <v>98.564320729751302</v>
      </c>
      <c r="T10">
        <v>305.72738767747398</v>
      </c>
      <c r="U10">
        <v>293.88604992120099</v>
      </c>
      <c r="V10">
        <v>339.11263771872098</v>
      </c>
      <c r="W10">
        <v>558.79681575394898</v>
      </c>
      <c r="X10">
        <v>484.36637935388302</v>
      </c>
      <c r="Y10">
        <v>305.70110437385603</v>
      </c>
      <c r="Z10">
        <v>293.85666846430399</v>
      </c>
      <c r="AA10">
        <v>339.08925014976899</v>
      </c>
      <c r="AB10">
        <v>558.74877613773901</v>
      </c>
      <c r="AC10">
        <v>484.37390334210397</v>
      </c>
      <c r="AD10">
        <v>1165.75113137021</v>
      </c>
      <c r="AE10">
        <v>1165.65091205011</v>
      </c>
    </row>
    <row r="11" spans="1:31" x14ac:dyDescent="0.25">
      <c r="A11" t="s">
        <v>43</v>
      </c>
      <c r="B11">
        <v>3.2757136578928399</v>
      </c>
      <c r="C11">
        <v>132.47</v>
      </c>
      <c r="D11">
        <v>5300.3633572647504</v>
      </c>
      <c r="E11">
        <v>7</v>
      </c>
      <c r="F11">
        <v>2510.31103353867</v>
      </c>
      <c r="G11">
        <v>132.65023956194301</v>
      </c>
      <c r="H11">
        <v>0.28657093644142101</v>
      </c>
      <c r="I11">
        <v>0.82206469774246205</v>
      </c>
      <c r="J11">
        <v>753.74380909457705</v>
      </c>
      <c r="K11">
        <v>262.75434257465901</v>
      </c>
      <c r="L11">
        <v>160.19119456922101</v>
      </c>
      <c r="M11">
        <v>150.733899489496</v>
      </c>
      <c r="N11">
        <v>99.740154553791697</v>
      </c>
      <c r="O11">
        <v>39.829445637971098</v>
      </c>
      <c r="P11">
        <v>13.884505156055001</v>
      </c>
      <c r="Q11">
        <v>8.4648476031142792</v>
      </c>
      <c r="R11">
        <v>8.5938274396394601</v>
      </c>
      <c r="S11">
        <v>5.3919902446197803</v>
      </c>
      <c r="T11">
        <v>18.9161316681442</v>
      </c>
      <c r="U11">
        <v>17.196428455898101</v>
      </c>
      <c r="V11">
        <v>31.7338894270409</v>
      </c>
      <c r="W11">
        <v>15.8325759923178</v>
      </c>
      <c r="X11">
        <v>22.197472452551601</v>
      </c>
      <c r="Y11">
        <v>357.97428029701001</v>
      </c>
      <c r="Z11">
        <v>491.81542784263002</v>
      </c>
      <c r="AA11">
        <v>367.470559367541</v>
      </c>
      <c r="AB11">
        <v>299.62019167176197</v>
      </c>
      <c r="AC11">
        <v>14.838541684393901</v>
      </c>
      <c r="AD11">
        <v>33.336769687273602</v>
      </c>
      <c r="AE11">
        <v>630.87455435330605</v>
      </c>
    </row>
    <row r="12" spans="1:31" x14ac:dyDescent="0.25">
      <c r="A12" t="s">
        <v>35</v>
      </c>
      <c r="B12">
        <v>8.5284805223007591</v>
      </c>
      <c r="C12">
        <v>111.45</v>
      </c>
      <c r="D12">
        <v>3534.0988501863799</v>
      </c>
      <c r="E12">
        <v>111.46</v>
      </c>
      <c r="F12">
        <v>2111.9813141683699</v>
      </c>
      <c r="G12">
        <v>2112.1708145105999</v>
      </c>
      <c r="H12">
        <v>0.40546986460685702</v>
      </c>
      <c r="I12">
        <v>1.0168590545654199</v>
      </c>
      <c r="J12">
        <v>784.40626950116098</v>
      </c>
      <c r="K12">
        <v>312.77992998482</v>
      </c>
      <c r="L12">
        <v>218.52135928852499</v>
      </c>
      <c r="M12">
        <v>187.41669139502699</v>
      </c>
      <c r="N12">
        <v>120.29055246372999</v>
      </c>
      <c r="O12">
        <v>784.47665140062304</v>
      </c>
      <c r="P12">
        <v>312.80799458149897</v>
      </c>
      <c r="Q12">
        <v>218.54096640914301</v>
      </c>
      <c r="R12">
        <v>187.43289082300501</v>
      </c>
      <c r="S12">
        <v>120.30122693177999</v>
      </c>
      <c r="T12">
        <v>382.56310847167299</v>
      </c>
      <c r="U12">
        <v>373.48676040772699</v>
      </c>
      <c r="V12">
        <v>448.92568074363601</v>
      </c>
      <c r="W12">
        <v>752.25208986769996</v>
      </c>
      <c r="X12">
        <v>656.09128645080102</v>
      </c>
      <c r="Y12">
        <v>382.52878556583499</v>
      </c>
      <c r="Z12">
        <v>373.44796834333999</v>
      </c>
      <c r="AA12">
        <v>448.892804930171</v>
      </c>
      <c r="AB12">
        <v>752.18459910062097</v>
      </c>
      <c r="AC12">
        <v>656.10167652783798</v>
      </c>
      <c r="AD12">
        <v>1542.55386209627</v>
      </c>
      <c r="AE12">
        <v>1542.4154668098799</v>
      </c>
    </row>
    <row r="13" spans="1:31" x14ac:dyDescent="0.25">
      <c r="A13" t="s">
        <v>31</v>
      </c>
      <c r="B13">
        <v>6.1165805968118603</v>
      </c>
      <c r="C13">
        <v>74.14</v>
      </c>
      <c r="D13">
        <v>2778.9380343889502</v>
      </c>
      <c r="E13">
        <v>74.150000000000006</v>
      </c>
      <c r="F13">
        <v>1404.9555373032099</v>
      </c>
      <c r="G13">
        <v>1405.14503764544</v>
      </c>
      <c r="H13">
        <v>1.1640541553497299</v>
      </c>
      <c r="I13">
        <v>1.61328041553497</v>
      </c>
      <c r="J13">
        <v>827.87099416873104</v>
      </c>
      <c r="K13">
        <v>597.34604199980902</v>
      </c>
      <c r="L13">
        <v>350.81189496305501</v>
      </c>
      <c r="M13">
        <v>336.75167764854399</v>
      </c>
      <c r="N13">
        <v>225.56564178628901</v>
      </c>
      <c r="O13">
        <v>827.98265737269196</v>
      </c>
      <c r="P13">
        <v>597.42661200817201</v>
      </c>
      <c r="Q13">
        <v>350.85921245630601</v>
      </c>
      <c r="R13">
        <v>336.79266230549302</v>
      </c>
      <c r="S13">
        <v>225.59517458001201</v>
      </c>
      <c r="T13">
        <v>400.10025889815</v>
      </c>
      <c r="U13">
        <v>377.23153119746797</v>
      </c>
      <c r="V13">
        <v>460.97848263858202</v>
      </c>
      <c r="W13">
        <v>581.89011436012299</v>
      </c>
      <c r="X13">
        <v>514.75750446639302</v>
      </c>
      <c r="Y13">
        <v>400.04630067038198</v>
      </c>
      <c r="Z13">
        <v>377.17227487195601</v>
      </c>
      <c r="AA13">
        <v>460.92805597669297</v>
      </c>
      <c r="AB13">
        <v>581.81163963128199</v>
      </c>
      <c r="AC13">
        <v>514.76969687486996</v>
      </c>
      <c r="AD13">
        <v>1204.1854821929501</v>
      </c>
      <c r="AE13">
        <v>1204.0230836113999</v>
      </c>
    </row>
    <row r="14" spans="1:31" x14ac:dyDescent="0.25">
      <c r="A14" t="s">
        <v>27</v>
      </c>
      <c r="B14">
        <v>2.03828560706489</v>
      </c>
      <c r="C14">
        <v>152.28</v>
      </c>
      <c r="D14">
        <v>8771.0984718469208</v>
      </c>
      <c r="E14">
        <v>21.3</v>
      </c>
      <c r="F14">
        <v>2885.71121149897</v>
      </c>
      <c r="G14">
        <v>403.63572895277201</v>
      </c>
      <c r="H14">
        <v>0.20519281923770899</v>
      </c>
      <c r="I14">
        <v>0.87865358591079701</v>
      </c>
      <c r="J14">
        <v>926.10616904456697</v>
      </c>
      <c r="K14">
        <v>216.274466737317</v>
      </c>
      <c r="L14">
        <v>124.974905941156</v>
      </c>
      <c r="M14">
        <v>120.89852520999401</v>
      </c>
      <c r="N14">
        <v>81.461387064225093</v>
      </c>
      <c r="O14">
        <v>129.53809693097699</v>
      </c>
      <c r="P14">
        <v>30.251156694936</v>
      </c>
      <c r="Q14">
        <v>17.480729554417</v>
      </c>
      <c r="R14">
        <v>18.526502882132601</v>
      </c>
      <c r="S14">
        <v>11.710602748659401</v>
      </c>
      <c r="T14">
        <v>60.711192712313903</v>
      </c>
      <c r="U14">
        <v>50.885252243989001</v>
      </c>
      <c r="V14">
        <v>82.307446590846496</v>
      </c>
      <c r="W14">
        <v>75.420431549053603</v>
      </c>
      <c r="X14">
        <v>84.356013337337103</v>
      </c>
      <c r="Y14">
        <v>434.04227353197899</v>
      </c>
      <c r="Z14">
        <v>500.54965383626399</v>
      </c>
      <c r="AA14">
        <v>396.87412867778602</v>
      </c>
      <c r="AB14">
        <v>539.20297259576898</v>
      </c>
      <c r="AC14">
        <v>60.592909460644897</v>
      </c>
      <c r="AD14">
        <v>160.92286670882399</v>
      </c>
      <c r="AE14">
        <v>1150.48517100562</v>
      </c>
    </row>
    <row r="15" spans="1:31" x14ac:dyDescent="0.25">
      <c r="A15" t="s">
        <v>39</v>
      </c>
      <c r="B15">
        <v>2.03714378763092</v>
      </c>
      <c r="C15">
        <v>185.71</v>
      </c>
      <c r="D15">
        <v>6012.28155545155</v>
      </c>
      <c r="E15">
        <v>185.72</v>
      </c>
      <c r="F15">
        <v>3519.2108555783698</v>
      </c>
      <c r="G15">
        <v>3519.4003559205998</v>
      </c>
      <c r="H15">
        <v>0.299889296293258</v>
      </c>
      <c r="I15">
        <v>0.80837923288345304</v>
      </c>
      <c r="J15">
        <v>1039.0840089454</v>
      </c>
      <c r="K15">
        <v>385.47523186699902</v>
      </c>
      <c r="L15">
        <v>197.39379497131</v>
      </c>
      <c r="M15">
        <v>198.29640507952101</v>
      </c>
      <c r="N15">
        <v>141.61648538743901</v>
      </c>
      <c r="O15">
        <v>1039.1399609140101</v>
      </c>
      <c r="P15">
        <v>385.495988704642</v>
      </c>
      <c r="Q15">
        <v>197.404424113251</v>
      </c>
      <c r="R15">
        <v>198.30506224714199</v>
      </c>
      <c r="S15">
        <v>141.6236781568</v>
      </c>
      <c r="T15">
        <v>487.01067094749197</v>
      </c>
      <c r="U15">
        <v>399.18747895739102</v>
      </c>
      <c r="V15">
        <v>429.27345296949898</v>
      </c>
      <c r="W15">
        <v>672.62247400859997</v>
      </c>
      <c r="X15">
        <v>516.53220437643199</v>
      </c>
      <c r="Y15">
        <v>486.98444810283598</v>
      </c>
      <c r="Z15">
        <v>399.16178459524099</v>
      </c>
      <c r="AA15">
        <v>429.25622270691599</v>
      </c>
      <c r="AB15">
        <v>672.58625698975402</v>
      </c>
      <c r="AC15">
        <v>516.53800584504097</v>
      </c>
      <c r="AD15">
        <v>1435.18188213691</v>
      </c>
      <c r="AE15">
        <v>1435.1046054902299</v>
      </c>
    </row>
    <row r="16" spans="1:31" x14ac:dyDescent="0.25">
      <c r="A16" t="s">
        <v>42</v>
      </c>
      <c r="B16">
        <v>17.1652319606929</v>
      </c>
      <c r="C16">
        <v>334.47</v>
      </c>
      <c r="D16">
        <v>1697.04929287447</v>
      </c>
      <c r="E16">
        <v>302.06</v>
      </c>
      <c r="F16">
        <v>6338.2179466119096</v>
      </c>
      <c r="G16">
        <v>5724.0473374401099</v>
      </c>
      <c r="H16">
        <v>4.6293791383504798E-2</v>
      </c>
      <c r="I16">
        <v>0.62111353874206499</v>
      </c>
      <c r="J16">
        <v>1437.8990252651199</v>
      </c>
      <c r="K16">
        <v>107.17170590256799</v>
      </c>
      <c r="L16">
        <v>96.449517705156495</v>
      </c>
      <c r="M16">
        <v>66.201166725916707</v>
      </c>
      <c r="N16">
        <v>41.594663806378001</v>
      </c>
      <c r="O16">
        <v>1298.56722447927</v>
      </c>
      <c r="P16">
        <v>96.786813421024107</v>
      </c>
      <c r="Q16">
        <v>87.103600675754393</v>
      </c>
      <c r="R16">
        <v>59.822483376596203</v>
      </c>
      <c r="S16">
        <v>37.570977132729602</v>
      </c>
      <c r="T16">
        <v>645.49103126419004</v>
      </c>
      <c r="U16">
        <v>604.102119196491</v>
      </c>
      <c r="V16">
        <v>725.600666354493</v>
      </c>
      <c r="W16">
        <v>786.08985643016194</v>
      </c>
      <c r="X16">
        <v>724.390912396521</v>
      </c>
      <c r="Y16">
        <v>714.75000075128696</v>
      </c>
      <c r="Z16">
        <v>679.92221612445599</v>
      </c>
      <c r="AA16">
        <v>788.04362680167003</v>
      </c>
      <c r="AB16">
        <v>870.43459670329196</v>
      </c>
      <c r="AC16">
        <v>712.29077562498003</v>
      </c>
      <c r="AD16">
        <v>1581.4170509179801</v>
      </c>
      <c r="AE16">
        <v>1751.0976660946101</v>
      </c>
    </row>
    <row r="17" spans="1:31" x14ac:dyDescent="0.25">
      <c r="A17" t="s">
        <v>29</v>
      </c>
      <c r="B17">
        <v>9.7840167558699793</v>
      </c>
      <c r="C17">
        <v>334.59</v>
      </c>
      <c r="D17">
        <v>604.46743013583</v>
      </c>
      <c r="E17">
        <v>325.74</v>
      </c>
      <c r="F17">
        <v>6340.4919507186796</v>
      </c>
      <c r="G17">
        <v>6172.7841478439404</v>
      </c>
      <c r="H17">
        <v>0.375510513782501</v>
      </c>
      <c r="I17">
        <v>0.79271847009658802</v>
      </c>
      <c r="J17">
        <v>1835.82871004391</v>
      </c>
      <c r="K17">
        <v>869.63153771509997</v>
      </c>
      <c r="L17">
        <v>520.03250584364503</v>
      </c>
      <c r="M17">
        <v>494.57364671566302</v>
      </c>
      <c r="N17">
        <v>329.25002236813799</v>
      </c>
      <c r="O17">
        <v>1787.27052216057</v>
      </c>
      <c r="P17">
        <v>846.62953792796202</v>
      </c>
      <c r="Q17">
        <v>506.27749918858598</v>
      </c>
      <c r="R17">
        <v>482.625342512136</v>
      </c>
      <c r="S17">
        <v>320.767421585612</v>
      </c>
      <c r="T17">
        <v>874.88365070978</v>
      </c>
      <c r="U17">
        <v>748.96574337074003</v>
      </c>
      <c r="V17">
        <v>871.18761559881705</v>
      </c>
      <c r="W17">
        <v>1440.4215572339299</v>
      </c>
      <c r="X17">
        <v>1128.8863256587899</v>
      </c>
      <c r="Y17">
        <v>898.65328387973602</v>
      </c>
      <c r="Z17">
        <v>773.00876256999595</v>
      </c>
      <c r="AA17">
        <v>889.68170493830598</v>
      </c>
      <c r="AB17">
        <v>1479.5562375971599</v>
      </c>
      <c r="AC17">
        <v>1122.9646334096999</v>
      </c>
      <c r="AD17">
        <v>2942.5889792776802</v>
      </c>
      <c r="AE17">
        <v>3022.5359077071298</v>
      </c>
    </row>
    <row r="18" spans="1:31" x14ac:dyDescent="0.25">
      <c r="A18" t="s">
        <v>33</v>
      </c>
      <c r="B18">
        <v>25.142688125447702</v>
      </c>
      <c r="C18">
        <v>376.74</v>
      </c>
      <c r="D18">
        <v>641.49203142067302</v>
      </c>
      <c r="E18">
        <v>376.75</v>
      </c>
      <c r="F18">
        <v>7139.2358932238103</v>
      </c>
      <c r="G18">
        <v>7139.4253935660499</v>
      </c>
      <c r="H18">
        <v>0.29035162925720198</v>
      </c>
      <c r="I18">
        <v>0.79363292455673196</v>
      </c>
      <c r="J18">
        <v>2069.4819044447099</v>
      </c>
      <c r="K18">
        <v>757.12262442920905</v>
      </c>
      <c r="L18">
        <v>545.92801063926595</v>
      </c>
      <c r="M18">
        <v>456.65196587238398</v>
      </c>
      <c r="N18">
        <v>291.751959182338</v>
      </c>
      <c r="O18">
        <v>2069.53683574759</v>
      </c>
      <c r="P18">
        <v>757.14272111722801</v>
      </c>
      <c r="Q18">
        <v>545.94250148203901</v>
      </c>
      <c r="R18">
        <v>456.66372200208002</v>
      </c>
      <c r="S18">
        <v>291.75963334033997</v>
      </c>
      <c r="T18">
        <v>1039.42488379613</v>
      </c>
      <c r="U18">
        <v>945.269910452359</v>
      </c>
      <c r="V18">
        <v>1141.4294860443799</v>
      </c>
      <c r="W18">
        <v>2409.0397586382701</v>
      </c>
      <c r="X18">
        <v>1888.1392381964999</v>
      </c>
      <c r="Y18">
        <v>1039.39729454904</v>
      </c>
      <c r="Z18">
        <v>945.24069659388897</v>
      </c>
      <c r="AA18">
        <v>1141.4049658086601</v>
      </c>
      <c r="AB18">
        <v>2408.97581597713</v>
      </c>
      <c r="AC18">
        <v>1888.1487959209901</v>
      </c>
      <c r="AD18">
        <v>4796.4952513685002</v>
      </c>
      <c r="AE18">
        <v>4796.3679389530698</v>
      </c>
    </row>
    <row r="19" spans="1:31" x14ac:dyDescent="0.25">
      <c r="A19" t="s">
        <v>34</v>
      </c>
      <c r="B19">
        <v>2.1905254615858398</v>
      </c>
      <c r="C19">
        <v>453.71</v>
      </c>
      <c r="D19">
        <v>3865.6556098022302</v>
      </c>
      <c r="E19">
        <v>119.56</v>
      </c>
      <c r="F19">
        <v>8597.8200273785005</v>
      </c>
      <c r="G19">
        <v>2265.6660917180002</v>
      </c>
      <c r="H19">
        <v>0.21212022006511599</v>
      </c>
      <c r="I19">
        <v>0.67693477869033802</v>
      </c>
      <c r="J19">
        <v>2125.8146809196401</v>
      </c>
      <c r="K19">
        <v>666.13253171411804</v>
      </c>
      <c r="L19">
        <v>305.18037526571999</v>
      </c>
      <c r="M19">
        <v>305.48505271182103</v>
      </c>
      <c r="N19">
        <v>236.43472692949601</v>
      </c>
      <c r="O19">
        <v>560.18691069350996</v>
      </c>
      <c r="P19">
        <v>175.536808736285</v>
      </c>
      <c r="Q19">
        <v>80.420016457141102</v>
      </c>
      <c r="R19">
        <v>100.70782825785</v>
      </c>
      <c r="S19">
        <v>66.634406366674099</v>
      </c>
      <c r="T19">
        <v>263.075673610899</v>
      </c>
      <c r="U19">
        <v>187.10545082785501</v>
      </c>
      <c r="V19">
        <v>267.32876292608199</v>
      </c>
      <c r="W19">
        <v>333.25063287109401</v>
      </c>
      <c r="X19">
        <v>295.465124137175</v>
      </c>
      <c r="Y19">
        <v>998.32773397458197</v>
      </c>
      <c r="Z19">
        <v>922.86804332021802</v>
      </c>
      <c r="AA19">
        <v>716.33139594308398</v>
      </c>
      <c r="AB19">
        <v>1264.6298481092599</v>
      </c>
      <c r="AC19">
        <v>224.419094643688</v>
      </c>
      <c r="AD19">
        <v>709.61575409981697</v>
      </c>
      <c r="AE19">
        <v>2692.8718952210402</v>
      </c>
    </row>
    <row r="20" spans="1:31" x14ac:dyDescent="0.25">
      <c r="A20" t="s">
        <v>37</v>
      </c>
      <c r="B20">
        <v>12.0801244850646</v>
      </c>
      <c r="C20">
        <v>479.59</v>
      </c>
      <c r="D20">
        <v>1127.4748309839899</v>
      </c>
      <c r="E20">
        <v>71.52</v>
      </c>
      <c r="F20">
        <v>9088.2469130732297</v>
      </c>
      <c r="G20">
        <v>1355.3064476386</v>
      </c>
      <c r="H20">
        <v>0.153487354516983</v>
      </c>
      <c r="I20">
        <v>0.92254114151000899</v>
      </c>
      <c r="J20">
        <v>3062.3588841720398</v>
      </c>
      <c r="K20">
        <v>509.49853894190397</v>
      </c>
      <c r="L20">
        <v>347.86007349094803</v>
      </c>
      <c r="M20">
        <v>303.614781821169</v>
      </c>
      <c r="N20">
        <v>195.622479130404</v>
      </c>
      <c r="O20">
        <v>456.68155590396799</v>
      </c>
      <c r="P20">
        <v>75.980182041170593</v>
      </c>
      <c r="Q20">
        <v>51.875461239960401</v>
      </c>
      <c r="R20">
        <v>46.931646006042101</v>
      </c>
      <c r="S20">
        <v>29.4884395544386</v>
      </c>
      <c r="T20">
        <v>224.84319852754101</v>
      </c>
      <c r="U20">
        <v>178.59505843482199</v>
      </c>
      <c r="V20">
        <v>298.96344297976799</v>
      </c>
      <c r="W20">
        <v>764.53001607380497</v>
      </c>
      <c r="X20">
        <v>686.43916667186295</v>
      </c>
      <c r="Y20">
        <v>1507.7258051149799</v>
      </c>
      <c r="Z20">
        <v>1635.0850182101799</v>
      </c>
      <c r="AA20">
        <v>1391.9292079637801</v>
      </c>
      <c r="AB20">
        <v>5126.6911410631401</v>
      </c>
      <c r="AC20">
        <v>464.60183378008998</v>
      </c>
      <c r="AD20">
        <v>1552.8455366333999</v>
      </c>
      <c r="AE20">
        <v>10412.8801861579</v>
      </c>
    </row>
    <row r="21" spans="1:31" x14ac:dyDescent="0.25">
      <c r="A21" t="s">
        <v>49</v>
      </c>
      <c r="B21">
        <v>4.7425766093153401</v>
      </c>
      <c r="C21">
        <v>681.63</v>
      </c>
      <c r="D21">
        <v>5028.3203347819799</v>
      </c>
      <c r="E21">
        <v>89.4</v>
      </c>
      <c r="F21">
        <v>12916.9118275154</v>
      </c>
      <c r="G21">
        <v>1694.13305954825</v>
      </c>
      <c r="H21">
        <v>0.107730187475681</v>
      </c>
      <c r="I21">
        <v>0.78041732311248702</v>
      </c>
      <c r="J21">
        <v>3681.9324846658301</v>
      </c>
      <c r="K21">
        <v>508.26047179975001</v>
      </c>
      <c r="L21">
        <v>293.12356627668998</v>
      </c>
      <c r="M21">
        <v>283.81814797312802</v>
      </c>
      <c r="N21">
        <v>191.37901193182</v>
      </c>
      <c r="O21">
        <v>482.90827007192303</v>
      </c>
      <c r="P21">
        <v>66.661511639595702</v>
      </c>
      <c r="Q21">
        <v>38.444972822698602</v>
      </c>
      <c r="R21">
        <v>40.857120910869597</v>
      </c>
      <c r="S21">
        <v>25.811590303956901</v>
      </c>
      <c r="T21">
        <v>231.71631638857801</v>
      </c>
      <c r="U21">
        <v>159.834793988885</v>
      </c>
      <c r="V21">
        <v>272.10019556796198</v>
      </c>
      <c r="W21">
        <v>407.44441557426597</v>
      </c>
      <c r="X21">
        <v>374.56380980768603</v>
      </c>
      <c r="Y21">
        <v>1766.7202767331801</v>
      </c>
      <c r="Z21">
        <v>1780.1498832669799</v>
      </c>
      <c r="AA21">
        <v>1288.09820428744</v>
      </c>
      <c r="AB21">
        <v>3106.5585792828501</v>
      </c>
      <c r="AC21">
        <v>245.07190251421099</v>
      </c>
      <c r="AD21">
        <v>849.13432485902297</v>
      </c>
      <c r="AE21">
        <v>6474.2218104435797</v>
      </c>
    </row>
    <row r="22" spans="1:31" x14ac:dyDescent="0.25">
      <c r="A22" t="s">
        <v>45</v>
      </c>
      <c r="B22">
        <v>7.6802721545169996</v>
      </c>
      <c r="C22">
        <v>476.88</v>
      </c>
      <c r="D22">
        <v>713.25120549181202</v>
      </c>
      <c r="E22">
        <v>60.66</v>
      </c>
      <c r="F22">
        <v>9036.8923203285394</v>
      </c>
      <c r="G22">
        <v>1149.50907597535</v>
      </c>
      <c r="H22">
        <v>0.68576043844223</v>
      </c>
      <c r="I22">
        <v>1.1863266229629501</v>
      </c>
      <c r="J22">
        <v>3915.7378476732501</v>
      </c>
      <c r="K22">
        <v>2263.5065683163898</v>
      </c>
      <c r="L22">
        <v>1045.06107157152</v>
      </c>
      <c r="M22">
        <v>1047.8155414334501</v>
      </c>
      <c r="N22">
        <v>805.66501784710499</v>
      </c>
      <c r="O22">
        <v>498.08894866603703</v>
      </c>
      <c r="P22">
        <v>287.92213645796102</v>
      </c>
      <c r="Q22">
        <v>132.93366172103799</v>
      </c>
      <c r="R22">
        <v>172.38164680893701</v>
      </c>
      <c r="S22">
        <v>110.703581579754</v>
      </c>
      <c r="T22">
        <v>242.20281367330099</v>
      </c>
      <c r="U22">
        <v>174.43625761424499</v>
      </c>
      <c r="V22">
        <v>307.45582051392302</v>
      </c>
      <c r="W22">
        <v>260.45651337120898</v>
      </c>
      <c r="X22">
        <v>267.57452419431797</v>
      </c>
      <c r="Y22">
        <v>1904.0830495305599</v>
      </c>
      <c r="Z22">
        <v>1977.47913195928</v>
      </c>
      <c r="AA22">
        <v>1567.9908751275</v>
      </c>
      <c r="AB22">
        <v>2047.5849340003599</v>
      </c>
      <c r="AC22">
        <v>184.66098374815499</v>
      </c>
      <c r="AD22">
        <v>535.62759635515999</v>
      </c>
      <c r="AE22">
        <v>4210.8487990413596</v>
      </c>
    </row>
    <row r="23" spans="1:31" x14ac:dyDescent="0.25">
      <c r="A23" t="s">
        <v>30</v>
      </c>
      <c r="B23">
        <v>6.98605006336496</v>
      </c>
      <c r="C23">
        <v>1303.54</v>
      </c>
      <c r="D23">
        <v>2874.4705521506698</v>
      </c>
      <c r="E23">
        <v>59.8</v>
      </c>
      <c r="F23">
        <v>24702.1276112251</v>
      </c>
      <c r="G23">
        <v>1133.21204654346</v>
      </c>
      <c r="H23">
        <v>3.8645572960376698E-2</v>
      </c>
      <c r="I23">
        <v>0.56862592697143499</v>
      </c>
      <c r="J23">
        <v>5130.4001946041299</v>
      </c>
      <c r="K23">
        <v>348.67783129851</v>
      </c>
      <c r="L23">
        <v>231.38487548177099</v>
      </c>
      <c r="M23">
        <v>206.17949780037401</v>
      </c>
      <c r="N23">
        <v>133.56494920850801</v>
      </c>
      <c r="O23">
        <v>235.35751234125999</v>
      </c>
      <c r="P23">
        <v>15.995622928065799</v>
      </c>
      <c r="Q23">
        <v>15.835666698785101</v>
      </c>
      <c r="R23">
        <v>9.9198203417385198</v>
      </c>
      <c r="S23">
        <v>6.2154671758028304</v>
      </c>
      <c r="T23">
        <v>114.147793451146</v>
      </c>
      <c r="U23">
        <v>76.547948512998303</v>
      </c>
      <c r="V23">
        <v>155.148741432028</v>
      </c>
      <c r="W23">
        <v>35.342569189065699</v>
      </c>
      <c r="X23">
        <v>46.974193567336798</v>
      </c>
      <c r="Y23">
        <v>2488.2310146372502</v>
      </c>
      <c r="Z23">
        <v>2855.5835119215399</v>
      </c>
      <c r="AA23">
        <v>1719.2943663982301</v>
      </c>
      <c r="AB23">
        <v>770.40890703536297</v>
      </c>
      <c r="AC23">
        <v>30.114651085643299</v>
      </c>
      <c r="AD23">
        <v>72.871659736877902</v>
      </c>
      <c r="AE23">
        <v>1588.4803233011601</v>
      </c>
    </row>
    <row r="24" spans="1:31" x14ac:dyDescent="0.25">
      <c r="A24" t="s">
        <v>50</v>
      </c>
      <c r="B24">
        <v>3.4594792784906101</v>
      </c>
      <c r="C24">
        <v>1243.6099999999999</v>
      </c>
      <c r="D24">
        <v>5562.1631537970798</v>
      </c>
      <c r="E24">
        <v>140.33000000000001</v>
      </c>
      <c r="F24">
        <v>23566.452060232699</v>
      </c>
      <c r="G24">
        <v>2659.2583025325098</v>
      </c>
      <c r="H24">
        <v>0.50160300731658902</v>
      </c>
      <c r="I24">
        <v>0.74859642982482899</v>
      </c>
      <c r="J24">
        <v>6443.65352518277</v>
      </c>
      <c r="K24">
        <v>4317.6214280024597</v>
      </c>
      <c r="L24">
        <v>1284.89750241297</v>
      </c>
      <c r="M24">
        <v>770.40317734643202</v>
      </c>
      <c r="N24">
        <v>1154.53854502441</v>
      </c>
      <c r="O24">
        <v>727.10729182693797</v>
      </c>
      <c r="P24">
        <v>487.20403904084498</v>
      </c>
      <c r="Q24">
        <v>144.988916552305</v>
      </c>
      <c r="R24">
        <v>263.05436990185001</v>
      </c>
      <c r="S24">
        <v>181.607214432608</v>
      </c>
      <c r="T24">
        <v>345.84894763466298</v>
      </c>
      <c r="U24">
        <v>198.76390755099001</v>
      </c>
      <c r="V24">
        <v>357.89999168351</v>
      </c>
      <c r="W24">
        <v>398.27807098290202</v>
      </c>
      <c r="X24">
        <v>357.17012810583998</v>
      </c>
      <c r="Y24">
        <v>3064.92702749194</v>
      </c>
      <c r="Z24">
        <v>2816.8619101255399</v>
      </c>
      <c r="AA24">
        <v>1693.3199452783299</v>
      </c>
      <c r="AB24">
        <v>3529.5559884204799</v>
      </c>
      <c r="AC24">
        <v>220.02298435947301</v>
      </c>
      <c r="AD24">
        <v>837.33344157040301</v>
      </c>
      <c r="AE24">
        <v>7420.4820157583399</v>
      </c>
    </row>
    <row r="25" spans="1:31" x14ac:dyDescent="0.25">
      <c r="A25" t="s">
        <v>32</v>
      </c>
      <c r="B25">
        <v>10.7287705176127</v>
      </c>
      <c r="C25">
        <v>1309.6099999999999</v>
      </c>
      <c r="D25">
        <v>3334.8527068854501</v>
      </c>
      <c r="E25">
        <v>122.28</v>
      </c>
      <c r="F25">
        <v>24817.154318959601</v>
      </c>
      <c r="G25">
        <v>2317.2101848049201</v>
      </c>
      <c r="H25">
        <v>0.24681493639945901</v>
      </c>
      <c r="I25">
        <v>0.82515144348144498</v>
      </c>
      <c r="J25">
        <v>7479.5568866051699</v>
      </c>
      <c r="K25">
        <v>2237.2455042613101</v>
      </c>
      <c r="L25">
        <v>1120.93571408295</v>
      </c>
      <c r="M25">
        <v>1128.8812515002101</v>
      </c>
      <c r="N25">
        <v>817.17647149934999</v>
      </c>
      <c r="O25">
        <v>698.37601735942803</v>
      </c>
      <c r="P25">
        <v>208.89454132228099</v>
      </c>
      <c r="Q25">
        <v>104.66323494632999</v>
      </c>
      <c r="R25">
        <v>127.34098130894</v>
      </c>
      <c r="S25">
        <v>80.753479922984098</v>
      </c>
      <c r="T25">
        <v>342.72530079880801</v>
      </c>
      <c r="U25">
        <v>222.19805915316999</v>
      </c>
      <c r="V25">
        <v>415.95049796639597</v>
      </c>
      <c r="W25">
        <v>348.40441621084699</v>
      </c>
      <c r="X25">
        <v>351.38095897694001</v>
      </c>
      <c r="Y25">
        <v>3670.5633069931901</v>
      </c>
      <c r="Z25">
        <v>3711.1503863165799</v>
      </c>
      <c r="AA25">
        <v>2589.7547397237299</v>
      </c>
      <c r="AB25">
        <v>3731.3862243530202</v>
      </c>
      <c r="AC25">
        <v>225.00406038772499</v>
      </c>
      <c r="AD25">
        <v>709.94842825042394</v>
      </c>
      <c r="AE25">
        <v>7603.4965744278497</v>
      </c>
    </row>
    <row r="26" spans="1:31" x14ac:dyDescent="0.25">
      <c r="A26" t="s">
        <v>51</v>
      </c>
      <c r="B26">
        <v>4.0494639647140396</v>
      </c>
      <c r="C26">
        <v>3035.71</v>
      </c>
      <c r="D26">
        <v>11077.5731120075</v>
      </c>
      <c r="E26">
        <v>15.87</v>
      </c>
      <c r="F26">
        <v>57526.808391512597</v>
      </c>
      <c r="G26">
        <v>300.73704312114899</v>
      </c>
      <c r="H26">
        <v>4.9541942775249398E-2</v>
      </c>
      <c r="I26">
        <v>0.53337699174880904</v>
      </c>
      <c r="J26">
        <v>11207.1396107441</v>
      </c>
      <c r="K26">
        <v>1040.9587924842399</v>
      </c>
      <c r="L26">
        <v>496.79041759005798</v>
      </c>
      <c r="M26">
        <v>500.36905808821598</v>
      </c>
      <c r="N26">
        <v>374.72479876997301</v>
      </c>
      <c r="O26">
        <v>58.588371623939501</v>
      </c>
      <c r="P26">
        <v>5.4418953183027696</v>
      </c>
      <c r="Q26">
        <v>5.3874763651197402</v>
      </c>
      <c r="R26">
        <v>3.3780306544869099</v>
      </c>
      <c r="S26">
        <v>2.1151736571841102</v>
      </c>
      <c r="T26">
        <v>27.989833165414002</v>
      </c>
      <c r="U26">
        <v>14.0379927118887</v>
      </c>
      <c r="V26">
        <v>44.351442284109801</v>
      </c>
      <c r="W26">
        <v>32.367868368239897</v>
      </c>
      <c r="X26">
        <v>42.216906585749797</v>
      </c>
      <c r="Y26">
        <v>5354.0653080390002</v>
      </c>
      <c r="Z26">
        <v>7105.4919654236701</v>
      </c>
      <c r="AA26">
        <v>2292.0203793168498</v>
      </c>
      <c r="AB26">
        <v>6191.5224753717403</v>
      </c>
      <c r="AC26">
        <v>15.4945800895012</v>
      </c>
      <c r="AD26">
        <v>67.752483175801203</v>
      </c>
      <c r="AE26">
        <v>12960.106534443001</v>
      </c>
    </row>
    <row r="27" spans="1:31" x14ac:dyDescent="0.25">
      <c r="A27" t="s">
        <v>40</v>
      </c>
      <c r="B27">
        <v>5.9793572128912098</v>
      </c>
      <c r="C27">
        <v>4406.25</v>
      </c>
      <c r="D27">
        <v>19337.511051440299</v>
      </c>
      <c r="E27">
        <v>188.1</v>
      </c>
      <c r="F27">
        <v>83498.588295687805</v>
      </c>
      <c r="G27">
        <v>3564.5014373716599</v>
      </c>
      <c r="H27">
        <v>0.22671073675155601</v>
      </c>
      <c r="I27">
        <v>0.77894341945648105</v>
      </c>
      <c r="J27">
        <v>23756.106867665399</v>
      </c>
      <c r="K27">
        <v>6914.1921682516104</v>
      </c>
      <c r="L27">
        <v>2117.6221816891298</v>
      </c>
      <c r="M27">
        <v>1352.21198476378</v>
      </c>
      <c r="N27">
        <v>1900.4404743052801</v>
      </c>
      <c r="O27">
        <v>1014.13303870816</v>
      </c>
      <c r="P27">
        <v>295.16245034851102</v>
      </c>
      <c r="Q27">
        <v>90.399939262576297</v>
      </c>
      <c r="R27">
        <v>174.630384733835</v>
      </c>
      <c r="S27">
        <v>113.083838843739</v>
      </c>
      <c r="T27">
        <v>489.74551185971302</v>
      </c>
      <c r="U27">
        <v>205.34535916256601</v>
      </c>
      <c r="V27">
        <v>512.01052945099195</v>
      </c>
      <c r="W27">
        <v>780.16863019541495</v>
      </c>
      <c r="X27">
        <v>653.14079150216696</v>
      </c>
      <c r="Y27">
        <v>11472.3081426468</v>
      </c>
      <c r="Z27">
        <v>10434.778211405101</v>
      </c>
      <c r="AA27">
        <v>4115.0546971511803</v>
      </c>
      <c r="AB27">
        <v>18275.481269529701</v>
      </c>
      <c r="AC27">
        <v>270.64571693976501</v>
      </c>
      <c r="AD27">
        <v>1615.5222753149001</v>
      </c>
      <c r="AE27">
        <v>37843.673714015298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AD99-1FC0-4887-8E82-D338BF4E1BEE}">
  <dimension ref="A1:U55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S56" sqref="S56"/>
    </sheetView>
  </sheetViews>
  <sheetFormatPr defaultRowHeight="14.4" x14ac:dyDescent="0.3"/>
  <cols>
    <col min="1" max="16384" width="8.88671875" style="13"/>
  </cols>
  <sheetData>
    <row r="1" spans="1:21" ht="86.4" x14ac:dyDescent="0.3">
      <c r="A1" s="18" t="s">
        <v>82</v>
      </c>
      <c r="B1" s="18" t="s">
        <v>0</v>
      </c>
      <c r="C1" s="18" t="s">
        <v>83</v>
      </c>
      <c r="D1" s="24" t="s">
        <v>94</v>
      </c>
      <c r="E1" s="18" t="s">
        <v>109</v>
      </c>
      <c r="F1" s="19" t="s">
        <v>110</v>
      </c>
      <c r="G1" s="19" t="s">
        <v>111</v>
      </c>
      <c r="H1" s="19" t="s">
        <v>112</v>
      </c>
      <c r="I1" s="20" t="s">
        <v>113</v>
      </c>
      <c r="J1" s="21" t="s">
        <v>114</v>
      </c>
      <c r="K1" s="21" t="s">
        <v>115</v>
      </c>
      <c r="L1" s="21" t="s">
        <v>116</v>
      </c>
      <c r="M1" s="21" t="s">
        <v>117</v>
      </c>
      <c r="N1" s="21" t="s">
        <v>118</v>
      </c>
      <c r="O1" s="22" t="s">
        <v>119</v>
      </c>
      <c r="P1" s="21" t="s">
        <v>120</v>
      </c>
      <c r="Q1" s="21" t="s">
        <v>121</v>
      </c>
      <c r="R1" s="21" t="s">
        <v>122</v>
      </c>
      <c r="S1" s="21" t="s">
        <v>123</v>
      </c>
      <c r="T1" s="21" t="s">
        <v>124</v>
      </c>
      <c r="U1" s="21" t="s">
        <v>125</v>
      </c>
    </row>
    <row r="2" spans="1:21" x14ac:dyDescent="0.3">
      <c r="A2">
        <v>1</v>
      </c>
      <c r="B2" t="s">
        <v>54</v>
      </c>
      <c r="C2">
        <v>114.549431133357</v>
      </c>
      <c r="D2" t="e">
        <v>#N/A</v>
      </c>
      <c r="E2">
        <v>3183</v>
      </c>
      <c r="F2" s="15">
        <f>4.764+1.838</f>
        <v>6.6020000000000003</v>
      </c>
      <c r="G2" s="15">
        <f>1.392+1.055</f>
        <v>2.4470000000000001</v>
      </c>
      <c r="H2" s="14">
        <f>(G2-F2)/F2</f>
        <v>-0.62935474098757949</v>
      </c>
      <c r="I2" s="16">
        <v>2281</v>
      </c>
      <c r="J2">
        <v>0</v>
      </c>
      <c r="K2">
        <v>179</v>
      </c>
      <c r="L2">
        <v>197</v>
      </c>
      <c r="M2">
        <v>83</v>
      </c>
      <c r="N2">
        <v>40</v>
      </c>
      <c r="O2" s="17">
        <v>514</v>
      </c>
      <c r="P2">
        <v>2779</v>
      </c>
      <c r="Q2">
        <v>2492</v>
      </c>
      <c r="R2">
        <f>F2*365.25</f>
        <v>2411.3805000000002</v>
      </c>
      <c r="S2">
        <f>R2/C2</f>
        <v>21.051003712036785</v>
      </c>
      <c r="T2"/>
      <c r="U2"/>
    </row>
    <row r="3" spans="1:21" x14ac:dyDescent="0.3">
      <c r="A3">
        <v>2</v>
      </c>
      <c r="B3" t="s">
        <v>27</v>
      </c>
      <c r="C3">
        <v>8771.0984718469208</v>
      </c>
      <c r="D3">
        <v>20.642489180431301</v>
      </c>
      <c r="E3">
        <v>97666</v>
      </c>
      <c r="F3">
        <v>181.42699999999999</v>
      </c>
      <c r="G3">
        <v>253.24199999999999</v>
      </c>
      <c r="H3" s="14">
        <f t="shared" ref="H3:H55" si="0">(G3-F3)/F3</f>
        <v>0.3958341371460698</v>
      </c>
      <c r="I3">
        <v>53984</v>
      </c>
      <c r="J3">
        <v>274</v>
      </c>
      <c r="K3">
        <f>2792+373+123+1525</f>
        <v>4813</v>
      </c>
      <c r="L3">
        <v>5247</v>
      </c>
      <c r="M3">
        <v>1903</v>
      </c>
      <c r="N3">
        <v>3842</v>
      </c>
      <c r="O3">
        <v>16326</v>
      </c>
      <c r="P3">
        <v>73613</v>
      </c>
      <c r="Q3">
        <v>66221</v>
      </c>
      <c r="R3">
        <f>F3*365.25</f>
        <v>66266.211750000002</v>
      </c>
      <c r="S3">
        <f>R3/C3</f>
        <v>7.5550641647335643</v>
      </c>
      <c r="T3">
        <f>P3+O3</f>
        <v>89939</v>
      </c>
      <c r="U3">
        <f>Q3+O3</f>
        <v>82547</v>
      </c>
    </row>
    <row r="4" spans="1:21" x14ac:dyDescent="0.3">
      <c r="A4">
        <v>3</v>
      </c>
      <c r="B4" t="s">
        <v>28</v>
      </c>
      <c r="C4">
        <v>4779.4871016583602</v>
      </c>
      <c r="D4">
        <v>28.827715157135799</v>
      </c>
      <c r="E4">
        <v>114651</v>
      </c>
      <c r="F4">
        <f>8.384+36.764+11.882+67.674+7.293+4.337+20.126+34.121+27.238</f>
        <v>217.81900000000002</v>
      </c>
      <c r="G4">
        <f>8.384+36.764+11.882+29.833+7.293+0.773+3.858+7.8+7.9</f>
        <v>114.48700000000001</v>
      </c>
      <c r="H4" s="14">
        <f t="shared" si="0"/>
        <v>-0.47439387748543516</v>
      </c>
      <c r="I4">
        <v>72512</v>
      </c>
      <c r="J4">
        <v>1795</v>
      </c>
      <c r="K4">
        <v>7293</v>
      </c>
      <c r="L4">
        <v>7292</v>
      </c>
      <c r="M4">
        <v>5594</v>
      </c>
      <c r="N4">
        <v>1453</v>
      </c>
      <c r="O4">
        <v>8247</v>
      </c>
      <c r="P4">
        <v>95939</v>
      </c>
      <c r="Q4">
        <v>84068</v>
      </c>
      <c r="R4">
        <f>F4*365.25</f>
        <v>79558.389750000002</v>
      </c>
      <c r="S4">
        <f>R4/C4</f>
        <v>16.645800701584751</v>
      </c>
      <c r="T4">
        <f>P4+O4</f>
        <v>104186</v>
      </c>
      <c r="U4">
        <f>Q4+O4</f>
        <v>92315</v>
      </c>
    </row>
    <row r="5" spans="1:21" x14ac:dyDescent="0.3">
      <c r="A5">
        <v>4</v>
      </c>
      <c r="B5" t="s">
        <v>55</v>
      </c>
      <c r="C5">
        <v>258.95327470244899</v>
      </c>
      <c r="D5" t="e">
        <v>#N/A</v>
      </c>
      <c r="E5">
        <v>1460</v>
      </c>
      <c r="F5"/>
      <c r="G5"/>
      <c r="H5" s="14" t="e">
        <f t="shared" si="0"/>
        <v>#DIV/0!</v>
      </c>
      <c r="I5"/>
      <c r="J5"/>
      <c r="K5"/>
      <c r="L5"/>
      <c r="M5"/>
      <c r="N5"/>
      <c r="O5"/>
      <c r="P5"/>
      <c r="Q5"/>
      <c r="R5">
        <f>F5*365.25</f>
        <v>0</v>
      </c>
      <c r="S5">
        <f>R5/C5</f>
        <v>0</v>
      </c>
      <c r="T5"/>
      <c r="U5"/>
    </row>
    <row r="6" spans="1:21" x14ac:dyDescent="0.3">
      <c r="A6">
        <v>5</v>
      </c>
      <c r="B6" t="s">
        <v>29</v>
      </c>
      <c r="C6">
        <v>604.46743013583</v>
      </c>
      <c r="D6">
        <v>9.7840167558699793</v>
      </c>
      <c r="E6">
        <v>13323</v>
      </c>
      <c r="F6">
        <f>9.61+3.29+2.05</f>
        <v>14.95</v>
      </c>
      <c r="G6">
        <f>2.76+0.43+2.36</f>
        <v>5.55</v>
      </c>
      <c r="H6" s="14">
        <f t="shared" si="0"/>
        <v>-0.62876254180601998</v>
      </c>
      <c r="I6">
        <v>5573</v>
      </c>
      <c r="J6">
        <v>1</v>
      </c>
      <c r="K6">
        <v>485</v>
      </c>
      <c r="L6">
        <v>502</v>
      </c>
      <c r="M6">
        <v>723</v>
      </c>
      <c r="N6">
        <v>242</v>
      </c>
      <c r="O6">
        <v>1261</v>
      </c>
      <c r="P6">
        <v>7526</v>
      </c>
      <c r="Q6">
        <v>6711</v>
      </c>
      <c r="R6">
        <f>F6*365.25</f>
        <v>5460.4875000000002</v>
      </c>
      <c r="S6">
        <f>R6/C6</f>
        <v>9.033551234965584</v>
      </c>
      <c r="T6">
        <f>P6+O6</f>
        <v>8787</v>
      </c>
      <c r="U6">
        <f>Q6+O6</f>
        <v>7972</v>
      </c>
    </row>
    <row r="7" spans="1:21" x14ac:dyDescent="0.3">
      <c r="A7">
        <v>6</v>
      </c>
      <c r="B7" t="s">
        <v>30</v>
      </c>
      <c r="C7">
        <v>2874.4705521506698</v>
      </c>
      <c r="D7">
        <v>145.13551876892399</v>
      </c>
      <c r="E7">
        <v>5838</v>
      </c>
      <c r="F7" s="23" t="e">
        <f>NA()</f>
        <v>#N/A</v>
      </c>
      <c r="G7" s="23" t="e">
        <f>NA()</f>
        <v>#N/A</v>
      </c>
      <c r="H7" s="23" t="e">
        <f>NA()</f>
        <v>#N/A</v>
      </c>
      <c r="I7" s="23" t="e">
        <f>NA()</f>
        <v>#N/A</v>
      </c>
      <c r="J7" s="23" t="e">
        <f>NA()</f>
        <v>#N/A</v>
      </c>
      <c r="K7" s="23" t="e">
        <f>NA()</f>
        <v>#N/A</v>
      </c>
      <c r="L7" s="23" t="e">
        <f>NA()</f>
        <v>#N/A</v>
      </c>
      <c r="M7" s="23" t="e">
        <f>NA()</f>
        <v>#N/A</v>
      </c>
      <c r="N7" s="23" t="e">
        <f>NA()</f>
        <v>#N/A</v>
      </c>
      <c r="O7" s="23" t="e">
        <f>NA()</f>
        <v>#N/A</v>
      </c>
      <c r="P7" s="23" t="e">
        <f>NA()</f>
        <v>#N/A</v>
      </c>
      <c r="Q7" s="23" t="e">
        <f>NA()</f>
        <v>#N/A</v>
      </c>
      <c r="R7" s="23" t="e">
        <f>NA()</f>
        <v>#N/A</v>
      </c>
      <c r="S7" t="e">
        <f>R7/C7</f>
        <v>#N/A</v>
      </c>
      <c r="T7" t="e">
        <f>P7+O7</f>
        <v>#N/A</v>
      </c>
      <c r="U7" t="e">
        <f>Q7+O7</f>
        <v>#N/A</v>
      </c>
    </row>
    <row r="8" spans="1:21" x14ac:dyDescent="0.3">
      <c r="A8">
        <v>7</v>
      </c>
      <c r="B8" t="s">
        <v>31</v>
      </c>
      <c r="C8">
        <v>2778.9380343889502</v>
      </c>
      <c r="D8">
        <v>13.559104377606401</v>
      </c>
      <c r="E8">
        <v>63166</v>
      </c>
      <c r="F8">
        <f>55.7+14.5+9.46+3.452+2.274+16.912+21.26</f>
        <v>123.55800000000001</v>
      </c>
      <c r="G8">
        <f>21.28+14.452+9.46+8.6+3.45+2.274+16.912+15.685</f>
        <v>92.113</v>
      </c>
      <c r="H8" s="14">
        <f t="shared" si="0"/>
        <v>-0.25449586429045473</v>
      </c>
      <c r="I8">
        <v>48493</v>
      </c>
      <c r="J8">
        <v>47</v>
      </c>
      <c r="K8">
        <v>3155</v>
      </c>
      <c r="L8">
        <v>3972</v>
      </c>
      <c r="M8">
        <v>5156</v>
      </c>
      <c r="N8">
        <v>921</v>
      </c>
      <c r="O8">
        <v>3107</v>
      </c>
      <c r="P8">
        <v>61745</v>
      </c>
      <c r="Q8">
        <v>48277</v>
      </c>
      <c r="R8">
        <f>F8*365.25</f>
        <v>45129.559500000003</v>
      </c>
      <c r="S8">
        <f>R8/C8</f>
        <v>16.239858154996021</v>
      </c>
      <c r="T8">
        <f>P8+O8</f>
        <v>64852</v>
      </c>
      <c r="U8">
        <f>Q8+O8</f>
        <v>51384</v>
      </c>
    </row>
    <row r="9" spans="1:21" x14ac:dyDescent="0.3">
      <c r="A9">
        <v>8</v>
      </c>
      <c r="B9" t="s">
        <v>56</v>
      </c>
      <c r="C9">
        <v>143.87496134888499</v>
      </c>
      <c r="D9" t="e">
        <v>#N/A</v>
      </c>
      <c r="E9">
        <v>4492</v>
      </c>
      <c r="F9"/>
      <c r="G9"/>
      <c r="H9" s="14" t="e">
        <f t="shared" si="0"/>
        <v>#DIV/0!</v>
      </c>
      <c r="I9"/>
      <c r="J9"/>
      <c r="K9"/>
      <c r="L9"/>
      <c r="M9"/>
      <c r="N9"/>
      <c r="O9"/>
      <c r="P9"/>
      <c r="Q9"/>
      <c r="R9">
        <f>F9*365.25</f>
        <v>0</v>
      </c>
      <c r="S9">
        <f>R9/C9</f>
        <v>0</v>
      </c>
      <c r="T9"/>
      <c r="U9"/>
    </row>
    <row r="10" spans="1:21" x14ac:dyDescent="0.3">
      <c r="A10">
        <v>9</v>
      </c>
      <c r="B10" t="s">
        <v>57</v>
      </c>
      <c r="C10">
        <v>113.78932754191</v>
      </c>
      <c r="D10" t="e">
        <v>#N/A</v>
      </c>
      <c r="E10">
        <v>1649</v>
      </c>
      <c r="F10"/>
      <c r="G10"/>
      <c r="H10" s="14" t="e">
        <f t="shared" si="0"/>
        <v>#DIV/0!</v>
      </c>
      <c r="I10"/>
      <c r="J10"/>
      <c r="K10"/>
      <c r="L10"/>
      <c r="M10"/>
      <c r="N10"/>
      <c r="O10"/>
      <c r="P10"/>
      <c r="Q10"/>
      <c r="R10">
        <f>F10*365.25</f>
        <v>0</v>
      </c>
      <c r="S10">
        <f>R10/C10</f>
        <v>0</v>
      </c>
      <c r="T10"/>
      <c r="U10"/>
    </row>
    <row r="11" spans="1:21" x14ac:dyDescent="0.3">
      <c r="A11">
        <v>10</v>
      </c>
      <c r="B11" t="s">
        <v>32</v>
      </c>
      <c r="C11">
        <v>3334.8527068854501</v>
      </c>
      <c r="D11">
        <v>27.441627011149201</v>
      </c>
      <c r="E11">
        <v>40705</v>
      </c>
      <c r="F11">
        <f>25+22.63+5.38</f>
        <v>53.01</v>
      </c>
      <c r="G11">
        <f>4.72+1.02+12.4</f>
        <v>18.14</v>
      </c>
      <c r="H11" s="14">
        <f t="shared" si="0"/>
        <v>-0.6578004150160347</v>
      </c>
      <c r="I11">
        <v>21202</v>
      </c>
      <c r="J11">
        <v>539</v>
      </c>
      <c r="K11">
        <v>1700</v>
      </c>
      <c r="L11">
        <v>2319</v>
      </c>
      <c r="M11">
        <v>3128</v>
      </c>
      <c r="N11">
        <v>1302</v>
      </c>
      <c r="O11">
        <v>4781</v>
      </c>
      <c r="P11">
        <v>30196</v>
      </c>
      <c r="Q11">
        <v>21833</v>
      </c>
      <c r="R11">
        <f>F11*365.25</f>
        <v>19361.9025</v>
      </c>
      <c r="S11">
        <f>R11/C11</f>
        <v>5.8059243396338305</v>
      </c>
      <c r="T11">
        <f>P11+O11</f>
        <v>34977</v>
      </c>
      <c r="U11">
        <f>Q11+O11</f>
        <v>26614</v>
      </c>
    </row>
    <row r="12" spans="1:21" x14ac:dyDescent="0.3">
      <c r="A12">
        <v>11</v>
      </c>
      <c r="B12" t="s">
        <v>58</v>
      </c>
      <c r="C12">
        <v>419.84276199965899</v>
      </c>
      <c r="D12" t="e">
        <v>#N/A</v>
      </c>
      <c r="E12">
        <v>6507</v>
      </c>
      <c r="F12"/>
      <c r="G12"/>
      <c r="H12" s="14" t="e">
        <f t="shared" si="0"/>
        <v>#DIV/0!</v>
      </c>
      <c r="I12"/>
      <c r="J12"/>
      <c r="K12"/>
      <c r="L12"/>
      <c r="M12"/>
      <c r="N12"/>
      <c r="O12"/>
      <c r="P12"/>
      <c r="Q12"/>
      <c r="R12">
        <f>F12*365.25</f>
        <v>0</v>
      </c>
      <c r="S12">
        <f>R12/C12</f>
        <v>0</v>
      </c>
      <c r="T12"/>
      <c r="U12"/>
    </row>
    <row r="13" spans="1:21" x14ac:dyDescent="0.3">
      <c r="A13">
        <v>12</v>
      </c>
      <c r="B13" t="s">
        <v>33</v>
      </c>
      <c r="C13">
        <v>641.49203142067302</v>
      </c>
      <c r="D13">
        <v>25.142688125447702</v>
      </c>
      <c r="E13">
        <v>15932</v>
      </c>
      <c r="F13">
        <f>18.55+3.81</f>
        <v>22.36</v>
      </c>
      <c r="G13">
        <f>4.12+3.3</f>
        <v>7.42</v>
      </c>
      <c r="H13" s="14">
        <f t="shared" si="0"/>
        <v>-0.66815742397137745</v>
      </c>
      <c r="I13">
        <v>8458</v>
      </c>
      <c r="J13">
        <v>499</v>
      </c>
      <c r="K13">
        <v>909</v>
      </c>
      <c r="L13">
        <v>688</v>
      </c>
      <c r="M13">
        <v>763</v>
      </c>
      <c r="N13">
        <v>281</v>
      </c>
      <c r="O13">
        <v>949</v>
      </c>
      <c r="P13">
        <v>11598</v>
      </c>
      <c r="Q13">
        <v>8941</v>
      </c>
      <c r="R13">
        <f>F13*365.25</f>
        <v>8166.99</v>
      </c>
      <c r="S13">
        <f>R13/C13</f>
        <v>12.731241543114836</v>
      </c>
      <c r="T13">
        <f>P13+O13</f>
        <v>12547</v>
      </c>
      <c r="U13">
        <f>Q13+O13</f>
        <v>9890</v>
      </c>
    </row>
    <row r="14" spans="1:21" x14ac:dyDescent="0.3">
      <c r="A14">
        <v>13</v>
      </c>
      <c r="B14" t="s">
        <v>59</v>
      </c>
      <c r="C14">
        <v>417.69286584226199</v>
      </c>
      <c r="D14" t="e">
        <v>#N/A</v>
      </c>
      <c r="E14">
        <v>0</v>
      </c>
      <c r="F14"/>
      <c r="G14"/>
      <c r="H14" s="14" t="e">
        <f t="shared" si="0"/>
        <v>#DIV/0!</v>
      </c>
      <c r="I14"/>
      <c r="J14"/>
      <c r="K14"/>
      <c r="L14"/>
      <c r="M14"/>
      <c r="N14"/>
      <c r="O14"/>
      <c r="P14"/>
      <c r="Q14"/>
      <c r="R14">
        <f>F14*365.25</f>
        <v>0</v>
      </c>
      <c r="S14">
        <f>R14/C14</f>
        <v>0</v>
      </c>
      <c r="T14"/>
      <c r="U14"/>
    </row>
    <row r="15" spans="1:21" x14ac:dyDescent="0.3">
      <c r="A15">
        <v>14</v>
      </c>
      <c r="B15" t="s">
        <v>60</v>
      </c>
      <c r="C15">
        <v>269.22315124434601</v>
      </c>
      <c r="D15" t="e">
        <v>#N/A</v>
      </c>
      <c r="E15">
        <v>1764</v>
      </c>
      <c r="F15"/>
      <c r="G15"/>
      <c r="H15" s="14" t="e">
        <f t="shared" si="0"/>
        <v>#DIV/0!</v>
      </c>
      <c r="I15"/>
      <c r="J15"/>
      <c r="K15"/>
      <c r="L15"/>
      <c r="M15"/>
      <c r="N15"/>
      <c r="O15"/>
      <c r="P15"/>
      <c r="Q15"/>
      <c r="R15">
        <f>F15*365.25</f>
        <v>0</v>
      </c>
      <c r="S15">
        <f>R15/C15</f>
        <v>0</v>
      </c>
      <c r="T15"/>
      <c r="U15"/>
    </row>
    <row r="16" spans="1:21" x14ac:dyDescent="0.3">
      <c r="A16">
        <v>15</v>
      </c>
      <c r="B16" t="s">
        <v>34</v>
      </c>
      <c r="C16">
        <v>3865.6556098022302</v>
      </c>
      <c r="D16">
        <v>72.372624993793806</v>
      </c>
      <c r="E16">
        <v>43776</v>
      </c>
      <c r="F16">
        <v>62.816000000000003</v>
      </c>
      <c r="G16">
        <v>47.945</v>
      </c>
      <c r="H16" s="14">
        <f t="shared" si="0"/>
        <v>-0.23673904737646462</v>
      </c>
      <c r="I16">
        <v>24589</v>
      </c>
      <c r="J16">
        <v>158</v>
      </c>
      <c r="K16">
        <f>3434+1546+77+2149</f>
        <v>7206</v>
      </c>
      <c r="L16">
        <v>2532</v>
      </c>
      <c r="M16">
        <v>6432</v>
      </c>
      <c r="N16">
        <v>1352</v>
      </c>
      <c r="O16">
        <v>9729</v>
      </c>
      <c r="P16">
        <v>41340</v>
      </c>
      <c r="Q16">
        <v>23164</v>
      </c>
      <c r="R16">
        <f>F16*365.25</f>
        <v>22943.544000000002</v>
      </c>
      <c r="S16">
        <f>R16/C16</f>
        <v>5.9352271169272139</v>
      </c>
      <c r="T16">
        <f>P16+O16</f>
        <v>51069</v>
      </c>
      <c r="U16">
        <f>Q16+O16</f>
        <v>32893</v>
      </c>
    </row>
    <row r="17" spans="1:21" x14ac:dyDescent="0.3">
      <c r="A17">
        <v>16</v>
      </c>
      <c r="B17" t="s">
        <v>35</v>
      </c>
      <c r="C17">
        <v>3534.0988501863799</v>
      </c>
      <c r="D17">
        <v>8.5284805223007591</v>
      </c>
      <c r="E17">
        <v>75755</v>
      </c>
      <c r="F17">
        <v>133.90899999999999</v>
      </c>
      <c r="G17">
        <v>97.822000000000003</v>
      </c>
      <c r="H17" s="14">
        <f t="shared" si="0"/>
        <v>-0.26948898132313731</v>
      </c>
      <c r="I17">
        <v>34909</v>
      </c>
      <c r="J17">
        <v>12367</v>
      </c>
      <c r="K17">
        <v>3084</v>
      </c>
      <c r="L17">
        <v>4937</v>
      </c>
      <c r="M17">
        <v>6100</v>
      </c>
      <c r="N17">
        <v>1107</v>
      </c>
      <c r="O17">
        <v>17237</v>
      </c>
      <c r="P17">
        <v>62504</v>
      </c>
      <c r="Q17">
        <v>56327</v>
      </c>
      <c r="R17">
        <f>F17*365.25</f>
        <v>48910.26225</v>
      </c>
      <c r="S17">
        <f>R17/C17</f>
        <v>13.839528638940189</v>
      </c>
      <c r="T17">
        <f>P17+O17</f>
        <v>79741</v>
      </c>
      <c r="U17">
        <f>Q17+O17</f>
        <v>73564</v>
      </c>
    </row>
    <row r="18" spans="1:21" x14ac:dyDescent="0.3">
      <c r="A18">
        <v>17</v>
      </c>
      <c r="B18" t="s">
        <v>61</v>
      </c>
      <c r="C18">
        <v>194.972881445594</v>
      </c>
      <c r="D18" t="e">
        <v>#N/A</v>
      </c>
      <c r="E18">
        <v>5277</v>
      </c>
      <c r="F18"/>
      <c r="G18"/>
      <c r="H18" s="14" t="e">
        <f t="shared" si="0"/>
        <v>#DIV/0!</v>
      </c>
      <c r="I18"/>
      <c r="J18"/>
      <c r="K18"/>
      <c r="L18"/>
      <c r="M18"/>
      <c r="N18"/>
      <c r="O18"/>
      <c r="P18"/>
      <c r="Q18"/>
      <c r="R18">
        <f>F18*365.25</f>
        <v>0</v>
      </c>
      <c r="S18">
        <f>R18/C18</f>
        <v>0</v>
      </c>
      <c r="T18"/>
      <c r="U18"/>
    </row>
    <row r="19" spans="1:21" x14ac:dyDescent="0.3">
      <c r="A19">
        <v>18</v>
      </c>
      <c r="B19" t="s">
        <v>62</v>
      </c>
      <c r="C19">
        <v>331.93027460467101</v>
      </c>
      <c r="D19" t="e">
        <v>#N/A</v>
      </c>
      <c r="E19">
        <v>4186</v>
      </c>
      <c r="F19"/>
      <c r="G19"/>
      <c r="H19" s="14" t="e">
        <f t="shared" si="0"/>
        <v>#DIV/0!</v>
      </c>
      <c r="I19"/>
      <c r="J19"/>
      <c r="K19"/>
      <c r="L19"/>
      <c r="M19"/>
      <c r="N19"/>
      <c r="O19"/>
      <c r="P19"/>
      <c r="Q19"/>
      <c r="R19">
        <f>F19*365.25</f>
        <v>0</v>
      </c>
      <c r="S19">
        <f>R19/C19</f>
        <v>0</v>
      </c>
      <c r="T19"/>
      <c r="U19"/>
    </row>
    <row r="20" spans="1:21" x14ac:dyDescent="0.3">
      <c r="A20">
        <v>19</v>
      </c>
      <c r="B20" t="s">
        <v>63</v>
      </c>
      <c r="C20">
        <v>688.52720486422902</v>
      </c>
      <c r="D20" t="e">
        <v>#N/A</v>
      </c>
      <c r="E20">
        <v>5127</v>
      </c>
      <c r="F20"/>
      <c r="G20"/>
      <c r="H20" s="14" t="e">
        <f t="shared" si="0"/>
        <v>#DIV/0!</v>
      </c>
      <c r="I20"/>
      <c r="J20"/>
      <c r="K20"/>
      <c r="L20"/>
      <c r="M20"/>
      <c r="N20"/>
      <c r="O20"/>
      <c r="P20"/>
      <c r="Q20"/>
      <c r="R20">
        <f>F20*365.25</f>
        <v>0</v>
      </c>
      <c r="S20">
        <f>R20/C20</f>
        <v>0</v>
      </c>
      <c r="T20"/>
      <c r="U20"/>
    </row>
    <row r="21" spans="1:21" x14ac:dyDescent="0.3">
      <c r="A21">
        <v>20</v>
      </c>
      <c r="B21" t="s">
        <v>64</v>
      </c>
      <c r="C21">
        <v>1099.5059152783599</v>
      </c>
      <c r="D21" t="e">
        <v>#N/A</v>
      </c>
      <c r="E21">
        <v>11361</v>
      </c>
      <c r="F21"/>
      <c r="G21"/>
      <c r="H21" s="14" t="e">
        <f t="shared" si="0"/>
        <v>#DIV/0!</v>
      </c>
      <c r="I21"/>
      <c r="J21"/>
      <c r="K21"/>
      <c r="L21"/>
      <c r="M21"/>
      <c r="N21"/>
      <c r="O21"/>
      <c r="P21"/>
      <c r="Q21"/>
      <c r="R21">
        <f>F21*365.25</f>
        <v>0</v>
      </c>
      <c r="S21">
        <f>R21/C21</f>
        <v>0</v>
      </c>
      <c r="T21"/>
      <c r="U21"/>
    </row>
    <row r="22" spans="1:21" x14ac:dyDescent="0.3">
      <c r="A22">
        <v>21</v>
      </c>
      <c r="B22" t="s">
        <v>36</v>
      </c>
      <c r="C22">
        <v>629.73904350898897</v>
      </c>
      <c r="D22">
        <v>1.72588153470567</v>
      </c>
      <c r="E22">
        <v>7931</v>
      </c>
      <c r="F22">
        <v>12.685</v>
      </c>
      <c r="G22">
        <v>45.89</v>
      </c>
      <c r="H22" s="14">
        <f t="shared" si="0"/>
        <v>2.6176586519511233</v>
      </c>
      <c r="I22">
        <v>3916</v>
      </c>
      <c r="J22">
        <v>1196</v>
      </c>
      <c r="K22">
        <v>455</v>
      </c>
      <c r="L22">
        <v>433</v>
      </c>
      <c r="M22">
        <v>1040</v>
      </c>
      <c r="N22">
        <v>381</v>
      </c>
      <c r="O22">
        <v>5331</v>
      </c>
      <c r="P22">
        <v>7421</v>
      </c>
      <c r="Q22">
        <v>5834</v>
      </c>
      <c r="R22">
        <f>F22*365.25</f>
        <v>4633.19625</v>
      </c>
      <c r="S22">
        <f>R22/C22</f>
        <v>7.3573272893851707</v>
      </c>
      <c r="T22">
        <f>P22+O22</f>
        <v>12752</v>
      </c>
      <c r="U22">
        <f>Q22+O22</f>
        <v>11165</v>
      </c>
    </row>
    <row r="23" spans="1:21" x14ac:dyDescent="0.3">
      <c r="A23">
        <v>22</v>
      </c>
      <c r="B23" t="s">
        <v>65</v>
      </c>
      <c r="C23">
        <v>1918.0114797204401</v>
      </c>
      <c r="D23" t="e">
        <v>#N/A</v>
      </c>
      <c r="E23">
        <v>22536</v>
      </c>
      <c r="F23"/>
      <c r="G23"/>
      <c r="H23" s="14" t="e">
        <f t="shared" si="0"/>
        <v>#DIV/0!</v>
      </c>
      <c r="I23"/>
      <c r="J23"/>
      <c r="K23"/>
      <c r="L23"/>
      <c r="M23"/>
      <c r="N23"/>
      <c r="O23"/>
      <c r="P23"/>
      <c r="Q23"/>
      <c r="R23">
        <f>F23*365.25</f>
        <v>0</v>
      </c>
      <c r="S23">
        <f>R23/C23</f>
        <v>0</v>
      </c>
      <c r="T23"/>
      <c r="U23"/>
    </row>
    <row r="24" spans="1:21" x14ac:dyDescent="0.3">
      <c r="A24">
        <v>23</v>
      </c>
      <c r="B24" t="s">
        <v>66</v>
      </c>
      <c r="C24">
        <v>162.41732979864</v>
      </c>
      <c r="D24" t="e">
        <v>#N/A</v>
      </c>
      <c r="E24">
        <v>3155</v>
      </c>
      <c r="F24"/>
      <c r="G24"/>
      <c r="H24" s="14" t="e">
        <f t="shared" si="0"/>
        <v>#DIV/0!</v>
      </c>
      <c r="I24"/>
      <c r="J24"/>
      <c r="K24"/>
      <c r="L24"/>
      <c r="M24"/>
      <c r="N24"/>
      <c r="O24"/>
      <c r="P24"/>
      <c r="Q24"/>
      <c r="R24">
        <f>F24*365.25</f>
        <v>0</v>
      </c>
      <c r="S24">
        <f>R24/C24</f>
        <v>0</v>
      </c>
      <c r="T24"/>
      <c r="U24"/>
    </row>
    <row r="25" spans="1:21" x14ac:dyDescent="0.3">
      <c r="A25">
        <v>24</v>
      </c>
      <c r="B25" t="s">
        <v>67</v>
      </c>
      <c r="C25">
        <v>1062.1764393159599</v>
      </c>
      <c r="D25" t="e">
        <v>#N/A</v>
      </c>
      <c r="E25">
        <v>3066</v>
      </c>
      <c r="F25"/>
      <c r="G25"/>
      <c r="H25" s="14" t="e">
        <f t="shared" si="0"/>
        <v>#DIV/0!</v>
      </c>
      <c r="I25"/>
      <c r="J25"/>
      <c r="K25"/>
      <c r="L25"/>
      <c r="M25"/>
      <c r="N25"/>
      <c r="O25"/>
      <c r="P25"/>
      <c r="Q25"/>
      <c r="R25">
        <f>F25*365.25</f>
        <v>0</v>
      </c>
      <c r="S25">
        <f>R25/C25</f>
        <v>0</v>
      </c>
      <c r="T25"/>
      <c r="U25"/>
    </row>
    <row r="26" spans="1:21" x14ac:dyDescent="0.3">
      <c r="A26">
        <v>25</v>
      </c>
      <c r="B26" t="s">
        <v>37</v>
      </c>
      <c r="C26">
        <v>1127.4748309839899</v>
      </c>
      <c r="D26">
        <v>25.728710053183001</v>
      </c>
      <c r="E26">
        <v>37577</v>
      </c>
      <c r="F26">
        <v>67.022000000000006</v>
      </c>
      <c r="G26">
        <v>13.459</v>
      </c>
      <c r="H26" s="14">
        <f t="shared" si="0"/>
        <v>-0.79918534212646586</v>
      </c>
      <c r="I26">
        <v>22821</v>
      </c>
      <c r="J26">
        <v>145</v>
      </c>
      <c r="K26">
        <v>1973</v>
      </c>
      <c r="L26">
        <v>1881</v>
      </c>
      <c r="M26">
        <v>1163</v>
      </c>
      <c r="N26">
        <v>419</v>
      </c>
      <c r="O26">
        <v>13272</v>
      </c>
      <c r="P26">
        <v>28402</v>
      </c>
      <c r="Q26">
        <v>25221</v>
      </c>
      <c r="R26">
        <f>F26*365.25</f>
        <v>24479.785500000002</v>
      </c>
      <c r="S26">
        <f>R26/C26</f>
        <v>21.712046093867627</v>
      </c>
      <c r="T26">
        <f>P26+O26</f>
        <v>41674</v>
      </c>
      <c r="U26">
        <f>Q26+O26</f>
        <v>38493</v>
      </c>
    </row>
    <row r="27" spans="1:21" x14ac:dyDescent="0.3">
      <c r="A27">
        <v>26</v>
      </c>
      <c r="B27" t="s">
        <v>38</v>
      </c>
      <c r="C27">
        <v>1276.51037162022</v>
      </c>
      <c r="D27">
        <v>10.6731358358916</v>
      </c>
      <c r="E27">
        <v>12396</v>
      </c>
      <c r="F27">
        <v>29.302</v>
      </c>
      <c r="G27">
        <v>19.245000000000001</v>
      </c>
      <c r="H27" s="14">
        <f t="shared" si="0"/>
        <v>-0.34321889290833385</v>
      </c>
      <c r="I27">
        <v>8466</v>
      </c>
      <c r="J27">
        <v>0</v>
      </c>
      <c r="K27">
        <v>1833</v>
      </c>
      <c r="L27">
        <v>417</v>
      </c>
      <c r="M27">
        <v>2347</v>
      </c>
      <c r="N27">
        <v>558</v>
      </c>
      <c r="O27">
        <v>4293</v>
      </c>
      <c r="P27">
        <v>13620</v>
      </c>
      <c r="Q27">
        <v>12903</v>
      </c>
      <c r="R27">
        <f>F27*365.25</f>
        <v>10702.5555</v>
      </c>
      <c r="S27">
        <f>R27/C27</f>
        <v>8.384229175056138</v>
      </c>
      <c r="T27">
        <f>P27+O27</f>
        <v>17913</v>
      </c>
      <c r="U27">
        <f>Q27+O27</f>
        <v>17196</v>
      </c>
    </row>
    <row r="28" spans="1:21" x14ac:dyDescent="0.3">
      <c r="A28">
        <v>27</v>
      </c>
      <c r="B28" t="s">
        <v>39</v>
      </c>
      <c r="C28">
        <v>6012.28155545155</v>
      </c>
      <c r="D28">
        <v>10.279667814518801</v>
      </c>
      <c r="E28">
        <v>87090</v>
      </c>
      <c r="F28">
        <v>127.203</v>
      </c>
      <c r="G28">
        <v>81.031999999999996</v>
      </c>
      <c r="H28" s="14">
        <f t="shared" si="0"/>
        <v>-0.3629709991116562</v>
      </c>
      <c r="I28">
        <v>34290</v>
      </c>
      <c r="J28">
        <v>0</v>
      </c>
      <c r="K28">
        <v>7117</v>
      </c>
      <c r="L28">
        <v>4074</v>
      </c>
      <c r="M28">
        <v>33403</v>
      </c>
      <c r="N28">
        <v>2283</v>
      </c>
      <c r="O28">
        <v>14636</v>
      </c>
      <c r="P28">
        <v>81167</v>
      </c>
      <c r="Q28">
        <v>78001</v>
      </c>
      <c r="R28">
        <f>F28*365.25</f>
        <v>46460.895750000003</v>
      </c>
      <c r="S28">
        <f>R28/C28</f>
        <v>7.7276646679782077</v>
      </c>
      <c r="T28">
        <f>P28+O28</f>
        <v>95803</v>
      </c>
      <c r="U28">
        <f>Q28+O28</f>
        <v>92637</v>
      </c>
    </row>
    <row r="29" spans="1:21" x14ac:dyDescent="0.3">
      <c r="A29">
        <v>28</v>
      </c>
      <c r="B29" t="s">
        <v>40</v>
      </c>
      <c r="C29">
        <v>19337.511051440299</v>
      </c>
      <c r="D29">
        <v>448.798194929933</v>
      </c>
      <c r="E29" t="e">
        <f>NA()</f>
        <v>#N/A</v>
      </c>
      <c r="F29">
        <v>454.71</v>
      </c>
      <c r="G29">
        <v>420.95</v>
      </c>
      <c r="H29" s="14">
        <f t="shared" si="0"/>
        <v>-7.424512326537791E-2</v>
      </c>
      <c r="I29">
        <v>113728</v>
      </c>
      <c r="J29">
        <v>18953</v>
      </c>
      <c r="K29">
        <f>8815+6816+555+4599+2471</f>
        <v>23256</v>
      </c>
      <c r="L29">
        <v>19136</v>
      </c>
      <c r="M29">
        <v>7946</v>
      </c>
      <c r="N29">
        <f>7831+62034</f>
        <v>69865</v>
      </c>
      <c r="O29">
        <v>42925</v>
      </c>
      <c r="P29">
        <v>252884</v>
      </c>
      <c r="Q29">
        <v>216935</v>
      </c>
      <c r="R29">
        <f>F29*365.25</f>
        <v>166082.82749999998</v>
      </c>
      <c r="S29">
        <f>R29/C29</f>
        <v>8.5886351691382625</v>
      </c>
      <c r="T29">
        <f>P29+O29</f>
        <v>295809</v>
      </c>
      <c r="U29">
        <f>Q29+O29</f>
        <v>259860</v>
      </c>
    </row>
    <row r="30" spans="1:21" x14ac:dyDescent="0.3">
      <c r="A30">
        <v>29</v>
      </c>
      <c r="B30" t="s">
        <v>42</v>
      </c>
      <c r="C30">
        <v>1697.04929287447</v>
      </c>
      <c r="D30">
        <v>29.951216946757899</v>
      </c>
      <c r="E30">
        <v>14808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F30*365.25</f>
        <v>#N/A</v>
      </c>
      <c r="S30" t="e">
        <f>R30/C30</f>
        <v>#N/A</v>
      </c>
      <c r="T30" t="e">
        <f>P30+O30</f>
        <v>#N/A</v>
      </c>
      <c r="U30" t="e">
        <f>Q30+O30</f>
        <v>#N/A</v>
      </c>
    </row>
    <row r="31" spans="1:21" x14ac:dyDescent="0.3">
      <c r="A31">
        <v>30</v>
      </c>
      <c r="B31" t="s">
        <v>68</v>
      </c>
      <c r="C31">
        <v>880.13844331285395</v>
      </c>
      <c r="D31" t="e">
        <v>#N/A</v>
      </c>
      <c r="E31">
        <v>5812</v>
      </c>
      <c r="F31"/>
      <c r="G31"/>
      <c r="H31" s="14" t="e">
        <f t="shared" si="0"/>
        <v>#DIV/0!</v>
      </c>
      <c r="I31"/>
      <c r="J31"/>
      <c r="K31"/>
      <c r="L31"/>
      <c r="M31"/>
      <c r="N31"/>
      <c r="O31"/>
      <c r="P31"/>
      <c r="Q31"/>
      <c r="R31">
        <f>F31*365.25</f>
        <v>0</v>
      </c>
      <c r="S31">
        <f>R31/C31</f>
        <v>0</v>
      </c>
      <c r="T31"/>
      <c r="U31"/>
    </row>
    <row r="32" spans="1:21" x14ac:dyDescent="0.3">
      <c r="A32">
        <v>31</v>
      </c>
      <c r="B32" t="s">
        <v>43</v>
      </c>
      <c r="C32">
        <v>5300.3633572647504</v>
      </c>
      <c r="D32">
        <v>19.766020042326002</v>
      </c>
      <c r="E32">
        <v>76652</v>
      </c>
      <c r="F32">
        <f>27.67+30.77+3.15+0.76+6.76</f>
        <v>69.11</v>
      </c>
      <c r="G32">
        <f>13.95+19.71+0.76+0.76+2.77</f>
        <v>37.949999999999996</v>
      </c>
      <c r="H32" s="14">
        <f t="shared" si="0"/>
        <v>-0.45087541600347281</v>
      </c>
      <c r="I32">
        <f>32300</f>
        <v>32300</v>
      </c>
      <c r="J32">
        <v>227</v>
      </c>
      <c r="K32">
        <v>3765</v>
      </c>
      <c r="L32">
        <v>2668</v>
      </c>
      <c r="M32">
        <v>7584</v>
      </c>
      <c r="N32">
        <v>1971</v>
      </c>
      <c r="O32">
        <v>9394</v>
      </c>
      <c r="P32">
        <v>48513</v>
      </c>
      <c r="Q32">
        <v>31885</v>
      </c>
      <c r="R32">
        <f>F32*365.25</f>
        <v>25242.427500000002</v>
      </c>
      <c r="S32">
        <f>R32/C32</f>
        <v>4.7623956696105347</v>
      </c>
      <c r="T32">
        <f>P32+O32</f>
        <v>57907</v>
      </c>
      <c r="U32">
        <f>Q32+O32</f>
        <v>41279</v>
      </c>
    </row>
    <row r="33" spans="1:21" x14ac:dyDescent="0.3">
      <c r="A33">
        <v>32</v>
      </c>
      <c r="B33" t="s">
        <v>69</v>
      </c>
      <c r="C33">
        <v>1652.86848108043</v>
      </c>
      <c r="D33" t="e">
        <v>#N/A</v>
      </c>
      <c r="E33">
        <v>16383</v>
      </c>
      <c r="F33"/>
      <c r="G33"/>
      <c r="H33" s="14" t="e">
        <f t="shared" si="0"/>
        <v>#DIV/0!</v>
      </c>
      <c r="I33"/>
      <c r="J33"/>
      <c r="K33"/>
      <c r="L33"/>
      <c r="M33"/>
      <c r="N33"/>
      <c r="O33"/>
      <c r="P33"/>
      <c r="Q33"/>
      <c r="R33">
        <f>F33*365.25</f>
        <v>0</v>
      </c>
      <c r="S33">
        <f>R33/C33</f>
        <v>0</v>
      </c>
      <c r="T33"/>
      <c r="U33"/>
    </row>
    <row r="34" spans="1:21" x14ac:dyDescent="0.3">
      <c r="A34">
        <v>33</v>
      </c>
      <c r="B34" t="s">
        <v>70</v>
      </c>
      <c r="C34">
        <v>125.654640164078</v>
      </c>
      <c r="D34" t="e">
        <v>#N/A</v>
      </c>
      <c r="E34">
        <v>1546</v>
      </c>
      <c r="F34"/>
      <c r="G34"/>
      <c r="H34" s="14" t="e">
        <f t="shared" si="0"/>
        <v>#DIV/0!</v>
      </c>
      <c r="I34"/>
      <c r="J34"/>
      <c r="K34"/>
      <c r="L34"/>
      <c r="M34"/>
      <c r="N34"/>
      <c r="O34"/>
      <c r="P34"/>
      <c r="Q34"/>
      <c r="R34">
        <f>F34*365.25</f>
        <v>0</v>
      </c>
      <c r="S34">
        <f>R34/C34</f>
        <v>0</v>
      </c>
      <c r="T34"/>
      <c r="U34"/>
    </row>
    <row r="35" spans="1:21" x14ac:dyDescent="0.3">
      <c r="A35">
        <v>34</v>
      </c>
      <c r="B35" t="s">
        <v>71</v>
      </c>
      <c r="C35">
        <v>568.15319837541301</v>
      </c>
      <c r="D35" t="e">
        <v>#N/A</v>
      </c>
      <c r="E35">
        <v>4668</v>
      </c>
      <c r="F35"/>
      <c r="G35"/>
      <c r="H35" s="14" t="e">
        <f t="shared" si="0"/>
        <v>#DIV/0!</v>
      </c>
      <c r="I35"/>
      <c r="J35"/>
      <c r="K35"/>
      <c r="L35"/>
      <c r="M35"/>
      <c r="N35"/>
      <c r="O35"/>
      <c r="P35"/>
      <c r="Q35"/>
      <c r="R35">
        <f>F35*365.25</f>
        <v>0</v>
      </c>
      <c r="S35">
        <f>R35/C35</f>
        <v>0</v>
      </c>
      <c r="T35"/>
      <c r="U35"/>
    </row>
    <row r="36" spans="1:21" x14ac:dyDescent="0.3">
      <c r="A36">
        <v>35</v>
      </c>
      <c r="B36" t="s">
        <v>72</v>
      </c>
      <c r="C36">
        <v>507.34119053263998</v>
      </c>
      <c r="D36" t="e">
        <v>#N/A</v>
      </c>
      <c r="E36">
        <v>3509</v>
      </c>
      <c r="F36"/>
      <c r="G36"/>
      <c r="H36" s="14" t="e">
        <f t="shared" si="0"/>
        <v>#DIV/0!</v>
      </c>
      <c r="I36"/>
      <c r="J36"/>
      <c r="K36"/>
      <c r="L36"/>
      <c r="M36"/>
      <c r="N36"/>
      <c r="O36"/>
      <c r="P36"/>
      <c r="Q36"/>
      <c r="R36">
        <f>F36*365.25</f>
        <v>0</v>
      </c>
      <c r="S36">
        <f>R36/C36</f>
        <v>0</v>
      </c>
      <c r="T36"/>
      <c r="U36"/>
    </row>
    <row r="37" spans="1:21" x14ac:dyDescent="0.3">
      <c r="A37">
        <v>36</v>
      </c>
      <c r="B37" t="s">
        <v>73</v>
      </c>
      <c r="C37">
        <v>712.48653148448795</v>
      </c>
      <c r="D37" t="e">
        <v>#N/A</v>
      </c>
      <c r="E37">
        <v>8911</v>
      </c>
      <c r="F37"/>
      <c r="G37"/>
      <c r="H37" s="14" t="e">
        <f t="shared" si="0"/>
        <v>#DIV/0!</v>
      </c>
      <c r="I37"/>
      <c r="J37"/>
      <c r="K37"/>
      <c r="L37"/>
      <c r="M37"/>
      <c r="N37"/>
      <c r="O37"/>
      <c r="Q37"/>
      <c r="R37">
        <f>F37*365.25</f>
        <v>0</v>
      </c>
      <c r="S37">
        <f>R37/C37</f>
        <v>0</v>
      </c>
      <c r="T37"/>
      <c r="U37"/>
    </row>
    <row r="38" spans="1:21" x14ac:dyDescent="0.3">
      <c r="A38">
        <v>37</v>
      </c>
      <c r="B38" t="s">
        <v>74</v>
      </c>
      <c r="C38">
        <v>245.999581599897</v>
      </c>
      <c r="D38" t="e">
        <v>#N/A</v>
      </c>
      <c r="E38">
        <v>2921</v>
      </c>
      <c r="F38"/>
      <c r="G38"/>
      <c r="H38" s="14" t="e">
        <f t="shared" si="0"/>
        <v>#DIV/0!</v>
      </c>
      <c r="I38"/>
      <c r="J38"/>
      <c r="K38"/>
      <c r="L38"/>
      <c r="M38"/>
      <c r="N38"/>
      <c r="O38"/>
      <c r="P38"/>
      <c r="Q38"/>
      <c r="R38">
        <f>F38*365.25</f>
        <v>0</v>
      </c>
      <c r="S38">
        <f>R38/C38</f>
        <v>0</v>
      </c>
      <c r="T38"/>
      <c r="U38"/>
    </row>
    <row r="39" spans="1:21" x14ac:dyDescent="0.3">
      <c r="A39">
        <v>38</v>
      </c>
      <c r="B39" t="s">
        <v>75</v>
      </c>
      <c r="C39">
        <v>28.6351422526966</v>
      </c>
      <c r="D39" t="e">
        <v>#N/A</v>
      </c>
      <c r="E39">
        <v>135</v>
      </c>
      <c r="F39"/>
      <c r="G39"/>
      <c r="H39" s="14" t="e">
        <f t="shared" si="0"/>
        <v>#DIV/0!</v>
      </c>
      <c r="I39"/>
      <c r="J39"/>
      <c r="K39"/>
      <c r="L39"/>
      <c r="M39"/>
      <c r="N39"/>
      <c r="O39"/>
      <c r="P39"/>
      <c r="Q39"/>
      <c r="R39">
        <f>F39*365.25</f>
        <v>0</v>
      </c>
      <c r="S39">
        <f>R39/C39</f>
        <v>0</v>
      </c>
      <c r="T39"/>
      <c r="U39"/>
    </row>
    <row r="40" spans="1:21" x14ac:dyDescent="0.3">
      <c r="A40">
        <v>39</v>
      </c>
      <c r="B40" t="s">
        <v>76</v>
      </c>
      <c r="C40">
        <v>190.27735865033199</v>
      </c>
      <c r="D40" t="e">
        <v>#N/A</v>
      </c>
      <c r="E40">
        <v>5455</v>
      </c>
      <c r="F40"/>
      <c r="G40"/>
      <c r="H40" s="14" t="e">
        <f t="shared" si="0"/>
        <v>#DIV/0!</v>
      </c>
      <c r="I40"/>
      <c r="J40"/>
      <c r="K40"/>
      <c r="L40"/>
      <c r="M40"/>
      <c r="N40"/>
      <c r="O40"/>
      <c r="P40"/>
      <c r="Q40"/>
      <c r="R40">
        <f>F40*365.25</f>
        <v>0</v>
      </c>
      <c r="S40">
        <f>R40/C40</f>
        <v>0</v>
      </c>
      <c r="T40"/>
      <c r="U40"/>
    </row>
    <row r="41" spans="1:21" x14ac:dyDescent="0.3">
      <c r="A41">
        <v>40</v>
      </c>
      <c r="B41" t="s">
        <v>44</v>
      </c>
      <c r="C41">
        <v>2768.84443917407</v>
      </c>
      <c r="D41">
        <v>3.7429486559631702</v>
      </c>
      <c r="E41">
        <v>19676</v>
      </c>
      <c r="F41">
        <v>40.381</v>
      </c>
      <c r="G41">
        <v>95.745000000000005</v>
      </c>
      <c r="H41" s="14">
        <f t="shared" si="0"/>
        <v>1.3710408360367501</v>
      </c>
      <c r="I41">
        <v>10552</v>
      </c>
      <c r="J41">
        <v>242</v>
      </c>
      <c r="K41">
        <f>843+1098+180</f>
        <v>2121</v>
      </c>
      <c r="L41">
        <v>1290</v>
      </c>
      <c r="M41">
        <v>564</v>
      </c>
      <c r="N41">
        <v>1246</v>
      </c>
      <c r="O41">
        <v>4092</v>
      </c>
      <c r="P41">
        <v>16016</v>
      </c>
      <c r="Q41">
        <v>15072</v>
      </c>
      <c r="R41">
        <f>F41*365.25</f>
        <v>14749.160250000001</v>
      </c>
      <c r="S41">
        <f>R41/C41</f>
        <v>5.3268287814679791</v>
      </c>
      <c r="T41">
        <f>P41+O41</f>
        <v>20108</v>
      </c>
      <c r="U41">
        <f>Q41+O41</f>
        <v>19164</v>
      </c>
    </row>
    <row r="42" spans="1:21" x14ac:dyDescent="0.3">
      <c r="A42">
        <v>41</v>
      </c>
      <c r="B42" t="s">
        <v>45</v>
      </c>
      <c r="C42">
        <v>713.25120549181202</v>
      </c>
      <c r="D42">
        <v>14.978401378716899</v>
      </c>
      <c r="E42">
        <v>12604</v>
      </c>
      <c r="F42">
        <f>2.795+10.5+3.948</f>
        <v>17.242999999999999</v>
      </c>
      <c r="G42">
        <f>0.756+6.225+2.296</f>
        <v>9.2769999999999992</v>
      </c>
      <c r="H42" s="14">
        <f t="shared" si="0"/>
        <v>-0.46198457345009569</v>
      </c>
      <c r="I42">
        <v>8039</v>
      </c>
      <c r="J42">
        <v>0</v>
      </c>
      <c r="K42">
        <f>1354+342+502+56</f>
        <v>2254</v>
      </c>
      <c r="L42">
        <v>679</v>
      </c>
      <c r="M42">
        <v>181</v>
      </c>
      <c r="N42">
        <v>273</v>
      </c>
      <c r="O42">
        <v>1378</v>
      </c>
      <c r="P42">
        <v>10583</v>
      </c>
      <c r="Q42">
        <v>6349</v>
      </c>
      <c r="R42">
        <f>F42*365.25</f>
        <v>6298.0057499999994</v>
      </c>
      <c r="S42">
        <f>R42/C42</f>
        <v>8.8299966428480143</v>
      </c>
      <c r="T42">
        <f>P42+O42</f>
        <v>11961</v>
      </c>
      <c r="U42">
        <f>Q42+O42</f>
        <v>7727</v>
      </c>
    </row>
    <row r="43" spans="1:21" x14ac:dyDescent="0.3">
      <c r="A43">
        <v>42</v>
      </c>
      <c r="B43" t="s">
        <v>46</v>
      </c>
      <c r="C43">
        <v>2837.17497040833</v>
      </c>
      <c r="D43">
        <v>30.493900085122</v>
      </c>
      <c r="E43">
        <v>26974</v>
      </c>
      <c r="F43">
        <v>39.74</v>
      </c>
      <c r="G43">
        <v>158.071</v>
      </c>
      <c r="H43" s="14">
        <f t="shared" si="0"/>
        <v>2.9776295923502762</v>
      </c>
      <c r="I43">
        <v>13325</v>
      </c>
      <c r="J43">
        <v>98</v>
      </c>
      <c r="K43">
        <f>1852+98+183+237</f>
        <v>2370</v>
      </c>
      <c r="L43">
        <v>1480</v>
      </c>
      <c r="M43">
        <v>977</v>
      </c>
      <c r="N43">
        <v>1086</v>
      </c>
      <c r="O43">
        <v>6166</v>
      </c>
      <c r="P43">
        <v>19239</v>
      </c>
      <c r="Q43">
        <v>14650</v>
      </c>
      <c r="R43">
        <f>F43*365.25</f>
        <v>14515.035</v>
      </c>
      <c r="S43">
        <f>R43/C43</f>
        <v>5.1160168658582865</v>
      </c>
      <c r="T43">
        <f>P43+O43</f>
        <v>25405</v>
      </c>
      <c r="U43">
        <f>Q43+O43</f>
        <v>20816</v>
      </c>
    </row>
    <row r="44" spans="1:21" x14ac:dyDescent="0.3">
      <c r="A44">
        <v>43</v>
      </c>
      <c r="B44" t="s">
        <v>77</v>
      </c>
      <c r="C44">
        <v>665.39807944466997</v>
      </c>
      <c r="D44" t="e">
        <v>#N/A</v>
      </c>
      <c r="E44">
        <v>12864</v>
      </c>
      <c r="F44"/>
      <c r="G44"/>
      <c r="H44" s="14" t="e">
        <f t="shared" si="0"/>
        <v>#DIV/0!</v>
      </c>
      <c r="I44"/>
      <c r="J44"/>
      <c r="K44"/>
      <c r="L44"/>
      <c r="M44"/>
      <c r="N44"/>
      <c r="O44"/>
      <c r="P44"/>
      <c r="Q44"/>
      <c r="R44">
        <f>F44*365.25</f>
        <v>0</v>
      </c>
      <c r="S44">
        <f>R44/C44</f>
        <v>0</v>
      </c>
      <c r="T44"/>
      <c r="U44"/>
    </row>
    <row r="45" spans="1:21" x14ac:dyDescent="0.3">
      <c r="A45">
        <v>44</v>
      </c>
      <c r="B45" t="s">
        <v>47</v>
      </c>
      <c r="C45">
        <v>1021.1072363282</v>
      </c>
      <c r="D45">
        <v>1.8363057139132299</v>
      </c>
      <c r="E45">
        <v>12585</v>
      </c>
      <c r="F45">
        <f>10.041+9.4+2+2.586+3.6+1.25</f>
        <v>28.877000000000002</v>
      </c>
      <c r="G45">
        <f>1.98+2.76+0.44+3.47+0.81+0.93</f>
        <v>10.39</v>
      </c>
      <c r="H45" s="14">
        <f t="shared" si="0"/>
        <v>-0.64019808151816326</v>
      </c>
      <c r="I45">
        <v>8346</v>
      </c>
      <c r="J45">
        <v>0</v>
      </c>
      <c r="K45">
        <v>836</v>
      </c>
      <c r="L45">
        <v>712</v>
      </c>
      <c r="M45">
        <v>3095</v>
      </c>
      <c r="N45">
        <v>574</v>
      </c>
      <c r="O45">
        <v>2814</v>
      </c>
      <c r="P45">
        <v>13590</v>
      </c>
      <c r="Q45">
        <v>13357</v>
      </c>
      <c r="R45">
        <f>F45*365.25</f>
        <v>10547.324250000001</v>
      </c>
      <c r="S45">
        <f>R45/C45</f>
        <v>10.329301247464596</v>
      </c>
      <c r="T45">
        <f>P45+O45</f>
        <v>16404</v>
      </c>
      <c r="U45">
        <f>Q45+O45</f>
        <v>16171</v>
      </c>
    </row>
    <row r="46" spans="1:21" x14ac:dyDescent="0.3">
      <c r="A46">
        <v>45</v>
      </c>
      <c r="B46" t="s">
        <v>48</v>
      </c>
      <c r="C46">
        <v>464.500666000303</v>
      </c>
      <c r="D46">
        <v>7.1616979034689896</v>
      </c>
      <c r="E46">
        <v>11708</v>
      </c>
      <c r="F46">
        <f>9.529+3.362+8.427+3.205</f>
        <v>24.522999999999996</v>
      </c>
      <c r="G46">
        <f>8.26+2.18</f>
        <v>10.44</v>
      </c>
      <c r="H46" s="14">
        <f t="shared" si="0"/>
        <v>-0.57427720915059333</v>
      </c>
      <c r="I46">
        <v>5345</v>
      </c>
      <c r="J46">
        <v>1170</v>
      </c>
      <c r="K46">
        <v>670</v>
      </c>
      <c r="L46">
        <v>387</v>
      </c>
      <c r="M46">
        <v>340</v>
      </c>
      <c r="N46">
        <v>203</v>
      </c>
      <c r="O46">
        <v>1685</v>
      </c>
      <c r="P46">
        <v>8115</v>
      </c>
      <c r="Q46">
        <v>7983</v>
      </c>
      <c r="R46">
        <f>F46*365.25</f>
        <v>8957.0257499999989</v>
      </c>
      <c r="S46">
        <f>R46/C46</f>
        <v>19.283127895438056</v>
      </c>
      <c r="T46">
        <f>P46+O46</f>
        <v>9800</v>
      </c>
      <c r="U46">
        <f>Q46+O46</f>
        <v>9668</v>
      </c>
    </row>
    <row r="47" spans="1:21" x14ac:dyDescent="0.3">
      <c r="A47">
        <v>46</v>
      </c>
      <c r="B47" t="s">
        <v>78</v>
      </c>
      <c r="C47">
        <v>842.18229420125999</v>
      </c>
      <c r="D47" t="e">
        <v>#N/A</v>
      </c>
      <c r="E47">
        <v>19586</v>
      </c>
      <c r="F47"/>
      <c r="G47"/>
      <c r="H47" s="14" t="e">
        <f t="shared" si="0"/>
        <v>#DIV/0!</v>
      </c>
      <c r="I47"/>
      <c r="J47"/>
      <c r="K47"/>
      <c r="L47"/>
      <c r="M47"/>
      <c r="N47"/>
      <c r="O47"/>
      <c r="P47"/>
      <c r="Q47"/>
      <c r="R47">
        <f>F47*365.25</f>
        <v>0</v>
      </c>
      <c r="S47">
        <f>R47/C47</f>
        <v>0</v>
      </c>
      <c r="T47"/>
      <c r="U47"/>
    </row>
    <row r="48" spans="1:21" x14ac:dyDescent="0.3">
      <c r="A48">
        <v>47</v>
      </c>
      <c r="B48" t="s">
        <v>79</v>
      </c>
      <c r="C48">
        <v>257.82588911729403</v>
      </c>
      <c r="D48" t="e">
        <v>#N/A</v>
      </c>
      <c r="E48">
        <v>6080</v>
      </c>
      <c r="F48">
        <f>4.559+6.219</f>
        <v>10.778</v>
      </c>
      <c r="G48">
        <f>3.03+4.01</f>
        <v>7.0399999999999991</v>
      </c>
      <c r="H48" s="14">
        <f t="shared" si="0"/>
        <v>-0.34681759138986834</v>
      </c>
      <c r="I48">
        <v>3263</v>
      </c>
      <c r="J48"/>
      <c r="K48">
        <v>362</v>
      </c>
      <c r="L48">
        <v>264</v>
      </c>
      <c r="M48">
        <v>208</v>
      </c>
      <c r="N48">
        <v>134</v>
      </c>
      <c r="O48">
        <v>1306</v>
      </c>
      <c r="P48">
        <v>4232</v>
      </c>
      <c r="Q48">
        <v>4028</v>
      </c>
      <c r="R48">
        <f>F48*365.25</f>
        <v>3936.6645000000003</v>
      </c>
      <c r="S48">
        <f>R48/C48</f>
        <v>15.268693588055751</v>
      </c>
      <c r="T48"/>
      <c r="U48"/>
    </row>
    <row r="49" spans="1:21" x14ac:dyDescent="0.3">
      <c r="A49">
        <v>48</v>
      </c>
      <c r="B49" t="s">
        <v>49</v>
      </c>
      <c r="C49">
        <v>5028.3203347819799</v>
      </c>
      <c r="D49">
        <v>74.480215606631603</v>
      </c>
      <c r="E49">
        <v>86332</v>
      </c>
      <c r="F49">
        <v>130.75899999999999</v>
      </c>
      <c r="G49">
        <v>70.254000000000005</v>
      </c>
      <c r="H49" s="14">
        <f t="shared" si="0"/>
        <v>-0.46272149526992395</v>
      </c>
      <c r="I49">
        <v>53584</v>
      </c>
      <c r="J49">
        <v>39</v>
      </c>
      <c r="K49">
        <v>7920</v>
      </c>
      <c r="L49">
        <v>2828</v>
      </c>
      <c r="M49">
        <v>8555</v>
      </c>
      <c r="N49">
        <v>1641</v>
      </c>
      <c r="O49">
        <v>10372</v>
      </c>
      <c r="P49">
        <v>74567</v>
      </c>
      <c r="Q49">
        <v>54657</v>
      </c>
      <c r="R49">
        <f>F49*365.25</f>
        <v>47759.724749999994</v>
      </c>
      <c r="S49">
        <f>R49/C49</f>
        <v>9.4981468105036271</v>
      </c>
      <c r="T49">
        <f>P49+O49</f>
        <v>84939</v>
      </c>
      <c r="U49">
        <f>Q49+O49</f>
        <v>65029</v>
      </c>
    </row>
    <row r="50" spans="1:21" x14ac:dyDescent="0.3">
      <c r="A50">
        <v>49</v>
      </c>
      <c r="B50" t="s">
        <v>50</v>
      </c>
      <c r="C50">
        <v>5562.1631537970798</v>
      </c>
      <c r="D50">
        <v>19.992970521703501</v>
      </c>
      <c r="E50">
        <v>67005</v>
      </c>
      <c r="F50">
        <v>90.866</v>
      </c>
      <c r="G50">
        <v>42.3</v>
      </c>
      <c r="H50" s="14">
        <f t="shared" si="0"/>
        <v>-0.53447934320868096</v>
      </c>
      <c r="I50">
        <v>27063</v>
      </c>
      <c r="J50">
        <v>164</v>
      </c>
      <c r="K50">
        <v>4184</v>
      </c>
      <c r="L50">
        <v>4575</v>
      </c>
      <c r="M50">
        <v>10230</v>
      </c>
      <c r="N50">
        <v>2102</v>
      </c>
      <c r="O50">
        <v>19845</v>
      </c>
      <c r="P50">
        <v>48319</v>
      </c>
      <c r="Q50">
        <v>40233</v>
      </c>
      <c r="R50">
        <f>F50*365.25</f>
        <v>33188.806499999999</v>
      </c>
      <c r="S50">
        <f>R50/C50</f>
        <v>5.9668883458305695</v>
      </c>
      <c r="T50">
        <f>P50+O50</f>
        <v>68164</v>
      </c>
      <c r="U50">
        <f>Q50+O50</f>
        <v>60078</v>
      </c>
    </row>
    <row r="51" spans="1:21" x14ac:dyDescent="0.3">
      <c r="A51">
        <v>50</v>
      </c>
      <c r="B51" t="s">
        <v>51</v>
      </c>
      <c r="C51">
        <v>11077.5731120075</v>
      </c>
      <c r="D51">
        <v>736.92250888272997</v>
      </c>
      <c r="E51" t="e">
        <f>NA()</f>
        <v>#N/A</v>
      </c>
      <c r="F51">
        <v>129.47999999999999</v>
      </c>
      <c r="G51">
        <v>80.58</v>
      </c>
      <c r="H51" s="14">
        <f t="shared" si="0"/>
        <v>-0.37766450417052821</v>
      </c>
      <c r="I51">
        <v>18199</v>
      </c>
      <c r="J51">
        <f>6761+1481</f>
        <v>8242</v>
      </c>
      <c r="K51">
        <f>2473+8397</f>
        <v>10870</v>
      </c>
      <c r="L51">
        <v>4683</v>
      </c>
      <c r="M51">
        <v>8836</v>
      </c>
      <c r="N51">
        <v>4125</v>
      </c>
      <c r="O51">
        <v>21694</v>
      </c>
      <c r="P51">
        <v>54954</v>
      </c>
      <c r="Q51">
        <v>51489</v>
      </c>
      <c r="R51">
        <f>F51*365.25</f>
        <v>47292.57</v>
      </c>
      <c r="S51">
        <f>R51/C51</f>
        <v>4.2692175914178687</v>
      </c>
      <c r="T51">
        <f>P51+O51</f>
        <v>76648</v>
      </c>
      <c r="U51">
        <f>Q51+O51</f>
        <v>73183</v>
      </c>
    </row>
    <row r="52" spans="1:21" x14ac:dyDescent="0.3">
      <c r="A52">
        <v>51</v>
      </c>
      <c r="B52" t="s">
        <v>80</v>
      </c>
      <c r="C52">
        <v>4495.8012948836003</v>
      </c>
      <c r="D52" t="e">
        <v>#N/A</v>
      </c>
      <c r="E52">
        <v>24623</v>
      </c>
      <c r="F52"/>
      <c r="G52"/>
      <c r="H52" s="14" t="e">
        <f t="shared" si="0"/>
        <v>#DIV/0!</v>
      </c>
      <c r="I52"/>
      <c r="J52"/>
      <c r="K52"/>
      <c r="L52"/>
      <c r="M52"/>
      <c r="N52"/>
      <c r="O52"/>
      <c r="P52"/>
      <c r="Q52"/>
      <c r="R52">
        <f>F52*365.25</f>
        <v>0</v>
      </c>
      <c r="S52">
        <f>R52/C52</f>
        <v>0</v>
      </c>
      <c r="T52"/>
      <c r="U52"/>
    </row>
    <row r="53" spans="1:21" x14ac:dyDescent="0.3">
      <c r="A53">
        <v>52</v>
      </c>
      <c r="B53" t="s">
        <v>81</v>
      </c>
      <c r="C53">
        <v>685.32708042688898</v>
      </c>
      <c r="D53" t="e">
        <v>#N/A</v>
      </c>
      <c r="E53">
        <v>10812</v>
      </c>
      <c r="F53"/>
      <c r="G53"/>
      <c r="H53" s="14" t="e">
        <f t="shared" si="0"/>
        <v>#DIV/0!</v>
      </c>
      <c r="I53"/>
      <c r="J53"/>
      <c r="K53"/>
      <c r="L53"/>
      <c r="M53"/>
      <c r="N53"/>
      <c r="O53"/>
      <c r="P53"/>
      <c r="Q53"/>
      <c r="R53">
        <f>F53*365.25</f>
        <v>0</v>
      </c>
      <c r="S53">
        <f>R53/C53</f>
        <v>0</v>
      </c>
      <c r="T53"/>
      <c r="U53"/>
    </row>
    <row r="54" spans="1:21" x14ac:dyDescent="0.3">
      <c r="A54">
        <v>53</v>
      </c>
      <c r="B54" t="s">
        <v>52</v>
      </c>
      <c r="C54">
        <v>862.21743388623304</v>
      </c>
      <c r="D54">
        <v>4.9976246036612597</v>
      </c>
      <c r="E54">
        <v>13613</v>
      </c>
      <c r="F54">
        <v>23.658000000000001</v>
      </c>
      <c r="G54">
        <v>16.120999999999999</v>
      </c>
      <c r="H54" s="14">
        <f t="shared" si="0"/>
        <v>-0.31858145236283719</v>
      </c>
      <c r="I54">
        <v>6782</v>
      </c>
      <c r="J54">
        <v>0</v>
      </c>
      <c r="K54">
        <f>1209+696</f>
        <v>1905</v>
      </c>
      <c r="L54">
        <v>764</v>
      </c>
      <c r="M54">
        <v>642</v>
      </c>
      <c r="N54">
        <v>276</v>
      </c>
      <c r="O54">
        <v>567</v>
      </c>
      <c r="P54">
        <v>10370</v>
      </c>
      <c r="Q54">
        <v>9178</v>
      </c>
      <c r="R54">
        <f>F54*365.25</f>
        <v>8641.0845000000008</v>
      </c>
      <c r="S54">
        <f>R54/C54</f>
        <v>10.021932009716433</v>
      </c>
      <c r="T54">
        <f>P54+O54</f>
        <v>10937</v>
      </c>
      <c r="U54">
        <f>Q54+O54</f>
        <v>9745</v>
      </c>
    </row>
    <row r="55" spans="1:21" x14ac:dyDescent="0.3">
      <c r="A55">
        <v>54</v>
      </c>
      <c r="B55" t="s">
        <v>53</v>
      </c>
      <c r="C55">
        <v>43.314647061709401</v>
      </c>
      <c r="D55">
        <v>2.8409198590561902</v>
      </c>
      <c r="E55">
        <v>1340</v>
      </c>
      <c r="F55">
        <v>3.8660000000000001</v>
      </c>
      <c r="G55">
        <v>0.66</v>
      </c>
      <c r="H55" s="14">
        <f t="shared" si="0"/>
        <v>-0.82928091050181063</v>
      </c>
      <c r="I55">
        <v>2281</v>
      </c>
      <c r="J55">
        <v>0</v>
      </c>
      <c r="K55">
        <f>179+44</f>
        <v>223</v>
      </c>
      <c r="L55">
        <v>98</v>
      </c>
      <c r="M55">
        <v>0</v>
      </c>
      <c r="N55">
        <v>22</v>
      </c>
      <c r="O55">
        <v>253</v>
      </c>
      <c r="P55">
        <v>958</v>
      </c>
      <c r="Q55">
        <v>671</v>
      </c>
      <c r="R55">
        <f>F55*365.25</f>
        <v>1412.0565000000001</v>
      </c>
      <c r="S55">
        <f>R55/C55</f>
        <v>32.599977046754532</v>
      </c>
      <c r="T55">
        <f>P55+O55</f>
        <v>1211</v>
      </c>
      <c r="U55">
        <f>Q55+O55</f>
        <v>924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MEP_with_Bogs</vt:lpstr>
      <vt:lpstr>master</vt:lpstr>
      <vt:lpstr>L1_vs_L2</vt:lpstr>
      <vt:lpstr>sums</vt:lpstr>
      <vt:lpstr>plots</vt:lpstr>
      <vt:lpstr>df_EMBAY_merged_summary</vt:lpstr>
      <vt:lpstr>df_EMBAY_bog_summary_highest</vt:lpstr>
      <vt:lpstr>embay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Adrian.Wiegman</dc:creator>
  <cp:lastModifiedBy>Wiegman, Adrian - REE-ARS</cp:lastModifiedBy>
  <dcterms:created xsi:type="dcterms:W3CDTF">2024-02-25T13:48:29Z</dcterms:created>
  <dcterms:modified xsi:type="dcterms:W3CDTF">2024-09-05T05:58:33Z</dcterms:modified>
</cp:coreProperties>
</file>