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.Wiegman\Documents\GitHub\Wiegman_USDA_ARS\MEP\data\"/>
    </mc:Choice>
  </mc:AlternateContent>
  <xr:revisionPtr revIDLastSave="0" documentId="8_{A4B05BD9-E24A-4AD4-91DC-C6B57B134F03}" xr6:coauthVersionLast="47" xr6:coauthVersionMax="47" xr10:uidLastSave="{00000000-0000-0000-0000-000000000000}"/>
  <bookViews>
    <workbookView xWindow="-108" yWindow="-108" windowWidth="23256" windowHeight="12576" activeTab="1" xr2:uid="{89B9F16C-A820-5746-9E79-E27F0D1350E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H2" i="2"/>
  <c r="K2" i="1"/>
  <c r="L2" i="1"/>
  <c r="Q8" i="2"/>
  <c r="Q7" i="2"/>
  <c r="Q2" i="2"/>
  <c r="Q4" i="2"/>
  <c r="Q5" i="2"/>
  <c r="Q6" i="2"/>
  <c r="Q3" i="2"/>
  <c r="S7" i="2"/>
  <c r="S8" i="2"/>
  <c r="R8" i="2"/>
  <c r="S4" i="2"/>
  <c r="S2" i="2"/>
  <c r="S3" i="2"/>
  <c r="S6" i="2"/>
  <c r="S5" i="2"/>
  <c r="R4" i="2"/>
  <c r="R2" i="2"/>
  <c r="R3" i="2"/>
  <c r="R6" i="2"/>
  <c r="R7" i="2"/>
  <c r="R5" i="2"/>
  <c r="H4" i="2"/>
  <c r="O4" i="2" s="1"/>
  <c r="H3" i="2"/>
  <c r="O3" i="2" s="1"/>
  <c r="H6" i="2"/>
  <c r="O6" i="2" s="1"/>
  <c r="H8" i="2"/>
  <c r="O8" i="2" s="1"/>
  <c r="P8" i="2" s="1"/>
  <c r="H7" i="2"/>
  <c r="O7" i="2" s="1"/>
  <c r="H5" i="2"/>
  <c r="O5" i="2" s="1"/>
  <c r="P5" i="2" s="1"/>
  <c r="G4" i="2"/>
  <c r="G3" i="2"/>
  <c r="G6" i="2"/>
  <c r="G8" i="2"/>
  <c r="G7" i="2"/>
  <c r="G5" i="2"/>
  <c r="E4" i="2"/>
  <c r="F4" i="2"/>
  <c r="E2" i="2"/>
  <c r="F2" i="2"/>
  <c r="E3" i="2"/>
  <c r="F3" i="2"/>
  <c r="E6" i="2"/>
  <c r="F6" i="2"/>
  <c r="E8" i="2"/>
  <c r="F8" i="2"/>
  <c r="E7" i="2"/>
  <c r="F7" i="2"/>
  <c r="F5" i="2"/>
  <c r="E5" i="2"/>
  <c r="K8" i="1"/>
  <c r="L8" i="1" s="1"/>
  <c r="K7" i="1"/>
  <c r="L7" i="1" s="1"/>
  <c r="J6" i="1"/>
  <c r="K6" i="1" s="1"/>
  <c r="L6" i="1" s="1"/>
  <c r="J5" i="1"/>
  <c r="K5" i="1" s="1"/>
  <c r="L5" i="1" s="1"/>
  <c r="K4" i="1"/>
  <c r="L4" i="1" s="1"/>
  <c r="K3" i="1"/>
  <c r="L3" i="1" s="1"/>
  <c r="I2" i="2" l="1"/>
  <c r="P6" i="2"/>
  <c r="O2" i="2"/>
  <c r="P3" i="2"/>
  <c r="P4" i="2"/>
  <c r="P7" i="2"/>
  <c r="I4" i="2"/>
  <c r="I6" i="2"/>
  <c r="I3" i="2"/>
  <c r="I5" i="2"/>
  <c r="I7" i="2"/>
  <c r="P2" i="2"/>
  <c r="I8" i="2"/>
</calcChain>
</file>

<file path=xl/sharedStrings.xml><?xml version="1.0" encoding="utf-8"?>
<sst xmlns="http://schemas.openxmlformats.org/spreadsheetml/2006/main" count="76" uniqueCount="46">
  <si>
    <t>Site</t>
  </si>
  <si>
    <t>Scale</t>
  </si>
  <si>
    <t>State Bog Section 3</t>
  </si>
  <si>
    <t>Bed</t>
  </si>
  <si>
    <t>Rocky Bog North Section</t>
  </si>
  <si>
    <t>Frogfoot</t>
  </si>
  <si>
    <t>Farm</t>
  </si>
  <si>
    <t>WIP-FF</t>
  </si>
  <si>
    <t>WIP-ADM</t>
  </si>
  <si>
    <t>Atwood Bog</t>
  </si>
  <si>
    <t>Reference</t>
  </si>
  <si>
    <t xml:space="preserve">White Springs </t>
  </si>
  <si>
    <t>Year</t>
  </si>
  <si>
    <t>Qp (mm/yr)</t>
  </si>
  <si>
    <t>Qet (mm/yr)</t>
  </si>
  <si>
    <t>Qsw-out (mm/yr)</t>
  </si>
  <si>
    <t>Area (ha)</t>
  </si>
  <si>
    <t>Qfw+iw (mm/yr)</t>
  </si>
  <si>
    <t>Qgw-net (mm/yr)</t>
  </si>
  <si>
    <t>Neill et al. 2017</t>
  </si>
  <si>
    <t>2015 to 2016</t>
  </si>
  <si>
    <t>Kennedy et al. 2018</t>
  </si>
  <si>
    <t>Kennedy et al. 2020</t>
  </si>
  <si>
    <t>Lat</t>
  </si>
  <si>
    <t>Lon</t>
  </si>
  <si>
    <t>2014 to 2015</t>
  </si>
  <si>
    <t>2017 to 2018</t>
  </si>
  <si>
    <t>unpublished</t>
  </si>
  <si>
    <t>et is estimated; Qfw+iw is SW-in, so higher than the acutual amount used for fw and iw</t>
  </si>
  <si>
    <t>Notes</t>
  </si>
  <si>
    <t>3-yr (2012-2015) mean</t>
  </si>
  <si>
    <t>et is estimated; qgw could be high due to leaching from tail water recovery pond</t>
  </si>
  <si>
    <t>Area (m2)</t>
  </si>
  <si>
    <t>Qsw+gw-in (mm/yr)</t>
  </si>
  <si>
    <t>Qsw+gw-in (m3/yr)</t>
  </si>
  <si>
    <t>FID_bog</t>
  </si>
  <si>
    <t>HLR sw+gw-in (m/yr)</t>
  </si>
  <si>
    <t>Area</t>
  </si>
  <si>
    <t>FA_gwebf</t>
  </si>
  <si>
    <t>FA_gwebflt1m</t>
  </si>
  <si>
    <t>Obs</t>
  </si>
  <si>
    <t>Pred_gwebf</t>
  </si>
  <si>
    <t>Pred_gwebflt1m</t>
  </si>
  <si>
    <t>FA_gweblt1m</t>
  </si>
  <si>
    <t>Obs2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</si>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</sst>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7"/>
      <color rgb="FF000000"/>
      <name val="Segoe UI"/>
      <family val="2"/>
    </font>
    <font>
      <sz val="9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</fills>
  <borders count="2">
    <border>
      <left/>
      <right/>
      <top/>
      <bottom/>
      <diagonal/>
    </border>
    <border>
      <left style="medium">
        <color rgb="FFCBCBCB"/>
      </left>
      <right style="medium">
        <color rgb="FFCBCBCB"/>
      </right>
      <top style="medium">
        <color rgb="FFCBCBCB"/>
      </top>
      <bottom style="medium">
        <color rgb="FFCBCBCB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2" fillId="0" borderId="1" xfId="0" applyFont="1" applyBorder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  <fill>
        <patternFill patternType="solid">
          <fgColor indexed="64"/>
          <bgColor rgb="FFE0E0E0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CBCBCB"/>
        </left>
        <right style="medium">
          <color rgb="FFCBCBCB"/>
        </right>
        <top style="medium">
          <color rgb="FFCBCBCB"/>
        </top>
        <bottom style="medium">
          <color rgb="FFCBCBCB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F4B177-99A6-42EA-B144-C399025DACD0}" name="Table1" displayName="Table1" ref="A1:S8" totalsRowShown="0">
  <autoFilter ref="A1:S8" xr:uid="{88F4B177-99A6-42EA-B144-C399025DACD0}"/>
  <sortState xmlns:xlrd2="http://schemas.microsoft.com/office/spreadsheetml/2017/richdata2" ref="A2:S8">
    <sortCondition ref="I1:I8"/>
  </sortState>
  <tableColumns count="19">
    <tableColumn id="1" xr3:uid="{71E5DB16-B095-4692-9AF2-79F9C8BD178C}" name="Site"/>
    <tableColumn id="2" xr3:uid="{3205B11C-FF9E-4E4C-A4DE-DFB103955531}" name="Scale"/>
    <tableColumn id="3" xr3:uid="{3E1CE4BC-301C-4E24-90EE-289DE5480CED}" name="Reference"/>
    <tableColumn id="4" xr3:uid="{42A07011-BC49-4950-9568-241ED492B295}" name="Year"/>
    <tableColumn id="5" xr3:uid="{68C00B7D-3DA1-465C-A878-5CDD073DB843}" name="Lat">
      <calculatedColumnFormula>Sheet1!D2</calculatedColumnFormula>
    </tableColumn>
    <tableColumn id="6" xr3:uid="{CC14D0BE-2BA9-4714-B72D-B682798D4326}" name="Lon">
      <calculatedColumnFormula>Sheet1!E2</calculatedColumnFormula>
    </tableColumn>
    <tableColumn id="7" xr3:uid="{4B20FE2B-579A-4A11-9717-D99C3DB06CAB}" name="Area (m2)">
      <calculatedColumnFormula>Sheet1!C2*10000</calculatedColumnFormula>
    </tableColumn>
    <tableColumn id="8" xr3:uid="{2D200F10-3ABD-4C37-8134-9CA64970421C}" name="HLR sw+gw-in (m/yr)">
      <calculatedColumnFormula>Sheet1!K2/1000</calculatedColumnFormula>
    </tableColumn>
    <tableColumn id="9" xr3:uid="{0A4B37F5-E1E9-4796-AA21-E13F16D410E1}" name="Qsw+gw-in (m3/yr)">
      <calculatedColumnFormula>H2*G2</calculatedColumnFormula>
    </tableColumn>
    <tableColumn id="10" xr3:uid="{57ED6934-9E78-4C08-A539-6F54AB889917}" name="FID_bog" dataDxfId="4"/>
    <tableColumn id="11" xr3:uid="{23631B98-A22A-450B-8031-90A19F41D6BE}" name="FA_gwebf" dataDxfId="3"/>
    <tableColumn id="12" xr3:uid="{FA32824F-FAA1-4D2F-BA55-819E9762B698}" name="FA_gwebflt1m" dataDxfId="2"/>
    <tableColumn id="13" xr3:uid="{99858B4F-57D3-41C2-B9BC-EC36E59F0E1A}" name="FA_gweblt1m" dataDxfId="1"/>
    <tableColumn id="14" xr3:uid="{822E34BA-4E51-4BBA-B16C-BD9D68243DCC}" name="Area" dataDxfId="0"/>
    <tableColumn id="15" xr3:uid="{71AA38DD-0A23-4953-8ECB-6CBDB26687C6}" name="Obs">
      <calculatedColumnFormula>H2*N2/365.25</calculatedColumnFormula>
    </tableColumn>
    <tableColumn id="16" xr3:uid="{A0DA1599-8200-45D5-B967-06D8F87275C0}" name="Obs2">
      <calculatedColumnFormula>O2</calculatedColumnFormula>
    </tableColumn>
    <tableColumn id="17" xr3:uid="{8D10BCE5-A58E-40BB-803B-1C82B17FE4F4}" name="Pred_gwebf">
      <calculatedColumnFormula>K2*100*(27.25*2.54/100)/365.25</calculatedColumnFormula>
    </tableColumn>
    <tableColumn id="18" xr3:uid="{13791DBB-F479-4CD7-A58B-BD6300BBA8F8}" name="Pred_gwebflt1m">
      <calculatedColumnFormula>L2*100*(27.25*2.54/100)/365.25</calculatedColumnFormula>
    </tableColumn>
    <tableColumn id="19" xr3:uid="{5301DE80-49D9-488A-B28F-4F0EDB1874E2}" name="Column3">
      <calculatedColumnFormula>M2*100*(27.25*2.54/100)/365.25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AAFD-D75A-8343-9DE9-D7F2CC807160}">
  <dimension ref="A1:M8"/>
  <sheetViews>
    <sheetView workbookViewId="0">
      <selection activeCell="K3" sqref="K3"/>
    </sheetView>
  </sheetViews>
  <sheetFormatPr defaultColWidth="11.19921875" defaultRowHeight="15.6" x14ac:dyDescent="0.3"/>
  <cols>
    <col min="1" max="1" width="21.5" bestFit="1" customWidth="1"/>
    <col min="2" max="2" width="5.5" customWidth="1"/>
    <col min="3" max="3" width="17.296875" bestFit="1" customWidth="1"/>
    <col min="4" max="4" width="20.19921875" bestFit="1" customWidth="1"/>
    <col min="6" max="6" width="10.19921875" bestFit="1" customWidth="1"/>
    <col min="7" max="7" width="10.796875" bestFit="1" customWidth="1"/>
    <col min="8" max="8" width="15.69921875" bestFit="1" customWidth="1"/>
    <col min="9" max="9" width="14.296875" bestFit="1" customWidth="1"/>
    <col min="10" max="10" width="15.796875" bestFit="1" customWidth="1"/>
    <col min="11" max="11" width="11" bestFit="1" customWidth="1"/>
    <col min="12" max="12" width="15.19921875" bestFit="1" customWidth="1"/>
  </cols>
  <sheetData>
    <row r="1" spans="1:13" x14ac:dyDescent="0.3">
      <c r="A1" t="s">
        <v>10</v>
      </c>
      <c r="B1" t="s">
        <v>12</v>
      </c>
      <c r="C1" t="s">
        <v>16</v>
      </c>
      <c r="D1" t="s">
        <v>23</v>
      </c>
      <c r="E1" t="s">
        <v>24</v>
      </c>
      <c r="F1" t="s">
        <v>15</v>
      </c>
      <c r="G1" t="s">
        <v>14</v>
      </c>
      <c r="H1" t="s">
        <v>18</v>
      </c>
      <c r="I1" t="s">
        <v>13</v>
      </c>
      <c r="J1" t="s">
        <v>17</v>
      </c>
      <c r="K1" t="s">
        <v>33</v>
      </c>
      <c r="L1" t="s">
        <v>34</v>
      </c>
      <c r="M1" t="s">
        <v>29</v>
      </c>
    </row>
    <row r="2" spans="1:13" x14ac:dyDescent="0.3">
      <c r="A2" t="s">
        <v>19</v>
      </c>
      <c r="B2" t="s">
        <v>20</v>
      </c>
      <c r="C2">
        <v>1.7</v>
      </c>
      <c r="D2">
        <v>41.885337999999997</v>
      </c>
      <c r="E2">
        <v>-70.697839999999999</v>
      </c>
      <c r="F2">
        <v>8639</v>
      </c>
      <c r="G2">
        <v>696</v>
      </c>
      <c r="H2">
        <v>5970</v>
      </c>
      <c r="I2">
        <v>1164</v>
      </c>
      <c r="J2">
        <v>2201</v>
      </c>
      <c r="K2">
        <f>F2-J2</f>
        <v>6438</v>
      </c>
      <c r="L2" s="3">
        <f>K2/1000*C2*10000</f>
        <v>109446</v>
      </c>
    </row>
    <row r="3" spans="1:13" x14ac:dyDescent="0.3">
      <c r="A3" t="s">
        <v>19</v>
      </c>
      <c r="B3" t="s">
        <v>20</v>
      </c>
      <c r="C3">
        <v>2.91</v>
      </c>
      <c r="D3">
        <v>41.838679999999997</v>
      </c>
      <c r="E3">
        <v>-70.695725999999993</v>
      </c>
      <c r="F3">
        <v>2976</v>
      </c>
      <c r="G3">
        <v>696</v>
      </c>
      <c r="H3">
        <v>1170</v>
      </c>
      <c r="I3">
        <v>1164</v>
      </c>
      <c r="J3">
        <v>1338</v>
      </c>
      <c r="K3">
        <f t="shared" ref="K3:K8" si="0">F3-J3</f>
        <v>1638</v>
      </c>
      <c r="L3" s="3">
        <f t="shared" ref="L3:L8" si="1">K3/1000*C3*10000</f>
        <v>47665.8</v>
      </c>
    </row>
    <row r="4" spans="1:13" x14ac:dyDescent="0.3">
      <c r="A4" t="s">
        <v>19</v>
      </c>
      <c r="B4" t="s">
        <v>20</v>
      </c>
      <c r="C4">
        <v>1.17</v>
      </c>
      <c r="D4">
        <v>41.766503999999998</v>
      </c>
      <c r="E4">
        <v>-70.667465000000007</v>
      </c>
      <c r="F4">
        <v>2273</v>
      </c>
      <c r="G4">
        <v>695</v>
      </c>
      <c r="H4">
        <v>-152</v>
      </c>
      <c r="I4">
        <v>1184</v>
      </c>
      <c r="J4">
        <v>1936</v>
      </c>
      <c r="K4">
        <f t="shared" si="0"/>
        <v>337</v>
      </c>
      <c r="L4" s="3">
        <f t="shared" si="1"/>
        <v>3942.8999999999996</v>
      </c>
    </row>
    <row r="5" spans="1:13" x14ac:dyDescent="0.3">
      <c r="A5" t="s">
        <v>21</v>
      </c>
      <c r="B5" t="s">
        <v>25</v>
      </c>
      <c r="C5">
        <v>2.12</v>
      </c>
      <c r="D5">
        <v>41.876323999999997</v>
      </c>
      <c r="E5">
        <v>-70.730203000000003</v>
      </c>
      <c r="F5">
        <v>2765</v>
      </c>
      <c r="G5">
        <v>662</v>
      </c>
      <c r="H5">
        <v>142</v>
      </c>
      <c r="I5">
        <v>1358</v>
      </c>
      <c r="J5">
        <f>1289+639</f>
        <v>1928</v>
      </c>
      <c r="K5">
        <f t="shared" si="0"/>
        <v>837</v>
      </c>
      <c r="L5" s="3">
        <f t="shared" si="1"/>
        <v>17744.400000000001</v>
      </c>
    </row>
    <row r="6" spans="1:13" x14ac:dyDescent="0.3">
      <c r="A6" t="s">
        <v>22</v>
      </c>
      <c r="B6" t="s">
        <v>26</v>
      </c>
      <c r="C6">
        <v>19.2</v>
      </c>
      <c r="D6">
        <v>41.818758000000003</v>
      </c>
      <c r="E6">
        <v>-70.614092999999997</v>
      </c>
      <c r="F6">
        <v>2140</v>
      </c>
      <c r="G6">
        <v>623</v>
      </c>
      <c r="H6">
        <v>-91</v>
      </c>
      <c r="I6">
        <v>1529</v>
      </c>
      <c r="J6">
        <f>507+819</f>
        <v>1326</v>
      </c>
      <c r="K6">
        <f t="shared" si="0"/>
        <v>814</v>
      </c>
      <c r="L6" s="3">
        <f t="shared" si="1"/>
        <v>156287.99999999997</v>
      </c>
    </row>
    <row r="7" spans="1:13" x14ac:dyDescent="0.3">
      <c r="A7" t="s">
        <v>27</v>
      </c>
      <c r="B7" t="s">
        <v>30</v>
      </c>
      <c r="C7">
        <v>26.5</v>
      </c>
      <c r="D7">
        <v>41.799670999999996</v>
      </c>
      <c r="E7">
        <v>-70.713346000000001</v>
      </c>
      <c r="F7">
        <v>18468</v>
      </c>
      <c r="G7" s="1">
        <v>690</v>
      </c>
      <c r="I7">
        <v>1182</v>
      </c>
      <c r="J7" s="1">
        <v>8832</v>
      </c>
      <c r="K7">
        <f t="shared" si="0"/>
        <v>9636</v>
      </c>
      <c r="L7" s="3">
        <f t="shared" si="1"/>
        <v>2553540</v>
      </c>
      <c r="M7" t="s">
        <v>28</v>
      </c>
    </row>
    <row r="8" spans="1:13" x14ac:dyDescent="0.3">
      <c r="A8" t="s">
        <v>27</v>
      </c>
      <c r="B8" t="s">
        <v>30</v>
      </c>
      <c r="C8">
        <v>10.3</v>
      </c>
      <c r="D8">
        <v>41.820860000000003</v>
      </c>
      <c r="E8">
        <v>-70.617583999999994</v>
      </c>
      <c r="F8">
        <v>10781</v>
      </c>
      <c r="G8" s="1">
        <v>690</v>
      </c>
      <c r="I8">
        <v>1183</v>
      </c>
      <c r="J8">
        <v>2241</v>
      </c>
      <c r="K8">
        <f t="shared" si="0"/>
        <v>8540</v>
      </c>
      <c r="L8" s="3">
        <f t="shared" si="1"/>
        <v>879620</v>
      </c>
      <c r="M8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2FF3F-E0FB-48C5-8A0D-F9579E95F610}">
  <dimension ref="A1:S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defaultRowHeight="15.6" x14ac:dyDescent="0.3"/>
  <cols>
    <col min="1" max="1" width="21.5" bestFit="1" customWidth="1"/>
    <col min="2" max="2" width="6.796875" customWidth="1"/>
    <col min="3" max="3" width="17.296875" bestFit="1" customWidth="1"/>
    <col min="4" max="4" width="20.19921875" bestFit="1" customWidth="1"/>
    <col min="5" max="5" width="10.19921875" bestFit="1" customWidth="1"/>
    <col min="6" max="6" width="10.796875" bestFit="1" customWidth="1"/>
    <col min="7" max="7" width="10.796875" customWidth="1"/>
    <col min="8" max="8" width="20" customWidth="1"/>
    <col min="9" max="9" width="18.69921875" customWidth="1"/>
    <col min="10" max="10" width="9.3984375" customWidth="1"/>
    <col min="11" max="11" width="10.796875" customWidth="1"/>
    <col min="12" max="12" width="14.59765625" customWidth="1"/>
    <col min="13" max="13" width="14" customWidth="1"/>
    <col min="17" max="17" width="12.59765625" customWidth="1"/>
    <col min="18" max="18" width="16.3984375" customWidth="1"/>
    <col min="19" max="19" width="10.09765625" customWidth="1"/>
  </cols>
  <sheetData>
    <row r="1" spans="1:19" ht="16.2" thickBot="1" x14ac:dyDescent="0.35">
      <c r="A1" t="s">
        <v>0</v>
      </c>
      <c r="B1" t="s">
        <v>1</v>
      </c>
      <c r="C1" t="s">
        <v>10</v>
      </c>
      <c r="D1" t="s">
        <v>12</v>
      </c>
      <c r="E1" t="s">
        <v>23</v>
      </c>
      <c r="F1" t="s">
        <v>24</v>
      </c>
      <c r="G1" t="s">
        <v>32</v>
      </c>
      <c r="H1" t="s">
        <v>36</v>
      </c>
      <c r="I1" t="s">
        <v>34</v>
      </c>
      <c r="J1" t="s">
        <v>35</v>
      </c>
      <c r="K1" t="s">
        <v>38</v>
      </c>
      <c r="L1" t="s">
        <v>39</v>
      </c>
      <c r="M1" t="s">
        <v>43</v>
      </c>
      <c r="N1" t="s">
        <v>37</v>
      </c>
      <c r="O1" t="s">
        <v>40</v>
      </c>
      <c r="P1" t="s">
        <v>44</v>
      </c>
      <c r="Q1" t="s">
        <v>41</v>
      </c>
      <c r="R1" t="s">
        <v>42</v>
      </c>
      <c r="S1" t="s">
        <v>45</v>
      </c>
    </row>
    <row r="2" spans="1:19" ht="16.2" thickBot="1" x14ac:dyDescent="0.35">
      <c r="A2" t="s">
        <v>2</v>
      </c>
      <c r="B2" t="s">
        <v>3</v>
      </c>
      <c r="C2" t="s">
        <v>19</v>
      </c>
      <c r="D2" t="s">
        <v>20</v>
      </c>
      <c r="E2">
        <f>Sheet1!D4</f>
        <v>41.766503999999998</v>
      </c>
      <c r="F2">
        <f>Sheet1!E4</f>
        <v>-70.667465000000007</v>
      </c>
      <c r="G2">
        <f>Sheet1!C4*10000</f>
        <v>11700</v>
      </c>
      <c r="H2">
        <f>Sheet1!K4/1000</f>
        <v>0.33700000000000002</v>
      </c>
      <c r="I2">
        <f>H2*G2</f>
        <v>3942.9</v>
      </c>
      <c r="J2" s="4">
        <v>498</v>
      </c>
      <c r="K2" s="5">
        <v>1041</v>
      </c>
      <c r="L2" s="4">
        <v>555</v>
      </c>
      <c r="M2" s="2">
        <v>313</v>
      </c>
      <c r="N2" s="5">
        <v>44486.941718000002</v>
      </c>
      <c r="O2">
        <f t="shared" ref="O2:O8" si="0">H2*N2/365.25</f>
        <v>41.046131030707734</v>
      </c>
      <c r="P2">
        <f t="shared" ref="P2:P8" si="1">O2</f>
        <v>41.046131030707734</v>
      </c>
      <c r="Q2">
        <f t="shared" ref="Q2:S8" si="2">K2*100*(27.25*2.54/100)/365.25</f>
        <v>197.26985626283368</v>
      </c>
      <c r="R2">
        <f t="shared" si="2"/>
        <v>105.17268993839836</v>
      </c>
      <c r="S2">
        <f t="shared" si="2"/>
        <v>59.313607118412051</v>
      </c>
    </row>
    <row r="3" spans="1:19" ht="16.2" thickBot="1" x14ac:dyDescent="0.35">
      <c r="A3" t="s">
        <v>9</v>
      </c>
      <c r="B3" t="s">
        <v>3</v>
      </c>
      <c r="C3" t="s">
        <v>21</v>
      </c>
      <c r="D3" t="s">
        <v>25</v>
      </c>
      <c r="E3">
        <f>Sheet1!D5</f>
        <v>41.876323999999997</v>
      </c>
      <c r="F3">
        <f>Sheet1!E5</f>
        <v>-70.730203000000003</v>
      </c>
      <c r="G3">
        <f>Sheet1!C5*10000</f>
        <v>21200</v>
      </c>
      <c r="H3">
        <f>Sheet1!K5/1000</f>
        <v>0.83699999999999997</v>
      </c>
      <c r="I3">
        <f>H3*G3</f>
        <v>17744.399999999998</v>
      </c>
      <c r="J3" s="6">
        <v>235</v>
      </c>
      <c r="K3" s="2">
        <v>68527</v>
      </c>
      <c r="L3" s="4">
        <v>28506</v>
      </c>
      <c r="M3" s="2">
        <v>999</v>
      </c>
      <c r="N3" s="6">
        <v>333937.416753</v>
      </c>
      <c r="O3">
        <f t="shared" si="0"/>
        <v>765.24467576252152</v>
      </c>
      <c r="P3">
        <f t="shared" si="1"/>
        <v>765.24467576252152</v>
      </c>
      <c r="Q3">
        <f t="shared" si="2"/>
        <v>12985.889952087613</v>
      </c>
      <c r="R3">
        <f t="shared" si="2"/>
        <v>5401.8967556468169</v>
      </c>
      <c r="S3">
        <f t="shared" si="2"/>
        <v>189.31084188911706</v>
      </c>
    </row>
    <row r="4" spans="1:19" ht="16.2" thickBot="1" x14ac:dyDescent="0.35">
      <c r="A4" t="s">
        <v>11</v>
      </c>
      <c r="B4" t="s">
        <v>3</v>
      </c>
      <c r="C4" t="s">
        <v>19</v>
      </c>
      <c r="D4" t="s">
        <v>20</v>
      </c>
      <c r="E4">
        <f>Sheet1!D3</f>
        <v>41.838679999999997</v>
      </c>
      <c r="F4">
        <f>Sheet1!E3</f>
        <v>-70.695725999999993</v>
      </c>
      <c r="G4">
        <f>Sheet1!C3*10000</f>
        <v>29100</v>
      </c>
      <c r="H4">
        <f>Sheet1!K3/1000</f>
        <v>1.6379999999999999</v>
      </c>
      <c r="I4">
        <f>H4*G4</f>
        <v>47665.799999999996</v>
      </c>
      <c r="J4" s="4">
        <v>556</v>
      </c>
      <c r="K4" s="6">
        <v>1632</v>
      </c>
      <c r="L4" s="4">
        <v>1376</v>
      </c>
      <c r="M4" s="2">
        <v>445</v>
      </c>
      <c r="N4" s="4">
        <v>30008.394848</v>
      </c>
      <c r="O4">
        <f t="shared" si="0"/>
        <v>134.57563521156467</v>
      </c>
      <c r="P4">
        <f t="shared" si="1"/>
        <v>134.57563521156467</v>
      </c>
      <c r="Q4">
        <f t="shared" si="2"/>
        <v>309.26455852156062</v>
      </c>
      <c r="R4">
        <f t="shared" si="2"/>
        <v>260.75247091033543</v>
      </c>
      <c r="S4">
        <f t="shared" si="2"/>
        <v>84.327652292950049</v>
      </c>
    </row>
    <row r="5" spans="1:19" ht="16.2" thickBot="1" x14ac:dyDescent="0.35">
      <c r="A5" t="s">
        <v>4</v>
      </c>
      <c r="B5" t="s">
        <v>3</v>
      </c>
      <c r="C5" t="s">
        <v>19</v>
      </c>
      <c r="D5" t="s">
        <v>20</v>
      </c>
      <c r="E5">
        <f>Sheet1!D2</f>
        <v>41.885337999999997</v>
      </c>
      <c r="F5">
        <f>Sheet1!E2</f>
        <v>-70.697839999999999</v>
      </c>
      <c r="G5">
        <f>Sheet1!C2*10000</f>
        <v>17000</v>
      </c>
      <c r="H5">
        <f>Sheet1!K2/1000</f>
        <v>6.4379999999999997</v>
      </c>
      <c r="I5">
        <f>H5*G5</f>
        <v>109446</v>
      </c>
      <c r="J5" s="5">
        <v>411</v>
      </c>
      <c r="K5" s="2">
        <v>9348</v>
      </c>
      <c r="L5" s="4">
        <v>5986</v>
      </c>
      <c r="M5" s="2">
        <v>477</v>
      </c>
      <c r="N5" s="2">
        <v>28422.735999</v>
      </c>
      <c r="O5">
        <f t="shared" si="0"/>
        <v>500.98719879962221</v>
      </c>
      <c r="P5">
        <f t="shared" si="1"/>
        <v>500.98719879962221</v>
      </c>
      <c r="Q5">
        <f t="shared" si="2"/>
        <v>1771.4491991786449</v>
      </c>
      <c r="R5">
        <f t="shared" si="2"/>
        <v>1134.3490485968516</v>
      </c>
      <c r="S5">
        <f t="shared" si="2"/>
        <v>90.391663244353182</v>
      </c>
    </row>
    <row r="6" spans="1:19" ht="16.2" thickBot="1" x14ac:dyDescent="0.35">
      <c r="A6" t="s">
        <v>7</v>
      </c>
      <c r="B6" t="s">
        <v>6</v>
      </c>
      <c r="C6" t="s">
        <v>22</v>
      </c>
      <c r="D6" t="s">
        <v>26</v>
      </c>
      <c r="E6">
        <f>Sheet1!D6</f>
        <v>41.818758000000003</v>
      </c>
      <c r="F6">
        <f>Sheet1!E6</f>
        <v>-70.614092999999997</v>
      </c>
      <c r="G6">
        <f>Sheet1!C6*10000</f>
        <v>192000</v>
      </c>
      <c r="H6">
        <f>Sheet1!K6/1000</f>
        <v>0.81399999999999995</v>
      </c>
      <c r="I6">
        <f>H6*G6</f>
        <v>156288</v>
      </c>
      <c r="J6" s="4">
        <v>357</v>
      </c>
      <c r="K6" s="2">
        <v>21788</v>
      </c>
      <c r="L6" s="2">
        <v>12652</v>
      </c>
      <c r="M6" s="2">
        <v>5572</v>
      </c>
      <c r="N6" s="2">
        <v>202087.43663400001</v>
      </c>
      <c r="O6">
        <f t="shared" si="0"/>
        <v>450.3741914307351</v>
      </c>
      <c r="P6">
        <f t="shared" si="1"/>
        <v>450.3741914307351</v>
      </c>
      <c r="Q6">
        <f t="shared" si="2"/>
        <v>4128.8334565366195</v>
      </c>
      <c r="R6">
        <f t="shared" si="2"/>
        <v>2397.5583299110199</v>
      </c>
      <c r="S6">
        <f t="shared" si="2"/>
        <v>1055.8959069130733</v>
      </c>
    </row>
    <row r="7" spans="1:19" ht="16.2" thickBot="1" x14ac:dyDescent="0.35">
      <c r="A7" t="s">
        <v>8</v>
      </c>
      <c r="B7" t="s">
        <v>6</v>
      </c>
      <c r="C7" t="s">
        <v>27</v>
      </c>
      <c r="D7" t="s">
        <v>30</v>
      </c>
      <c r="E7">
        <f>Sheet1!D8</f>
        <v>41.820860000000003</v>
      </c>
      <c r="F7">
        <f>Sheet1!E8</f>
        <v>-70.617583999999994</v>
      </c>
      <c r="G7">
        <f>Sheet1!C8*10000</f>
        <v>103000</v>
      </c>
      <c r="H7">
        <f>Sheet1!K8/1000</f>
        <v>8.5399999999999991</v>
      </c>
      <c r="I7">
        <f>H7*G7</f>
        <v>879619.99999999988</v>
      </c>
      <c r="J7" s="4">
        <v>585</v>
      </c>
      <c r="K7" s="5">
        <v>10417</v>
      </c>
      <c r="L7" s="2">
        <v>59992</v>
      </c>
      <c r="M7" s="5">
        <v>2814</v>
      </c>
      <c r="N7" s="2">
        <v>152824.71282099999</v>
      </c>
      <c r="O7">
        <f t="shared" si="0"/>
        <v>3573.2321628784111</v>
      </c>
      <c r="P7">
        <f t="shared" si="1"/>
        <v>3573.2321628784111</v>
      </c>
      <c r="Q7">
        <f t="shared" si="2"/>
        <v>1974.0250650239564</v>
      </c>
      <c r="R7">
        <f t="shared" si="2"/>
        <v>11368.504531143053</v>
      </c>
      <c r="S7">
        <f t="shared" si="2"/>
        <v>533.25396303901437</v>
      </c>
    </row>
    <row r="8" spans="1:19" ht="16.2" thickBot="1" x14ac:dyDescent="0.35">
      <c r="A8" t="s">
        <v>5</v>
      </c>
      <c r="B8" t="s">
        <v>6</v>
      </c>
      <c r="C8" t="s">
        <v>27</v>
      </c>
      <c r="D8" t="s">
        <v>30</v>
      </c>
      <c r="E8">
        <f>Sheet1!D7</f>
        <v>41.799670999999996</v>
      </c>
      <c r="F8">
        <f>Sheet1!E7</f>
        <v>-70.713346000000001</v>
      </c>
      <c r="G8">
        <f>Sheet1!C7*10000</f>
        <v>265000</v>
      </c>
      <c r="H8">
        <f>Sheet1!K7/1000</f>
        <v>9.6359999999999992</v>
      </c>
      <c r="I8">
        <f>H8*G8</f>
        <v>2553540</v>
      </c>
      <c r="J8" s="4">
        <v>353</v>
      </c>
      <c r="K8" s="6">
        <v>29173</v>
      </c>
      <c r="L8" s="2">
        <v>14318</v>
      </c>
      <c r="M8" s="6">
        <v>11159</v>
      </c>
      <c r="N8" s="2">
        <v>281956.69399699999</v>
      </c>
      <c r="O8">
        <f t="shared" si="0"/>
        <v>7438.5618161672601</v>
      </c>
      <c r="P8">
        <f t="shared" si="1"/>
        <v>7438.5618161672601</v>
      </c>
      <c r="Q8">
        <f t="shared" si="2"/>
        <v>5528.2934839151267</v>
      </c>
      <c r="R8">
        <f t="shared" si="2"/>
        <v>2713.2659000684466</v>
      </c>
      <c r="S8">
        <f t="shared" si="2"/>
        <v>2114.6343189596168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9F785-0B1C-45E2-9E71-E91744532C55}">
  <dimension ref="A1"/>
  <sheetViews>
    <sheetView workbookViewId="0"/>
  </sheetViews>
  <sheetFormatPr defaultRowHeight="15.6" x14ac:dyDescent="0.3"/>
  <cols>
    <col min="1" max="2" width="8.796875" customWidth="1"/>
    <col min="4" max="4" width="8.79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Kennedy, Casey</dc:creator>
  <cp:lastModifiedBy>Adrian.Wiegman</cp:lastModifiedBy>
  <dcterms:created xsi:type="dcterms:W3CDTF">2023-08-07T15:56:35Z</dcterms:created>
  <dcterms:modified xsi:type="dcterms:W3CDTF">2023-08-10T15:52:22Z</dcterms:modified>
</cp:coreProperties>
</file>