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coreflux\"/>
    </mc:Choice>
  </mc:AlternateContent>
  <xr:revisionPtr revIDLastSave="0" documentId="13_ncr:1_{77E1736D-B269-4E10-A959-1243BEFD078F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df.IC.finalSRP.soil.0t10 (2)" sheetId="6" r:id="rId1"/>
    <sheet name="df.IC.finalSRP.soil.0t10" sheetId="1" r:id="rId2"/>
    <sheet name="parameters_calcs" sheetId="2" r:id="rId3"/>
    <sheet name="parameters_calib_power" sheetId="5" r:id="rId4"/>
    <sheet name="parameters_calib" sheetId="3" r:id="rId5"/>
    <sheet name="parameters" sheetId="4" r:id="rId6"/>
  </sheets>
  <definedNames>
    <definedName name="solver_adj" localSheetId="4" hidden="1">parameters_calib!$AA$2:$AA$41</definedName>
    <definedName name="solver_adj" localSheetId="3" hidden="1">parameters_calib_power!$AX$2:$AY$3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parameters_calib!$AA$2:$AA$41</definedName>
    <definedName name="solver_lhs1" localSheetId="3" hidden="1">parameters_calib_power!$AX$2:$AX$3</definedName>
    <definedName name="solver_lhs2" localSheetId="4" hidden="1">parameters_calib!$AA:$AA</definedName>
    <definedName name="solver_lhs2" localSheetId="3" hidden="1">parameters_calib_power!$AX$2:$AX$3</definedName>
    <definedName name="solver_lhs3" localSheetId="4" hidden="1">parameters_calib!$AW$4</definedName>
    <definedName name="solver_lhs3" localSheetId="3" hidden="1">parameters_calib_power!$AY$2:$AY$3</definedName>
    <definedName name="solver_lhs4" localSheetId="4" hidden="1">parameters_calib!$AW$4</definedName>
    <definedName name="solver_lhs4" localSheetId="3" hidden="1">parameters_calib_power!$AY$2:$AY$3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1</definedName>
    <definedName name="solver_num" localSheetId="3" hidden="1">4</definedName>
    <definedName name="solver_nwt" localSheetId="4" hidden="1">1</definedName>
    <definedName name="solver_nwt" localSheetId="3" hidden="1">1</definedName>
    <definedName name="solver_opt" localSheetId="4" hidden="1">parameters_calib!$AR$4</definedName>
    <definedName name="solver_opt" localSheetId="3" hidden="1">parameters_calib_power!$AV$4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3</definedName>
    <definedName name="solver_rel1" localSheetId="3" hidden="1">1</definedName>
    <definedName name="solver_rel2" localSheetId="4" hidden="1">3</definedName>
    <definedName name="solver_rel2" localSheetId="3" hidden="1">3</definedName>
    <definedName name="solver_rel3" localSheetId="4" hidden="1">3</definedName>
    <definedName name="solver_rel3" localSheetId="3" hidden="1">1</definedName>
    <definedName name="solver_rel4" localSheetId="4" hidden="1">3</definedName>
    <definedName name="solver_rel4" localSheetId="3" hidden="1">3</definedName>
    <definedName name="solver_rhs1" localSheetId="4" hidden="1">0.000000000001</definedName>
    <definedName name="solver_rhs1" localSheetId="3" hidden="1">10</definedName>
    <definedName name="solver_rhs2" localSheetId="4" hidden="1">0.000000000001</definedName>
    <definedName name="solver_rhs2" localSheetId="3" hidden="1">0.001</definedName>
    <definedName name="solver_rhs3" localSheetId="4" hidden="1">0.1</definedName>
    <definedName name="solver_rhs3" localSheetId="3" hidden="1">3</definedName>
    <definedName name="solver_rhs4" localSheetId="4" hidden="1">0.1</definedName>
    <definedName name="solver_rhs4" localSheetId="3" hidden="1">0.001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5" l="1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D3" i="5"/>
  <c r="AD2" i="5"/>
  <c r="AG2" i="5" s="1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F2" i="5"/>
  <c r="AI2" i="5" l="1"/>
  <c r="AJ2" i="5"/>
  <c r="AQ41" i="5" a="1"/>
  <c r="AQ41" i="5" s="1"/>
  <c r="AP41" i="5" a="1"/>
  <c r="AP41" i="5" s="1"/>
  <c r="AF41" i="5"/>
  <c r="AI41" i="5" s="1"/>
  <c r="AE41" i="5"/>
  <c r="AG41" i="5"/>
  <c r="AJ41" i="5" s="1"/>
  <c r="AL41" i="5" s="1"/>
  <c r="X41" i="5"/>
  <c r="AH41" i="5" s="1"/>
  <c r="AK41" i="5" s="1"/>
  <c r="AP40" i="5" a="1"/>
  <c r="AP40" i="5" s="1"/>
  <c r="AF40" i="5"/>
  <c r="AI40" i="5" s="1"/>
  <c r="AE40" i="5"/>
  <c r="AG40" i="5"/>
  <c r="AJ40" i="5" s="1"/>
  <c r="AL40" i="5" s="1"/>
  <c r="X40" i="5"/>
  <c r="AH40" i="5" s="1"/>
  <c r="AK40" i="5" s="1"/>
  <c r="AQ39" i="5" a="1"/>
  <c r="AQ39" i="5" s="1"/>
  <c r="AP39" i="5" a="1"/>
  <c r="AP39" i="5" s="1"/>
  <c r="AF39" i="5"/>
  <c r="AI39" i="5" s="1"/>
  <c r="AE39" i="5"/>
  <c r="AG39" i="5"/>
  <c r="AJ39" i="5" s="1"/>
  <c r="AL39" i="5" s="1"/>
  <c r="X39" i="5"/>
  <c r="AH39" i="5" s="1"/>
  <c r="AK39" i="5" s="1"/>
  <c r="AP38" i="5" a="1"/>
  <c r="AP38" i="5" s="1"/>
  <c r="AF38" i="5"/>
  <c r="AI38" i="5" s="1"/>
  <c r="AE38" i="5"/>
  <c r="AG38" i="5"/>
  <c r="AJ38" i="5" s="1"/>
  <c r="AL38" i="5" s="1"/>
  <c r="X38" i="5"/>
  <c r="AH38" i="5" s="1"/>
  <c r="AK38" i="5" s="1"/>
  <c r="AQ37" i="5" a="1"/>
  <c r="AQ37" i="5" s="1"/>
  <c r="AP37" i="5" a="1"/>
  <c r="AP37" i="5" s="1"/>
  <c r="AF37" i="5"/>
  <c r="AI37" i="5" s="1"/>
  <c r="AE37" i="5"/>
  <c r="AG37" i="5"/>
  <c r="AJ37" i="5" s="1"/>
  <c r="AL37" i="5" s="1"/>
  <c r="X37" i="5"/>
  <c r="AH37" i="5" s="1"/>
  <c r="AK37" i="5" s="1"/>
  <c r="AP36" i="5" a="1"/>
  <c r="AP36" i="5" s="1"/>
  <c r="AF36" i="5"/>
  <c r="AI36" i="5" s="1"/>
  <c r="AE36" i="5"/>
  <c r="AG36" i="5"/>
  <c r="AJ36" i="5" s="1"/>
  <c r="AL36" i="5" s="1"/>
  <c r="X36" i="5"/>
  <c r="AH36" i="5" s="1"/>
  <c r="AK36" i="5" s="1"/>
  <c r="AQ35" i="5" a="1"/>
  <c r="AQ35" i="5" s="1"/>
  <c r="AP35" i="5" a="1"/>
  <c r="AP35" i="5" s="1"/>
  <c r="AF35" i="5"/>
  <c r="AI35" i="5" s="1"/>
  <c r="AE35" i="5"/>
  <c r="AG35" i="5"/>
  <c r="AJ35" i="5" s="1"/>
  <c r="AL35" i="5" s="1"/>
  <c r="X35" i="5"/>
  <c r="AH35" i="5" s="1"/>
  <c r="AK35" i="5" s="1"/>
  <c r="AP34" i="5" a="1"/>
  <c r="AP34" i="5" s="1"/>
  <c r="AF34" i="5"/>
  <c r="AI34" i="5" s="1"/>
  <c r="AE34" i="5"/>
  <c r="AG34" i="5"/>
  <c r="AJ34" i="5" s="1"/>
  <c r="AL34" i="5" s="1"/>
  <c r="X34" i="5"/>
  <c r="AH34" i="5" s="1"/>
  <c r="AK34" i="5" s="1"/>
  <c r="AQ33" i="5" a="1"/>
  <c r="AQ33" i="5" s="1"/>
  <c r="AP33" i="5" a="1"/>
  <c r="AP33" i="5" s="1"/>
  <c r="AF33" i="5"/>
  <c r="AI33" i="5" s="1"/>
  <c r="AE33" i="5"/>
  <c r="AG33" i="5"/>
  <c r="AJ33" i="5" s="1"/>
  <c r="AL33" i="5" s="1"/>
  <c r="X33" i="5"/>
  <c r="AH33" i="5" s="1"/>
  <c r="AK33" i="5" s="1"/>
  <c r="AP32" i="5" a="1"/>
  <c r="AP32" i="5" s="1"/>
  <c r="AF32" i="5"/>
  <c r="AI32" i="5" s="1"/>
  <c r="AE32" i="5"/>
  <c r="AG32" i="5"/>
  <c r="AJ32" i="5" s="1"/>
  <c r="AL32" i="5" s="1"/>
  <c r="X32" i="5"/>
  <c r="AH32" i="5" s="1"/>
  <c r="AK32" i="5" s="1"/>
  <c r="AQ31" i="5" a="1"/>
  <c r="AQ31" i="5" s="1"/>
  <c r="AP31" i="5" a="1"/>
  <c r="AP31" i="5" s="1"/>
  <c r="AF31" i="5"/>
  <c r="AI31" i="5" s="1"/>
  <c r="AE31" i="5"/>
  <c r="AG31" i="5"/>
  <c r="AJ31" i="5" s="1"/>
  <c r="AL31" i="5" s="1"/>
  <c r="X31" i="5"/>
  <c r="AH31" i="5" s="1"/>
  <c r="AK31" i="5" s="1"/>
  <c r="AP30" i="5" a="1"/>
  <c r="AP30" i="5" s="1"/>
  <c r="AF30" i="5"/>
  <c r="AI30" i="5" s="1"/>
  <c r="AE30" i="5"/>
  <c r="AG30" i="5"/>
  <c r="AJ30" i="5" s="1"/>
  <c r="AL30" i="5" s="1"/>
  <c r="X30" i="5"/>
  <c r="AH30" i="5" s="1"/>
  <c r="AK30" i="5" s="1"/>
  <c r="AQ29" i="5" a="1"/>
  <c r="AQ29" i="5" s="1"/>
  <c r="AP29" i="5" a="1"/>
  <c r="AP29" i="5" s="1"/>
  <c r="AF29" i="5"/>
  <c r="AI29" i="5" s="1"/>
  <c r="AE29" i="5"/>
  <c r="AG29" i="5"/>
  <c r="AJ29" i="5" s="1"/>
  <c r="AL29" i="5" s="1"/>
  <c r="X29" i="5"/>
  <c r="AH29" i="5" s="1"/>
  <c r="AK29" i="5" s="1"/>
  <c r="AP28" i="5" a="1"/>
  <c r="AP28" i="5" s="1"/>
  <c r="AF28" i="5"/>
  <c r="AI28" i="5" s="1"/>
  <c r="AE28" i="5"/>
  <c r="AG28" i="5"/>
  <c r="AJ28" i="5" s="1"/>
  <c r="AL28" i="5" s="1"/>
  <c r="X28" i="5"/>
  <c r="AH28" i="5" s="1"/>
  <c r="AK28" i="5" s="1"/>
  <c r="AQ27" i="5" a="1"/>
  <c r="AQ27" i="5" s="1"/>
  <c r="AP27" i="5" a="1"/>
  <c r="AP27" i="5" s="1"/>
  <c r="AF27" i="5"/>
  <c r="AI27" i="5" s="1"/>
  <c r="AE27" i="5"/>
  <c r="AG27" i="5"/>
  <c r="AJ27" i="5" s="1"/>
  <c r="AL27" i="5" s="1"/>
  <c r="X27" i="5"/>
  <c r="AH27" i="5" s="1"/>
  <c r="AK27" i="5" s="1"/>
  <c r="AP26" i="5" a="1"/>
  <c r="AP26" i="5" s="1"/>
  <c r="AF26" i="5"/>
  <c r="AI26" i="5" s="1"/>
  <c r="AE26" i="5"/>
  <c r="AG26" i="5"/>
  <c r="AJ26" i="5" s="1"/>
  <c r="AL26" i="5" s="1"/>
  <c r="X26" i="5"/>
  <c r="AH26" i="5" s="1"/>
  <c r="AK26" i="5" s="1"/>
  <c r="AQ25" i="5" a="1"/>
  <c r="AQ25" i="5" s="1"/>
  <c r="AP25" i="5" a="1"/>
  <c r="AP25" i="5" s="1"/>
  <c r="AF25" i="5"/>
  <c r="AI25" i="5" s="1"/>
  <c r="AE25" i="5"/>
  <c r="AG25" i="5"/>
  <c r="AJ25" i="5" s="1"/>
  <c r="AL25" i="5" s="1"/>
  <c r="X25" i="5"/>
  <c r="AH25" i="5" s="1"/>
  <c r="AK25" i="5" s="1"/>
  <c r="AP24" i="5" a="1"/>
  <c r="AP24" i="5" s="1"/>
  <c r="AF24" i="5"/>
  <c r="AI24" i="5" s="1"/>
  <c r="AE24" i="5"/>
  <c r="AG24" i="5"/>
  <c r="AJ24" i="5" s="1"/>
  <c r="AL24" i="5" s="1"/>
  <c r="X24" i="5"/>
  <c r="AH24" i="5" s="1"/>
  <c r="AK24" i="5" s="1"/>
  <c r="AQ23" i="5" a="1"/>
  <c r="AQ23" i="5" s="1"/>
  <c r="AP23" i="5" a="1"/>
  <c r="AP23" i="5" s="1"/>
  <c r="AF23" i="5"/>
  <c r="AI23" i="5" s="1"/>
  <c r="AE23" i="5"/>
  <c r="AG23" i="5"/>
  <c r="AJ23" i="5" s="1"/>
  <c r="AL23" i="5" s="1"/>
  <c r="X23" i="5"/>
  <c r="AH23" i="5" s="1"/>
  <c r="AK23" i="5" s="1"/>
  <c r="AP22" i="5" a="1"/>
  <c r="AP22" i="5" s="1"/>
  <c r="AF22" i="5"/>
  <c r="AI22" i="5" s="1"/>
  <c r="AE22" i="5"/>
  <c r="AG22" i="5"/>
  <c r="AJ22" i="5" s="1"/>
  <c r="AL22" i="5" s="1"/>
  <c r="X22" i="5"/>
  <c r="AH22" i="5" s="1"/>
  <c r="AK22" i="5" s="1"/>
  <c r="AQ21" i="5" a="1"/>
  <c r="AQ21" i="5" s="1"/>
  <c r="AP21" i="5" a="1"/>
  <c r="AP21" i="5" s="1"/>
  <c r="AF21" i="5"/>
  <c r="AI21" i="5" s="1"/>
  <c r="AE21" i="5"/>
  <c r="AG21" i="5"/>
  <c r="AJ21" i="5" s="1"/>
  <c r="AL21" i="5" s="1"/>
  <c r="X21" i="5"/>
  <c r="AH21" i="5" s="1"/>
  <c r="AK21" i="5" s="1"/>
  <c r="AP20" i="5" a="1"/>
  <c r="AP20" i="5" s="1"/>
  <c r="AF20" i="5"/>
  <c r="AI20" i="5" s="1"/>
  <c r="AE20" i="5"/>
  <c r="AG20" i="5"/>
  <c r="AJ20" i="5" s="1"/>
  <c r="AL20" i="5" s="1"/>
  <c r="X20" i="5"/>
  <c r="AH20" i="5" s="1"/>
  <c r="AK20" i="5" s="1"/>
  <c r="AQ19" i="5" a="1"/>
  <c r="AQ19" i="5" s="1"/>
  <c r="AP19" i="5" a="1"/>
  <c r="AP19" i="5" s="1"/>
  <c r="AF19" i="5"/>
  <c r="AI19" i="5" s="1"/>
  <c r="AE19" i="5"/>
  <c r="AG19" i="5"/>
  <c r="AJ19" i="5" s="1"/>
  <c r="AL19" i="5" s="1"/>
  <c r="X19" i="5"/>
  <c r="AH19" i="5" s="1"/>
  <c r="AK19" i="5" s="1"/>
  <c r="AP18" i="5" a="1"/>
  <c r="AP18" i="5" s="1"/>
  <c r="AF18" i="5"/>
  <c r="AI18" i="5" s="1"/>
  <c r="AE18" i="5"/>
  <c r="AG18" i="5"/>
  <c r="AJ18" i="5" s="1"/>
  <c r="AL18" i="5" s="1"/>
  <c r="X18" i="5"/>
  <c r="AH18" i="5" s="1"/>
  <c r="AK18" i="5" s="1"/>
  <c r="AQ17" i="5" a="1"/>
  <c r="AQ17" i="5" s="1"/>
  <c r="AP17" i="5" a="1"/>
  <c r="AP17" i="5" s="1"/>
  <c r="AF17" i="5"/>
  <c r="AI17" i="5" s="1"/>
  <c r="AE17" i="5"/>
  <c r="AG17" i="5"/>
  <c r="AJ17" i="5" s="1"/>
  <c r="AL17" i="5" s="1"/>
  <c r="X17" i="5"/>
  <c r="AH17" i="5" s="1"/>
  <c r="AK17" i="5" s="1"/>
  <c r="AP16" i="5" a="1"/>
  <c r="AP16" i="5" s="1"/>
  <c r="AF16" i="5"/>
  <c r="AI16" i="5" s="1"/>
  <c r="AE16" i="5"/>
  <c r="AG16" i="5"/>
  <c r="AJ16" i="5" s="1"/>
  <c r="AL16" i="5" s="1"/>
  <c r="X16" i="5"/>
  <c r="AH16" i="5" s="1"/>
  <c r="AK16" i="5" s="1"/>
  <c r="AQ15" i="5" a="1"/>
  <c r="AQ15" i="5" s="1"/>
  <c r="AP15" i="5" a="1"/>
  <c r="AP15" i="5" s="1"/>
  <c r="AF15" i="5"/>
  <c r="AI15" i="5" s="1"/>
  <c r="AE15" i="5"/>
  <c r="AG15" i="5"/>
  <c r="AJ15" i="5" s="1"/>
  <c r="AL15" i="5" s="1"/>
  <c r="X15" i="5"/>
  <c r="AH15" i="5" s="1"/>
  <c r="AK15" i="5" s="1"/>
  <c r="AP14" i="5" a="1"/>
  <c r="AP14" i="5" s="1"/>
  <c r="AF14" i="5"/>
  <c r="AI14" i="5" s="1"/>
  <c r="AE14" i="5"/>
  <c r="AG14" i="5"/>
  <c r="AJ14" i="5" s="1"/>
  <c r="AL14" i="5" s="1"/>
  <c r="X14" i="5"/>
  <c r="AH14" i="5" s="1"/>
  <c r="AK14" i="5" s="1"/>
  <c r="AQ13" i="5" a="1"/>
  <c r="AQ13" i="5" s="1"/>
  <c r="AP13" i="5" a="1"/>
  <c r="AP13" i="5" s="1"/>
  <c r="AF13" i="5"/>
  <c r="AI13" i="5" s="1"/>
  <c r="AE13" i="5"/>
  <c r="AG13" i="5"/>
  <c r="AJ13" i="5" s="1"/>
  <c r="AL13" i="5" s="1"/>
  <c r="X13" i="5"/>
  <c r="AH13" i="5" s="1"/>
  <c r="AK13" i="5" s="1"/>
  <c r="AP12" i="5" a="1"/>
  <c r="AP12" i="5" s="1"/>
  <c r="AF12" i="5"/>
  <c r="AI12" i="5" s="1"/>
  <c r="AE12" i="5"/>
  <c r="AG12" i="5"/>
  <c r="AJ12" i="5" s="1"/>
  <c r="AL12" i="5" s="1"/>
  <c r="X12" i="5"/>
  <c r="AH12" i="5" s="1"/>
  <c r="AK12" i="5" s="1"/>
  <c r="AQ11" i="5" a="1"/>
  <c r="AQ11" i="5" s="1"/>
  <c r="AP11" i="5" a="1"/>
  <c r="AP11" i="5" s="1"/>
  <c r="AF11" i="5"/>
  <c r="AI11" i="5" s="1"/>
  <c r="AE11" i="5"/>
  <c r="AG11" i="5"/>
  <c r="AJ11" i="5" s="1"/>
  <c r="AL11" i="5" s="1"/>
  <c r="X11" i="5"/>
  <c r="AH11" i="5" s="1"/>
  <c r="AK11" i="5" s="1"/>
  <c r="AP10" i="5" a="1"/>
  <c r="AP10" i="5" s="1"/>
  <c r="AF10" i="5"/>
  <c r="AI10" i="5" s="1"/>
  <c r="AE10" i="5"/>
  <c r="AG10" i="5"/>
  <c r="AJ10" i="5" s="1"/>
  <c r="AL10" i="5" s="1"/>
  <c r="X10" i="5"/>
  <c r="AH10" i="5" s="1"/>
  <c r="AK10" i="5" s="1"/>
  <c r="AQ9" i="5" a="1"/>
  <c r="AQ9" i="5" s="1"/>
  <c r="AP9" i="5" a="1"/>
  <c r="AP9" i="5" s="1"/>
  <c r="AF9" i="5"/>
  <c r="AI9" i="5" s="1"/>
  <c r="AE9" i="5"/>
  <c r="AG9" i="5"/>
  <c r="AJ9" i="5" s="1"/>
  <c r="AL9" i="5" s="1"/>
  <c r="X9" i="5"/>
  <c r="AH9" i="5" s="1"/>
  <c r="AK9" i="5" s="1"/>
  <c r="AP8" i="5" a="1"/>
  <c r="AP8" i="5" s="1"/>
  <c r="AF8" i="5"/>
  <c r="AI8" i="5" s="1"/>
  <c r="AE8" i="5"/>
  <c r="AG8" i="5"/>
  <c r="AJ8" i="5" s="1"/>
  <c r="AL8" i="5" s="1"/>
  <c r="X8" i="5"/>
  <c r="AH8" i="5" s="1"/>
  <c r="AK8" i="5" s="1"/>
  <c r="AQ7" i="5" a="1"/>
  <c r="AQ7" i="5" s="1"/>
  <c r="AP7" i="5" a="1"/>
  <c r="AP7" i="5" s="1"/>
  <c r="AF7" i="5"/>
  <c r="AI7" i="5" s="1"/>
  <c r="AE7" i="5"/>
  <c r="AG7" i="5"/>
  <c r="AJ7" i="5" s="1"/>
  <c r="AL7" i="5" s="1"/>
  <c r="X7" i="5"/>
  <c r="AH7" i="5" s="1"/>
  <c r="AK7" i="5" s="1"/>
  <c r="AP6" i="5" a="1"/>
  <c r="AP6" i="5" s="1"/>
  <c r="AF6" i="5"/>
  <c r="AI6" i="5" s="1"/>
  <c r="AE6" i="5"/>
  <c r="AG6" i="5"/>
  <c r="AJ6" i="5" s="1"/>
  <c r="AL6" i="5" s="1"/>
  <c r="X6" i="5"/>
  <c r="AH6" i="5" s="1"/>
  <c r="AK6" i="5" s="1"/>
  <c r="AQ5" i="5" a="1"/>
  <c r="AQ5" i="5" s="1"/>
  <c r="AP5" i="5" a="1"/>
  <c r="AP5" i="5" s="1"/>
  <c r="AF5" i="5"/>
  <c r="AI5" i="5" s="1"/>
  <c r="AE5" i="5"/>
  <c r="AG5" i="5"/>
  <c r="AJ5" i="5" s="1"/>
  <c r="AL5" i="5" s="1"/>
  <c r="X5" i="5"/>
  <c r="AH5" i="5" s="1"/>
  <c r="AK5" i="5" s="1"/>
  <c r="AP4" i="5" a="1"/>
  <c r="AP4" i="5" s="1"/>
  <c r="AF4" i="5"/>
  <c r="AI4" i="5" s="1"/>
  <c r="AE4" i="5"/>
  <c r="AG4" i="5"/>
  <c r="AJ4" i="5" s="1"/>
  <c r="AL4" i="5" s="1"/>
  <c r="X4" i="5"/>
  <c r="AH4" i="5" s="1"/>
  <c r="AK4" i="5" s="1"/>
  <c r="AQ3" i="5" a="1"/>
  <c r="AQ3" i="5" s="1"/>
  <c r="AP3" i="5" a="1"/>
  <c r="AP3" i="5" s="1"/>
  <c r="AF3" i="5"/>
  <c r="AI3" i="5" s="1"/>
  <c r="AE3" i="5"/>
  <c r="AG3" i="5"/>
  <c r="AJ3" i="5" s="1"/>
  <c r="AL3" i="5" s="1"/>
  <c r="X3" i="5"/>
  <c r="AH3" i="5" s="1"/>
  <c r="AK3" i="5" s="1"/>
  <c r="AP2" i="5" a="1"/>
  <c r="AP2" i="5" s="1"/>
  <c r="AE2" i="5"/>
  <c r="X2" i="5"/>
  <c r="AH2" i="5" s="1"/>
  <c r="AK2" i="5" s="1"/>
  <c r="AE2" i="3"/>
  <c r="AH2" i="3"/>
  <c r="AK2" i="3" s="1"/>
  <c r="AE3" i="3"/>
  <c r="AE4" i="3"/>
  <c r="AO4" i="3" s="1" a="1"/>
  <c r="AO4" i="3" s="1"/>
  <c r="AE5" i="3"/>
  <c r="AE6" i="3"/>
  <c r="AO6" i="3" s="1" a="1"/>
  <c r="AO6" i="3" s="1"/>
  <c r="AE7" i="3"/>
  <c r="AE8" i="3"/>
  <c r="AO8" i="3" s="1" a="1"/>
  <c r="AO8" i="3" s="1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O22" i="3" s="1" a="1"/>
  <c r="AO22" i="3" s="1"/>
  <c r="AE23" i="3"/>
  <c r="AE24" i="3"/>
  <c r="AO24" i="3" s="1" a="1"/>
  <c r="AO24" i="3" s="1"/>
  <c r="AE25" i="3"/>
  <c r="AE26" i="3"/>
  <c r="AE27" i="3"/>
  <c r="AE28" i="3"/>
  <c r="AO28" i="3" s="1" a="1"/>
  <c r="AO28" i="3" s="1"/>
  <c r="AE29" i="3"/>
  <c r="AE30" i="3"/>
  <c r="AO30" i="3" s="1" a="1"/>
  <c r="AO30" i="3" s="1"/>
  <c r="AE31" i="3"/>
  <c r="AE32" i="3"/>
  <c r="AE33" i="3"/>
  <c r="AE34" i="3"/>
  <c r="AE35" i="3"/>
  <c r="AE36" i="3"/>
  <c r="AO36" i="3" s="1" a="1"/>
  <c r="AO36" i="3" s="1"/>
  <c r="AE37" i="3"/>
  <c r="AE38" i="3"/>
  <c r="AE39" i="3"/>
  <c r="AE40" i="3"/>
  <c r="AE41" i="3"/>
  <c r="AO10" i="3" a="1"/>
  <c r="AO10" i="3" s="1"/>
  <c r="AO12" i="3" a="1"/>
  <c r="AO12" i="3" s="1"/>
  <c r="AO14" i="3" a="1"/>
  <c r="AO14" i="3" s="1"/>
  <c r="AO18" i="3" a="1"/>
  <c r="AO18" i="3" s="1"/>
  <c r="AO38" i="3" a="1"/>
  <c r="AO38" i="3" s="1"/>
  <c r="AG2" i="3"/>
  <c r="AO3" i="3" a="1"/>
  <c r="AO3" i="3" s="1"/>
  <c r="AO5" i="3" a="1"/>
  <c r="AO5" i="3" s="1"/>
  <c r="AO7" i="3" a="1"/>
  <c r="AO7" i="3" s="1"/>
  <c r="AO9" i="3" a="1"/>
  <c r="AO9" i="3" s="1"/>
  <c r="AO11" i="3" a="1"/>
  <c r="AO11" i="3" s="1"/>
  <c r="AO13" i="3" a="1"/>
  <c r="AO13" i="3" s="1"/>
  <c r="AO15" i="3" a="1"/>
  <c r="AO15" i="3" s="1"/>
  <c r="AO16" i="3" a="1"/>
  <c r="AO16" i="3" s="1"/>
  <c r="AO17" i="3" a="1"/>
  <c r="AO17" i="3" s="1"/>
  <c r="AO19" i="3" a="1"/>
  <c r="AO19" i="3" s="1"/>
  <c r="AO20" i="3" a="1"/>
  <c r="AO20" i="3" s="1"/>
  <c r="AO21" i="3" a="1"/>
  <c r="AO21" i="3" s="1"/>
  <c r="AO23" i="3" a="1"/>
  <c r="AO23" i="3" s="1"/>
  <c r="AO25" i="3" a="1"/>
  <c r="AO25" i="3" s="1"/>
  <c r="AO26" i="3" a="1"/>
  <c r="AO26" i="3" s="1"/>
  <c r="AO27" i="3" a="1"/>
  <c r="AO27" i="3" s="1"/>
  <c r="AO29" i="3" a="1"/>
  <c r="AO29" i="3" s="1"/>
  <c r="AO31" i="3" a="1"/>
  <c r="AO31" i="3" s="1"/>
  <c r="AO32" i="3" a="1"/>
  <c r="AO32" i="3" s="1"/>
  <c r="AO33" i="3" a="1"/>
  <c r="AO33" i="3" s="1"/>
  <c r="AO34" i="3" a="1"/>
  <c r="AO34" i="3" s="1"/>
  <c r="AO35" i="3" a="1"/>
  <c r="AO35" i="3" s="1"/>
  <c r="AO37" i="3" a="1"/>
  <c r="AO37" i="3" s="1"/>
  <c r="AO39" i="3" a="1"/>
  <c r="AO39" i="3" s="1"/>
  <c r="AO40" i="3" a="1"/>
  <c r="AO40" i="3" s="1"/>
  <c r="AO41" i="3" a="1"/>
  <c r="AO41" i="3" s="1"/>
  <c r="AN2" i="3" a="1"/>
  <c r="AN2" i="3" s="1"/>
  <c r="AB2" i="3"/>
  <c r="AB41" i="3"/>
  <c r="AB39" i="3"/>
  <c r="AB37" i="3"/>
  <c r="AB35" i="3"/>
  <c r="AB33" i="3"/>
  <c r="AB31" i="3"/>
  <c r="AB29" i="3"/>
  <c r="AB27" i="3"/>
  <c r="AB25" i="3"/>
  <c r="AB23" i="3"/>
  <c r="AB21" i="3"/>
  <c r="AB19" i="3"/>
  <c r="AB17" i="3"/>
  <c r="AB15" i="3"/>
  <c r="AB13" i="3"/>
  <c r="AB11" i="3"/>
  <c r="AB9" i="3"/>
  <c r="AB7" i="3"/>
  <c r="AB5" i="3"/>
  <c r="AB3" i="3"/>
  <c r="AB4" i="3"/>
  <c r="AB6" i="3"/>
  <c r="AB8" i="3"/>
  <c r="AB10" i="3"/>
  <c r="AB12" i="3"/>
  <c r="AB14" i="3"/>
  <c r="AB16" i="3"/>
  <c r="AB18" i="3"/>
  <c r="AB20" i="3"/>
  <c r="AB22" i="3"/>
  <c r="AB24" i="3"/>
  <c r="AB26" i="3"/>
  <c r="AB28" i="3"/>
  <c r="AB30" i="3"/>
  <c r="AB32" i="3"/>
  <c r="AB34" i="3"/>
  <c r="AB36" i="3"/>
  <c r="AB38" i="3"/>
  <c r="AB40" i="3"/>
  <c r="AD2" i="3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2" i="4"/>
  <c r="W3" i="3"/>
  <c r="AF3" i="3" s="1"/>
  <c r="AI3" i="3" s="1"/>
  <c r="W4" i="3"/>
  <c r="AF4" i="3" s="1"/>
  <c r="AI4" i="3" s="1"/>
  <c r="W5" i="3"/>
  <c r="AF5" i="3" s="1"/>
  <c r="AI5" i="3" s="1"/>
  <c r="W6" i="3"/>
  <c r="AF6" i="3" s="1"/>
  <c r="AI6" i="3" s="1"/>
  <c r="W7" i="3"/>
  <c r="AF7" i="3" s="1"/>
  <c r="AI7" i="3" s="1"/>
  <c r="W8" i="3"/>
  <c r="AF8" i="3" s="1"/>
  <c r="AI8" i="3" s="1"/>
  <c r="W9" i="3"/>
  <c r="AF9" i="3" s="1"/>
  <c r="AI9" i="3" s="1"/>
  <c r="W10" i="3"/>
  <c r="AF10" i="3" s="1"/>
  <c r="AI10" i="3" s="1"/>
  <c r="W11" i="3"/>
  <c r="AF11" i="3" s="1"/>
  <c r="AI11" i="3" s="1"/>
  <c r="W12" i="3"/>
  <c r="AF12" i="3" s="1"/>
  <c r="AI12" i="3" s="1"/>
  <c r="W13" i="3"/>
  <c r="AF13" i="3" s="1"/>
  <c r="AI13" i="3" s="1"/>
  <c r="W14" i="3"/>
  <c r="AF14" i="3" s="1"/>
  <c r="AI14" i="3" s="1"/>
  <c r="W15" i="3"/>
  <c r="AF15" i="3" s="1"/>
  <c r="AI15" i="3" s="1"/>
  <c r="W16" i="3"/>
  <c r="AF16" i="3" s="1"/>
  <c r="AI16" i="3" s="1"/>
  <c r="W17" i="3"/>
  <c r="AF17" i="3" s="1"/>
  <c r="AI17" i="3" s="1"/>
  <c r="W18" i="3"/>
  <c r="AF18" i="3" s="1"/>
  <c r="AI18" i="3" s="1"/>
  <c r="W19" i="3"/>
  <c r="AF19" i="3" s="1"/>
  <c r="AI19" i="3" s="1"/>
  <c r="W20" i="3"/>
  <c r="AF20" i="3" s="1"/>
  <c r="AI20" i="3" s="1"/>
  <c r="W21" i="3"/>
  <c r="AF21" i="3" s="1"/>
  <c r="AI21" i="3" s="1"/>
  <c r="W22" i="3"/>
  <c r="AF22" i="3" s="1"/>
  <c r="AI22" i="3" s="1"/>
  <c r="W23" i="3"/>
  <c r="AF23" i="3" s="1"/>
  <c r="AI23" i="3" s="1"/>
  <c r="W24" i="3"/>
  <c r="AF24" i="3" s="1"/>
  <c r="AI24" i="3" s="1"/>
  <c r="W25" i="3"/>
  <c r="AF25" i="3" s="1"/>
  <c r="AI25" i="3" s="1"/>
  <c r="W26" i="3"/>
  <c r="AF26" i="3" s="1"/>
  <c r="AI26" i="3" s="1"/>
  <c r="W27" i="3"/>
  <c r="AF27" i="3" s="1"/>
  <c r="AI27" i="3" s="1"/>
  <c r="W28" i="3"/>
  <c r="AF28" i="3" s="1"/>
  <c r="AI28" i="3" s="1"/>
  <c r="W29" i="3"/>
  <c r="AF29" i="3" s="1"/>
  <c r="AI29" i="3" s="1"/>
  <c r="W30" i="3"/>
  <c r="AF30" i="3" s="1"/>
  <c r="AI30" i="3" s="1"/>
  <c r="W31" i="3"/>
  <c r="AF31" i="3" s="1"/>
  <c r="AI31" i="3" s="1"/>
  <c r="W32" i="3"/>
  <c r="AF32" i="3" s="1"/>
  <c r="AI32" i="3" s="1"/>
  <c r="W33" i="3"/>
  <c r="AF33" i="3" s="1"/>
  <c r="AI33" i="3" s="1"/>
  <c r="W34" i="3"/>
  <c r="AF34" i="3" s="1"/>
  <c r="AI34" i="3" s="1"/>
  <c r="W35" i="3"/>
  <c r="AF35" i="3" s="1"/>
  <c r="AI35" i="3" s="1"/>
  <c r="W36" i="3"/>
  <c r="AF36" i="3" s="1"/>
  <c r="AI36" i="3" s="1"/>
  <c r="W37" i="3"/>
  <c r="AF37" i="3" s="1"/>
  <c r="AI37" i="3" s="1"/>
  <c r="W38" i="3"/>
  <c r="AF38" i="3" s="1"/>
  <c r="AI38" i="3" s="1"/>
  <c r="W39" i="3"/>
  <c r="AF39" i="3" s="1"/>
  <c r="AI39" i="3" s="1"/>
  <c r="W40" i="3"/>
  <c r="AF40" i="3" s="1"/>
  <c r="AI40" i="3" s="1"/>
  <c r="W41" i="3"/>
  <c r="AF41" i="3" s="1"/>
  <c r="AI41" i="3" s="1"/>
  <c r="W2" i="3"/>
  <c r="AF2" i="3" s="1"/>
  <c r="AI2" i="3" s="1"/>
  <c r="AL2" i="5" l="1"/>
  <c r="AQ8" i="5" a="1"/>
  <c r="AQ8" i="5" s="1"/>
  <c r="AQ2" i="5" a="1"/>
  <c r="AQ2" i="5" s="1"/>
  <c r="AM34" i="5"/>
  <c r="AO34" i="5" s="1"/>
  <c r="AQ10" i="5" a="1"/>
  <c r="AQ10" i="5" s="1"/>
  <c r="AQ20" i="5" a="1"/>
  <c r="AQ20" i="5" s="1"/>
  <c r="AQ36" i="5" a="1"/>
  <c r="AQ36" i="5" s="1"/>
  <c r="AM32" i="5"/>
  <c r="AO32" i="5" s="1"/>
  <c r="AQ24" i="5" a="1"/>
  <c r="AQ24" i="5" s="1"/>
  <c r="AM19" i="5"/>
  <c r="AO19" i="5" s="1"/>
  <c r="AQ38" i="5" a="1"/>
  <c r="AQ38" i="5" s="1"/>
  <c r="AM25" i="5"/>
  <c r="AO25" i="5" s="1"/>
  <c r="AQ30" i="5" a="1"/>
  <c r="AQ30" i="5" s="1"/>
  <c r="AQ22" i="5" a="1"/>
  <c r="AQ22" i="5" s="1"/>
  <c r="AQ40" i="5" a="1"/>
  <c r="AQ40" i="5" s="1"/>
  <c r="AQ6" i="5" a="1"/>
  <c r="AQ6" i="5" s="1"/>
  <c r="AQ14" i="5" a="1"/>
  <c r="AQ14" i="5" s="1"/>
  <c r="AQ28" i="5" a="1"/>
  <c r="AQ28" i="5" s="1"/>
  <c r="AQ26" i="5" a="1"/>
  <c r="AQ26" i="5" s="1"/>
  <c r="AQ12" i="5" a="1"/>
  <c r="AQ12" i="5" s="1"/>
  <c r="AQ4" i="5" a="1"/>
  <c r="AQ4" i="5" s="1"/>
  <c r="AQ16" i="5" a="1"/>
  <c r="AQ16" i="5" s="1"/>
  <c r="AQ32" i="5" a="1"/>
  <c r="AQ32" i="5" s="1"/>
  <c r="AQ18" i="5" a="1"/>
  <c r="AQ18" i="5" s="1"/>
  <c r="AQ34" i="5" a="1"/>
  <c r="AQ34" i="5" s="1"/>
  <c r="AO2" i="3" a="1"/>
  <c r="AO2" i="3" s="1"/>
  <c r="AM2" i="3"/>
  <c r="AH26" i="3"/>
  <c r="AK26" i="3" s="1"/>
  <c r="AH10" i="3"/>
  <c r="AK10" i="3" s="1"/>
  <c r="AH31" i="3"/>
  <c r="AK31" i="3" s="1"/>
  <c r="AH15" i="3"/>
  <c r="AK15" i="3" s="1"/>
  <c r="AH30" i="3"/>
  <c r="AK30" i="3" s="1"/>
  <c r="AH14" i="3"/>
  <c r="AK14" i="3" s="1"/>
  <c r="AH23" i="3"/>
  <c r="AK23" i="3" s="1"/>
  <c r="AH38" i="3"/>
  <c r="AK38" i="3" s="1"/>
  <c r="AH6" i="3"/>
  <c r="AK6" i="3" s="1"/>
  <c r="AH34" i="3"/>
  <c r="AK34" i="3" s="1"/>
  <c r="AH18" i="3"/>
  <c r="AK18" i="3" s="1"/>
  <c r="AH39" i="3"/>
  <c r="AK39" i="3" s="1"/>
  <c r="AH7" i="3"/>
  <c r="AK7" i="3" s="1"/>
  <c r="AH22" i="3"/>
  <c r="AK22" i="3" s="1"/>
  <c r="AH41" i="3"/>
  <c r="AK41" i="3" s="1"/>
  <c r="AH25" i="3"/>
  <c r="AK25" i="3" s="1"/>
  <c r="AH9" i="3"/>
  <c r="AK9" i="3" s="1"/>
  <c r="AH13" i="3"/>
  <c r="AK13" i="3" s="1"/>
  <c r="AH33" i="3"/>
  <c r="AK33" i="3" s="1"/>
  <c r="AH17" i="3"/>
  <c r="AK17" i="3" s="1"/>
  <c r="AH29" i="3"/>
  <c r="AK29" i="3" s="1"/>
  <c r="AH27" i="3"/>
  <c r="AK27" i="3" s="1"/>
  <c r="AH3" i="3"/>
  <c r="AK3" i="3" s="1"/>
  <c r="AH35" i="3"/>
  <c r="AK35" i="3" s="1"/>
  <c r="AH19" i="3"/>
  <c r="AK19" i="3" s="1"/>
  <c r="AH11" i="3"/>
  <c r="AK11" i="3" s="1"/>
  <c r="AH32" i="3"/>
  <c r="AK32" i="3" s="1"/>
  <c r="AH16" i="3"/>
  <c r="AK16" i="3" s="1"/>
  <c r="AH28" i="3"/>
  <c r="AK28" i="3" s="1"/>
  <c r="AH12" i="3"/>
  <c r="AK12" i="3" s="1"/>
  <c r="AH40" i="3"/>
  <c r="AK40" i="3" s="1"/>
  <c r="AH24" i="3"/>
  <c r="AK24" i="3" s="1"/>
  <c r="AH8" i="3"/>
  <c r="AK8" i="3" s="1"/>
  <c r="AH36" i="3"/>
  <c r="AK36" i="3" s="1"/>
  <c r="AH20" i="3"/>
  <c r="AK20" i="3" s="1"/>
  <c r="AH4" i="3"/>
  <c r="AK4" i="3" s="1"/>
  <c r="AH5" i="3"/>
  <c r="AK5" i="3" s="1"/>
  <c r="AH37" i="3"/>
  <c r="AK37" i="3" s="1"/>
  <c r="AH21" i="3"/>
  <c r="AK21" i="3" s="1"/>
  <c r="AJ2" i="3"/>
  <c r="AN25" i="5" l="1"/>
  <c r="AN34" i="5"/>
  <c r="AN32" i="5"/>
  <c r="AN19" i="5"/>
  <c r="AM6" i="5"/>
  <c r="AO6" i="5" s="1"/>
  <c r="AM5" i="5"/>
  <c r="AO5" i="5" s="1"/>
  <c r="AM26" i="5"/>
  <c r="AO26" i="5" s="1"/>
  <c r="AM20" i="5"/>
  <c r="AO20" i="5" s="1"/>
  <c r="AM41" i="5"/>
  <c r="AO41" i="5" s="1"/>
  <c r="AM18" i="5"/>
  <c r="AO18" i="5" s="1"/>
  <c r="AM10" i="5"/>
  <c r="AO10" i="5" s="1"/>
  <c r="AM40" i="5"/>
  <c r="AO40" i="5" s="1"/>
  <c r="AM30" i="5"/>
  <c r="AO30" i="5" s="1"/>
  <c r="AM24" i="5"/>
  <c r="AO24" i="5" s="1"/>
  <c r="AM16" i="5"/>
  <c r="AO16" i="5" s="1"/>
  <c r="AM14" i="5"/>
  <c r="AO14" i="5" s="1"/>
  <c r="AM29" i="5"/>
  <c r="AO29" i="5" s="1"/>
  <c r="AM15" i="5"/>
  <c r="AO15" i="5" s="1"/>
  <c r="AM8" i="5"/>
  <c r="AO8" i="5" s="1"/>
  <c r="AM7" i="5"/>
  <c r="AO7" i="5" s="1"/>
  <c r="AM3" i="5"/>
  <c r="AO3" i="5" s="1"/>
  <c r="AM36" i="5"/>
  <c r="AO36" i="5" s="1"/>
  <c r="AM35" i="5"/>
  <c r="AO35" i="5" s="1"/>
  <c r="AM4" i="5"/>
  <c r="AO4" i="5" s="1"/>
  <c r="AM17" i="5"/>
  <c r="AO17" i="5" s="1"/>
  <c r="AM9" i="5"/>
  <c r="AO9" i="5" s="1"/>
  <c r="AM33" i="5"/>
  <c r="AO33" i="5" s="1"/>
  <c r="AM28" i="5"/>
  <c r="AO28" i="5" s="1"/>
  <c r="AM37" i="5"/>
  <c r="AO37" i="5" s="1"/>
  <c r="AM27" i="5"/>
  <c r="AO27" i="5" s="1"/>
  <c r="AM21" i="5"/>
  <c r="AO21" i="5" s="1"/>
  <c r="AM13" i="5"/>
  <c r="AO13" i="5" s="1"/>
  <c r="AM11" i="5"/>
  <c r="AO11" i="5" s="1"/>
  <c r="AM2" i="5"/>
  <c r="AO2" i="5" s="1"/>
  <c r="AM31" i="5"/>
  <c r="AO31" i="5" s="1"/>
  <c r="AM23" i="5"/>
  <c r="AO23" i="5" s="1"/>
  <c r="AM38" i="5"/>
  <c r="AO38" i="5" s="1"/>
  <c r="AM39" i="5"/>
  <c r="AO39" i="5" s="1"/>
  <c r="AM12" i="5"/>
  <c r="AO12" i="5" s="1"/>
  <c r="AM22" i="5"/>
  <c r="AO22" i="5" s="1"/>
  <c r="AL2" i="3"/>
  <c r="AD3" i="3"/>
  <c r="AG3" i="3" s="1"/>
  <c r="AD4" i="3"/>
  <c r="AG4" i="3" s="1"/>
  <c r="AD5" i="3"/>
  <c r="AG5" i="3" s="1"/>
  <c r="AD6" i="3"/>
  <c r="AG6" i="3" s="1"/>
  <c r="AD7" i="3"/>
  <c r="AG7" i="3" s="1"/>
  <c r="AD8" i="3"/>
  <c r="AD9" i="3"/>
  <c r="AD10" i="3"/>
  <c r="AD11" i="3"/>
  <c r="AD12" i="3"/>
  <c r="AD13" i="3"/>
  <c r="AG13" i="3" s="1"/>
  <c r="AD14" i="3"/>
  <c r="AG14" i="3" s="1"/>
  <c r="AD15" i="3"/>
  <c r="AG15" i="3" s="1"/>
  <c r="AD16" i="3"/>
  <c r="AG16" i="3" s="1"/>
  <c r="AD17" i="3"/>
  <c r="AG17" i="3" s="1"/>
  <c r="AD18" i="3"/>
  <c r="AG18" i="3" s="1"/>
  <c r="AD19" i="3"/>
  <c r="AG19" i="3" s="1"/>
  <c r="AD20" i="3"/>
  <c r="AG20" i="3" s="1"/>
  <c r="AD21" i="3"/>
  <c r="AG21" i="3" s="1"/>
  <c r="AD22" i="3"/>
  <c r="AG22" i="3" s="1"/>
  <c r="AD23" i="3"/>
  <c r="AG23" i="3" s="1"/>
  <c r="AD24" i="3"/>
  <c r="AD25" i="3"/>
  <c r="AD26" i="3"/>
  <c r="AD27" i="3"/>
  <c r="AD28" i="3"/>
  <c r="AD29" i="3"/>
  <c r="AG29" i="3" s="1"/>
  <c r="AD30" i="3"/>
  <c r="AG30" i="3" s="1"/>
  <c r="AD31" i="3"/>
  <c r="AG31" i="3" s="1"/>
  <c r="AD32" i="3"/>
  <c r="AG32" i="3" s="1"/>
  <c r="AD33" i="3"/>
  <c r="AG33" i="3" s="1"/>
  <c r="AD34" i="3"/>
  <c r="AG34" i="3" s="1"/>
  <c r="AD35" i="3"/>
  <c r="AG35" i="3" s="1"/>
  <c r="AD36" i="3"/>
  <c r="AG36" i="3" s="1"/>
  <c r="AD37" i="3"/>
  <c r="AG37" i="3" s="1"/>
  <c r="AD38" i="3"/>
  <c r="AG38" i="3" s="1"/>
  <c r="AD39" i="3"/>
  <c r="AD40" i="3"/>
  <c r="AD41" i="3"/>
  <c r="AC2" i="3"/>
  <c r="AN40" i="5" l="1"/>
  <c r="AN20" i="5"/>
  <c r="AN35" i="5"/>
  <c r="AN39" i="5"/>
  <c r="AN37" i="5"/>
  <c r="AN31" i="5"/>
  <c r="AN8" i="5"/>
  <c r="AN15" i="5"/>
  <c r="AN30" i="5"/>
  <c r="AN14" i="5"/>
  <c r="AS2" i="5"/>
  <c r="AN21" i="5"/>
  <c r="AN13" i="5"/>
  <c r="AN10" i="5"/>
  <c r="AN26" i="5"/>
  <c r="AN22" i="5"/>
  <c r="AN38" i="5"/>
  <c r="AN33" i="5"/>
  <c r="AN24" i="5"/>
  <c r="AN11" i="5"/>
  <c r="AN23" i="5"/>
  <c r="AN28" i="5"/>
  <c r="AN7" i="5"/>
  <c r="AN6" i="5"/>
  <c r="AS3" i="5"/>
  <c r="AN9" i="5"/>
  <c r="AT3" i="5"/>
  <c r="AN17" i="5"/>
  <c r="AN2" i="5"/>
  <c r="AN41" i="5"/>
  <c r="AN36" i="5"/>
  <c r="AN4" i="5"/>
  <c r="AN18" i="5"/>
  <c r="AN29" i="5"/>
  <c r="AN12" i="5"/>
  <c r="AN16" i="5"/>
  <c r="AN27" i="5"/>
  <c r="AN5" i="5"/>
  <c r="AN3" i="5"/>
  <c r="AT2" i="5"/>
  <c r="AG12" i="3"/>
  <c r="AJ28" i="3"/>
  <c r="AG28" i="3"/>
  <c r="AG27" i="3"/>
  <c r="AG11" i="3"/>
  <c r="AG26" i="3"/>
  <c r="AJ10" i="3"/>
  <c r="AG10" i="3"/>
  <c r="AG41" i="3"/>
  <c r="AG25" i="3"/>
  <c r="AG9" i="3"/>
  <c r="AG40" i="3"/>
  <c r="AG24" i="3"/>
  <c r="AG8" i="3"/>
  <c r="AG39" i="3"/>
  <c r="AJ35" i="3"/>
  <c r="AJ19" i="3"/>
  <c r="AJ18" i="3"/>
  <c r="AJ33" i="3"/>
  <c r="AJ16" i="3"/>
  <c r="AJ3" i="3"/>
  <c r="AJ34" i="3"/>
  <c r="AJ17" i="3"/>
  <c r="AJ32" i="3"/>
  <c r="AJ24" i="3"/>
  <c r="AJ21" i="3"/>
  <c r="AJ31" i="3"/>
  <c r="AJ15" i="3"/>
  <c r="AJ4" i="3"/>
  <c r="AJ5" i="3"/>
  <c r="AJ29" i="3"/>
  <c r="AJ14" i="3"/>
  <c r="AJ13" i="3"/>
  <c r="AJ37" i="3"/>
  <c r="AJ20" i="3"/>
  <c r="AJ30" i="3"/>
  <c r="AJ36" i="3"/>
  <c r="AJ38" i="3"/>
  <c r="AJ22" i="3"/>
  <c r="AJ6" i="3"/>
  <c r="AJ12" i="3"/>
  <c r="AJ11" i="3"/>
  <c r="AJ41" i="3"/>
  <c r="AJ40" i="3"/>
  <c r="AJ8" i="3"/>
  <c r="AJ39" i="3"/>
  <c r="AJ23" i="3"/>
  <c r="AJ7" i="3"/>
  <c r="AJ25" i="3"/>
  <c r="AJ27" i="3"/>
  <c r="AJ9" i="3"/>
  <c r="AJ26" i="3"/>
  <c r="AV2" i="5" l="1"/>
  <c r="AS4" i="5"/>
  <c r="AT4" i="5"/>
  <c r="AU2" i="5"/>
  <c r="AV3" i="5"/>
  <c r="AU3" i="5"/>
  <c r="AQ3" i="3"/>
  <c r="AR3" i="3"/>
  <c r="AQ2" i="3"/>
  <c r="AV4" i="5" l="1"/>
  <c r="AU4" i="5"/>
  <c r="AQ4" i="3"/>
  <c r="AV3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N3" i="3" l="1" a="1"/>
  <c r="AN3" i="3" s="1"/>
  <c r="AN4" i="3" a="1"/>
  <c r="AN4" i="3" s="1"/>
  <c r="AN5" i="3" a="1"/>
  <c r="AN5" i="3" s="1"/>
  <c r="AN6" i="3" a="1"/>
  <c r="AN6" i="3" s="1"/>
  <c r="AN7" i="3" a="1"/>
  <c r="AN7" i="3" s="1"/>
  <c r="AN8" i="3" a="1"/>
  <c r="AN8" i="3" s="1"/>
  <c r="AN9" i="3" a="1"/>
  <c r="AN9" i="3" s="1"/>
  <c r="AN10" i="3" a="1"/>
  <c r="AN10" i="3" s="1"/>
  <c r="AN11" i="3" a="1"/>
  <c r="AN11" i="3" s="1"/>
  <c r="AN12" i="3" a="1"/>
  <c r="AN12" i="3" s="1"/>
  <c r="AN13" i="3" a="1"/>
  <c r="AN13" i="3" s="1"/>
  <c r="AN14" i="3" a="1"/>
  <c r="AN14" i="3" s="1"/>
  <c r="AN15" i="3" a="1"/>
  <c r="AN15" i="3" s="1"/>
  <c r="AN16" i="3" a="1"/>
  <c r="AN16" i="3" s="1"/>
  <c r="AN17" i="3" a="1"/>
  <c r="AN17" i="3" s="1"/>
  <c r="AN18" i="3" a="1"/>
  <c r="AN18" i="3" s="1"/>
  <c r="AN19" i="3" a="1"/>
  <c r="AN19" i="3" s="1"/>
  <c r="AN20" i="3" a="1"/>
  <c r="AN20" i="3" s="1"/>
  <c r="AN21" i="3" a="1"/>
  <c r="AN21" i="3" s="1"/>
  <c r="AN22" i="3" a="1"/>
  <c r="AN22" i="3" s="1"/>
  <c r="AN23" i="3" a="1"/>
  <c r="AN23" i="3" s="1"/>
  <c r="AN24" i="3" a="1"/>
  <c r="AN24" i="3" s="1"/>
  <c r="AN25" i="3" a="1"/>
  <c r="AN25" i="3" s="1"/>
  <c r="AN26" i="3" a="1"/>
  <c r="AN26" i="3" s="1"/>
  <c r="AN27" i="3" a="1"/>
  <c r="AN27" i="3" s="1"/>
  <c r="AN28" i="3" a="1"/>
  <c r="AN28" i="3" s="1"/>
  <c r="AN29" i="3" a="1"/>
  <c r="AN29" i="3" s="1"/>
  <c r="AN30" i="3" a="1"/>
  <c r="AN30" i="3" s="1"/>
  <c r="AN31" i="3" a="1"/>
  <c r="AN31" i="3" s="1"/>
  <c r="AN32" i="3" a="1"/>
  <c r="AN32" i="3" s="1"/>
  <c r="AN33" i="3" a="1"/>
  <c r="AN33" i="3" s="1"/>
  <c r="AN34" i="3" a="1"/>
  <c r="AN34" i="3" s="1"/>
  <c r="AN35" i="3" a="1"/>
  <c r="AN35" i="3" s="1"/>
  <c r="AN36" i="3" a="1"/>
  <c r="AN36" i="3" s="1"/>
  <c r="AN37" i="3" a="1"/>
  <c r="AN37" i="3" s="1"/>
  <c r="AN38" i="3" a="1"/>
  <c r="AN38" i="3" s="1"/>
  <c r="AN39" i="3" a="1"/>
  <c r="AN39" i="3" s="1"/>
  <c r="AN40" i="3" a="1"/>
  <c r="AN40" i="3" s="1"/>
  <c r="AN41" i="3" a="1"/>
  <c r="AN41" i="3" s="1"/>
  <c r="V42" i="2"/>
  <c r="V43" i="2"/>
  <c r="V44" i="2"/>
  <c r="V45" i="2"/>
  <c r="V46" i="2"/>
  <c r="V47" i="2"/>
  <c r="U42" i="2"/>
  <c r="U43" i="2"/>
  <c r="U44" i="2"/>
  <c r="U45" i="2"/>
  <c r="U46" i="2"/>
  <c r="U47" i="2"/>
  <c r="T42" i="2"/>
  <c r="T43" i="2"/>
  <c r="T44" i="2"/>
  <c r="T45" i="2"/>
  <c r="T46" i="2"/>
  <c r="T47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R42" i="2"/>
  <c r="R43" i="2"/>
  <c r="R44" i="2"/>
  <c r="R45" i="2"/>
  <c r="R46" i="2"/>
  <c r="R47" i="2"/>
  <c r="Q42" i="2"/>
  <c r="Q43" i="2"/>
  <c r="Q44" i="2"/>
  <c r="Q45" i="2"/>
  <c r="Q46" i="2"/>
  <c r="Q47" i="2"/>
  <c r="P42" i="2"/>
  <c r="P43" i="2"/>
  <c r="P44" i="2"/>
  <c r="P45" i="2"/>
  <c r="P46" i="2"/>
  <c r="P47" i="2"/>
  <c r="O42" i="2"/>
  <c r="O43" i="2"/>
  <c r="O44" i="2"/>
  <c r="O45" i="2"/>
  <c r="O46" i="2"/>
  <c r="O47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R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2" i="2"/>
  <c r="Q2" i="2"/>
  <c r="K42" i="2"/>
  <c r="K43" i="2"/>
  <c r="K44" i="2"/>
  <c r="K45" i="2"/>
  <c r="K46" i="2"/>
  <c r="K47" i="2"/>
  <c r="J42" i="2"/>
  <c r="J43" i="2"/>
  <c r="J44" i="2"/>
  <c r="J45" i="2"/>
  <c r="J46" i="2"/>
  <c r="J4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2" i="2"/>
  <c r="I42" i="2"/>
  <c r="I43" i="2"/>
  <c r="I44" i="2"/>
  <c r="I45" i="2"/>
  <c r="I46" i="2"/>
  <c r="I4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" i="2"/>
  <c r="H42" i="2"/>
  <c r="H43" i="2"/>
  <c r="H44" i="2"/>
  <c r="H45" i="2"/>
  <c r="H46" i="2"/>
  <c r="H4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F42" i="2"/>
  <c r="F44" i="2"/>
  <c r="F45" i="2"/>
  <c r="F47" i="2"/>
  <c r="G42" i="2"/>
  <c r="G43" i="2"/>
  <c r="G44" i="2"/>
  <c r="G45" i="2"/>
  <c r="G46" i="2"/>
  <c r="G47" i="2"/>
  <c r="E42" i="2"/>
  <c r="E43" i="2"/>
  <c r="F43" i="2" s="1"/>
  <c r="E44" i="2"/>
  <c r="E45" i="2"/>
  <c r="E46" i="2"/>
  <c r="F46" i="2" s="1"/>
  <c r="E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E10" i="2"/>
  <c r="E11" i="2"/>
  <c r="F11" i="2" s="1"/>
  <c r="E12" i="2"/>
  <c r="F12" i="2" s="1"/>
  <c r="E13" i="2"/>
  <c r="F13" i="2" s="1"/>
  <c r="E14" i="2"/>
  <c r="F14" i="2" s="1"/>
  <c r="E15" i="2"/>
  <c r="F15" i="2" s="1"/>
  <c r="E16" i="2"/>
  <c r="E17" i="2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E2" i="2"/>
  <c r="F2" i="2" s="1"/>
  <c r="F9" i="2"/>
  <c r="F10" i="2"/>
  <c r="F16" i="2"/>
  <c r="F17" i="2"/>
  <c r="F33" i="2"/>
  <c r="F4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2" i="2"/>
  <c r="AL31" i="3" l="1"/>
  <c r="AL15" i="3"/>
  <c r="AL5" i="3"/>
  <c r="AL25" i="3"/>
  <c r="AL23" i="3"/>
  <c r="AL21" i="3"/>
  <c r="AL35" i="3"/>
  <c r="AL36" i="3"/>
  <c r="AL38" i="3"/>
  <c r="AL24" i="3"/>
  <c r="AL37" i="3"/>
  <c r="AL12" i="3"/>
  <c r="AL13" i="3"/>
  <c r="AL33" i="3"/>
  <c r="AL34" i="3"/>
  <c r="AL20" i="3"/>
  <c r="AL22" i="3"/>
  <c r="AL10" i="3"/>
  <c r="AL41" i="3"/>
  <c r="AL7" i="3"/>
  <c r="AL11" i="3"/>
  <c r="AL3" i="3"/>
  <c r="AL16" i="3"/>
  <c r="AM21" i="3" l="1"/>
  <c r="AM25" i="3"/>
  <c r="AM41" i="3"/>
  <c r="AM33" i="3"/>
  <c r="AM5" i="3"/>
  <c r="AM22" i="3"/>
  <c r="AM23" i="3"/>
  <c r="AM7" i="3"/>
  <c r="AM31" i="3"/>
  <c r="AM12" i="3"/>
  <c r="AM11" i="3"/>
  <c r="AM34" i="3"/>
  <c r="AM37" i="3"/>
  <c r="AM15" i="3"/>
  <c r="AM20" i="3"/>
  <c r="AM36" i="3"/>
  <c r="AM35" i="3"/>
  <c r="AM13" i="3"/>
  <c r="AM3" i="3"/>
  <c r="AM38" i="3"/>
  <c r="AM24" i="3"/>
  <c r="AM16" i="3"/>
  <c r="AM10" i="3"/>
  <c r="AL29" i="3"/>
  <c r="AL28" i="3"/>
  <c r="AL32" i="3"/>
  <c r="AL9" i="3"/>
  <c r="AL8" i="3"/>
  <c r="AL26" i="3"/>
  <c r="AL17" i="3"/>
  <c r="AL4" i="3"/>
  <c r="AL30" i="3"/>
  <c r="AL14" i="3"/>
  <c r="AL40" i="3"/>
  <c r="AL6" i="3"/>
  <c r="AL18" i="3"/>
  <c r="AL39" i="3"/>
  <c r="AL19" i="3"/>
  <c r="AL27" i="3"/>
  <c r="AM14" i="3" l="1"/>
  <c r="AM30" i="3"/>
  <c r="AM18" i="3"/>
  <c r="AM40" i="3"/>
  <c r="AM8" i="3"/>
  <c r="AM6" i="3"/>
  <c r="AM28" i="3"/>
  <c r="AM17" i="3"/>
  <c r="AM27" i="3"/>
  <c r="AM9" i="3"/>
  <c r="AM26" i="3"/>
  <c r="AM39" i="3"/>
  <c r="AM4" i="3"/>
  <c r="AM19" i="3"/>
  <c r="AM32" i="3"/>
  <c r="AM29" i="3"/>
  <c r="AR2" i="3"/>
  <c r="AR4" i="3" s="1"/>
  <c r="AT3" i="3" l="1"/>
  <c r="AT2" i="3"/>
  <c r="AS2" i="3"/>
  <c r="AS3" i="3"/>
  <c r="AT4" i="3" l="1"/>
  <c r="AS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<sst xmlns="http://schemas.openxmlformats.org/spreadsheetml/2006/main" count="2269" uniqueCount="218">
  <si>
    <t>site</t>
  </si>
  <si>
    <t>plot</t>
  </si>
  <si>
    <t>treatment</t>
  </si>
  <si>
    <t>site.plot</t>
  </si>
  <si>
    <t>time.d_mean</t>
  </si>
  <si>
    <t>SRP.mgl_mean</t>
  </si>
  <si>
    <t>DO.mgl_mean</t>
  </si>
  <si>
    <t>temp.C_mean</t>
  </si>
  <si>
    <t>pH_mean</t>
  </si>
  <si>
    <t>ORP.mV_mean</t>
  </si>
  <si>
    <t>SC.uScm_mean</t>
  </si>
  <si>
    <t>time.d_sd</t>
  </si>
  <si>
    <t>SRP.mgl_sd</t>
  </si>
  <si>
    <t>DO.mgl_sd</t>
  </si>
  <si>
    <t>temp.C_sd</t>
  </si>
  <si>
    <t>pH_sd</t>
  </si>
  <si>
    <t>ORP.mV_sd</t>
  </si>
  <si>
    <t>SC.uScm_sd</t>
  </si>
  <si>
    <t>initSRP.mgl</t>
  </si>
  <si>
    <t>days</t>
  </si>
  <si>
    <t>SRPflux_mean</t>
  </si>
  <si>
    <t>SRPflux_sd_hi</t>
  </si>
  <si>
    <t>SRPflux_sd_lo</t>
  </si>
  <si>
    <t>prior</t>
  </si>
  <si>
    <t>YSF</t>
  </si>
  <si>
    <t>frac_farmed</t>
  </si>
  <si>
    <t>farm_group</t>
  </si>
  <si>
    <t>CVH</t>
  </si>
  <si>
    <t>F</t>
  </si>
  <si>
    <t>N2</t>
  </si>
  <si>
    <t>CVH.F</t>
  </si>
  <si>
    <t>NA</t>
  </si>
  <si>
    <t>hay/pasture</t>
  </si>
  <si>
    <t>&gt;75%</t>
  </si>
  <si>
    <t>O2</t>
  </si>
  <si>
    <t>DM</t>
  </si>
  <si>
    <t>DM.2</t>
  </si>
  <si>
    <t>row crop</t>
  </si>
  <si>
    <t>DM.F</t>
  </si>
  <si>
    <t>&gt;25% &amp; &lt;75%</t>
  </si>
  <si>
    <t>Goo</t>
  </si>
  <si>
    <t>A</t>
  </si>
  <si>
    <t>Goo.A</t>
  </si>
  <si>
    <t>Goo.F</t>
  </si>
  <si>
    <t>Ke</t>
  </si>
  <si>
    <t>KE.1</t>
  </si>
  <si>
    <t>&lt;25%</t>
  </si>
  <si>
    <t>LC</t>
  </si>
  <si>
    <t>LC.0</t>
  </si>
  <si>
    <t>LC.2</t>
  </si>
  <si>
    <t>LC.4</t>
  </si>
  <si>
    <t>MC</t>
  </si>
  <si>
    <t>MC.2</t>
  </si>
  <si>
    <t>OCD</t>
  </si>
  <si>
    <t>OCD.0</t>
  </si>
  <si>
    <t>uncertain
(unfarmed since 1995)</t>
  </si>
  <si>
    <t>OCD.2</t>
  </si>
  <si>
    <t>OCD.4</t>
  </si>
  <si>
    <t>AS</t>
  </si>
  <si>
    <t>OCD.AS</t>
  </si>
  <si>
    <t>FN</t>
  </si>
  <si>
    <t>OCD.FN</t>
  </si>
  <si>
    <t>OCSP</t>
  </si>
  <si>
    <t>OCSP.0</t>
  </si>
  <si>
    <t>OCSP.2</t>
  </si>
  <si>
    <t>OCSP.4</t>
  </si>
  <si>
    <t>QuH</t>
  </si>
  <si>
    <t>QU2.2</t>
  </si>
  <si>
    <t>Sa</t>
  </si>
  <si>
    <t>SE3.3</t>
  </si>
  <si>
    <t>k_TW</t>
  </si>
  <si>
    <t>k_TP</t>
  </si>
  <si>
    <t>count_n_mean</t>
  </si>
  <si>
    <t>count_y_mean</t>
  </si>
  <si>
    <t>count_c_mean</t>
  </si>
  <si>
    <t>count_h_mean</t>
  </si>
  <si>
    <t>count_obs_mean</t>
  </si>
  <si>
    <t>last_yr_y_mean</t>
  </si>
  <si>
    <t>first_yr_n_mean</t>
  </si>
  <si>
    <t>last_yr_farmed_mean</t>
  </si>
  <si>
    <t>smpl.yr_mean</t>
  </si>
  <si>
    <t>BD_mean</t>
  </si>
  <si>
    <t>MC60_mean</t>
  </si>
  <si>
    <t>WEPw_mean</t>
  </si>
  <si>
    <t>TP.ign_mean</t>
  </si>
  <si>
    <t>HCl.Pi_mean</t>
  </si>
  <si>
    <t>HCl.Po_mean</t>
  </si>
  <si>
    <t>LOI_mean</t>
  </si>
  <si>
    <t>Ox.P_mean</t>
  </si>
  <si>
    <t>Ox.Al_mean</t>
  </si>
  <si>
    <t>Ox.Fe_mean</t>
  </si>
  <si>
    <t>Ox.Mn_mean</t>
  </si>
  <si>
    <t>Ox.PSR_mean</t>
  </si>
  <si>
    <t>Ox.SPSC_mean</t>
  </si>
  <si>
    <t>sand_mean</t>
  </si>
  <si>
    <t>silt_mean</t>
  </si>
  <si>
    <t>clay_mean</t>
  </si>
  <si>
    <t>fines_mean</t>
  </si>
  <si>
    <t>Ox.PSC_mean</t>
  </si>
  <si>
    <t>Ox.DPS_mean</t>
  </si>
  <si>
    <t>Ox.P2Fe_mean</t>
  </si>
  <si>
    <t>WFPS_mean</t>
  </si>
  <si>
    <t>Ox.P2Al_mean</t>
  </si>
  <si>
    <t>Ox.Al2Fe_mean</t>
  </si>
  <si>
    <t>HCl.PSR_mean</t>
  </si>
  <si>
    <t>MM.P_mean</t>
  </si>
  <si>
    <t>MM.P.ICP_mean</t>
  </si>
  <si>
    <t>MM.K_mean</t>
  </si>
  <si>
    <t>MM.Mg_mean</t>
  </si>
  <si>
    <t>MM.Ca_mean</t>
  </si>
  <si>
    <t>MM.Al_mean</t>
  </si>
  <si>
    <t>MM.B_mean</t>
  </si>
  <si>
    <t>MM.Cu_mean</t>
  </si>
  <si>
    <t>MM.Fe_mean</t>
  </si>
  <si>
    <t>MM.Mn_mean</t>
  </si>
  <si>
    <t>MM.Na_mean</t>
  </si>
  <si>
    <t>MM.S_mean</t>
  </si>
  <si>
    <t>MM.Zn_mean</t>
  </si>
  <si>
    <t>IP2TP_mean</t>
  </si>
  <si>
    <t>count_n_sd</t>
  </si>
  <si>
    <t>count_y_sd</t>
  </si>
  <si>
    <t>count_c_sd</t>
  </si>
  <si>
    <t>count_h_sd</t>
  </si>
  <si>
    <t>count_obs_sd</t>
  </si>
  <si>
    <t>last_yr_y_sd</t>
  </si>
  <si>
    <t>first_yr_n_sd</t>
  </si>
  <si>
    <t>last_yr_farmed_sd</t>
  </si>
  <si>
    <t>smpl.yr_sd</t>
  </si>
  <si>
    <t>BD_sd</t>
  </si>
  <si>
    <t>MC60_sd</t>
  </si>
  <si>
    <t>WEPw_sd</t>
  </si>
  <si>
    <t>TP.ign_sd</t>
  </si>
  <si>
    <t>HCl.Pi_sd</t>
  </si>
  <si>
    <t>HCl.Po_sd</t>
  </si>
  <si>
    <t>LOI_sd</t>
  </si>
  <si>
    <t>Ox.P_sd</t>
  </si>
  <si>
    <t>Ox.Al_sd</t>
  </si>
  <si>
    <t>Ox.Fe_sd</t>
  </si>
  <si>
    <t>Ox.Mn_sd</t>
  </si>
  <si>
    <t>Ox.PSR_sd</t>
  </si>
  <si>
    <t>Ox.SPSC_sd</t>
  </si>
  <si>
    <t>sand_sd</t>
  </si>
  <si>
    <t>silt_sd</t>
  </si>
  <si>
    <t>clay_sd</t>
  </si>
  <si>
    <t>fines_sd</t>
  </si>
  <si>
    <t>Ox.PSC_sd</t>
  </si>
  <si>
    <t>Ox.DPS_sd</t>
  </si>
  <si>
    <t>Ox.P2Fe_sd</t>
  </si>
  <si>
    <t>WFPS_sd</t>
  </si>
  <si>
    <t>Ox.P2Al_sd</t>
  </si>
  <si>
    <t>Ox.Al2Fe_sd</t>
  </si>
  <si>
    <t>HCl.PSR_sd</t>
  </si>
  <si>
    <t>MM.P_sd</t>
  </si>
  <si>
    <t>MM.P.ICP_sd</t>
  </si>
  <si>
    <t>MM.K_sd</t>
  </si>
  <si>
    <t>MM.Mg_sd</t>
  </si>
  <si>
    <t>MM.Ca_sd</t>
  </si>
  <si>
    <t>MM.Al_sd</t>
  </si>
  <si>
    <t>MM.B_sd</t>
  </si>
  <si>
    <t>MM.Cu_sd</t>
  </si>
  <si>
    <t>MM.Fe_sd</t>
  </si>
  <si>
    <t>MM.Mn_sd</t>
  </si>
  <si>
    <t>MM.Na_sd</t>
  </si>
  <si>
    <t>MM.S_sd</t>
  </si>
  <si>
    <t>MM.Zn_sd</t>
  </si>
  <si>
    <t>IP2TP_sd</t>
  </si>
  <si>
    <t>k_LOI</t>
  </si>
  <si>
    <t>k_clay</t>
  </si>
  <si>
    <t>k_f_SRP</t>
  </si>
  <si>
    <t>k_TSS</t>
  </si>
  <si>
    <t>k_Ex_max</t>
  </si>
  <si>
    <t>test_t_yrs</t>
  </si>
  <si>
    <t>test_t_days</t>
  </si>
  <si>
    <t>test_SRP_mgl_mean</t>
  </si>
  <si>
    <t>k_f_fines</t>
  </si>
  <si>
    <t>k_LOI_sd</t>
  </si>
  <si>
    <t>k_Ex_max_sd</t>
  </si>
  <si>
    <t>k_PSR</t>
  </si>
  <si>
    <t>k_PSR_sd</t>
  </si>
  <si>
    <t>k_shootM</t>
  </si>
  <si>
    <t>k_rootM</t>
  </si>
  <si>
    <t>test_SRP_mgl_sd</t>
  </si>
  <si>
    <t>k_WEP_gm2</t>
  </si>
  <si>
    <t>DIP_E</t>
  </si>
  <si>
    <t>k_E</t>
  </si>
  <si>
    <t>k_PIP2Ex</t>
  </si>
  <si>
    <t>SUM</t>
  </si>
  <si>
    <t>N2_SRP</t>
  </si>
  <si>
    <t>N2_DIP_E</t>
  </si>
  <si>
    <t>sqresid</t>
  </si>
  <si>
    <t>absresid</t>
  </si>
  <si>
    <t>sqres_cost</t>
  </si>
  <si>
    <t>absres_cost</t>
  </si>
  <si>
    <t>sae</t>
  </si>
  <si>
    <t>sse</t>
  </si>
  <si>
    <t>sac</t>
  </si>
  <si>
    <t>ssc</t>
  </si>
  <si>
    <t>k_Ex_max_modeled</t>
  </si>
  <si>
    <t>b</t>
  </si>
  <si>
    <t>k_psr_thresh</t>
  </si>
  <si>
    <t>slop</t>
  </si>
  <si>
    <t>int</t>
  </si>
  <si>
    <t>res</t>
  </si>
  <si>
    <t>DIP_E_measured_Ex_Max</t>
  </si>
  <si>
    <t>DIP_E_modeled_Ex_Max</t>
  </si>
  <si>
    <t>res_measured_Ex_max</t>
  </si>
  <si>
    <t>res_modeled_exmax</t>
  </si>
  <si>
    <t>k_E_opt2</t>
  </si>
  <si>
    <t>k_E_opt_modeled</t>
  </si>
  <si>
    <t>k_E_opt_measured</t>
  </si>
  <si>
    <t>k_DIP_E</t>
  </si>
  <si>
    <t>k_E_opt3</t>
  </si>
  <si>
    <t>B</t>
  </si>
  <si>
    <t>Treatment</t>
  </si>
  <si>
    <t>SSE</t>
  </si>
  <si>
    <t>SAE</t>
  </si>
  <si>
    <t>lnSAE</t>
  </si>
  <si>
    <t>k_E_opt22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</si>
</sst>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sz val="8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6"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0.0000"/>
    </dxf>
    <dxf>
      <numFmt numFmtId="164" formatCode="0.0000"/>
    </dxf>
    <dxf>
      <numFmt numFmtId="15" formatCode="0.00E+00"/>
    </dxf>
    <dxf>
      <numFmt numFmtId="0" formatCode="General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0.0000"/>
    </dxf>
    <dxf>
      <numFmt numFmtId="164" formatCode="0.00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443569553802E-2"/>
          <c:y val="4.9818840579710144E-2"/>
          <c:w val="0.85848600174978129"/>
          <c:h val="0.84511654113887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parameters_calib_power!$AD$1</c:f>
              <c:strCache>
                <c:ptCount val="1"/>
                <c:pt idx="0">
                  <c:v>k_E_opt3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7978368328958885"/>
                  <c:y val="0.28331369996073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ova" panose="020B05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parameters_calib_power!$AC$2:$AC$41</c:f>
              <c:numCache>
                <c:formatCode>General</c:formatCode>
                <c:ptCount val="20"/>
                <c:pt idx="0">
                  <c:v>4.0916550289658176</c:v>
                </c:pt>
                <c:pt idx="1">
                  <c:v>2.8806854736708898</c:v>
                </c:pt>
                <c:pt idx="2">
                  <c:v>21.312278665761152</c:v>
                </c:pt>
                <c:pt idx="3">
                  <c:v>15.520186763353021</c:v>
                </c:pt>
                <c:pt idx="4">
                  <c:v>77.658425114664624</c:v>
                </c:pt>
                <c:pt idx="5">
                  <c:v>11.880258693471061</c:v>
                </c:pt>
                <c:pt idx="6">
                  <c:v>23.947401555166476</c:v>
                </c:pt>
                <c:pt idx="7">
                  <c:v>43.706493936003433</c:v>
                </c:pt>
                <c:pt idx="8">
                  <c:v>51.143300368231131</c:v>
                </c:pt>
                <c:pt idx="9">
                  <c:v>30.53775794530652</c:v>
                </c:pt>
                <c:pt idx="10">
                  <c:v>35.280813083307251</c:v>
                </c:pt>
                <c:pt idx="11">
                  <c:v>37.602028467317176</c:v>
                </c:pt>
                <c:pt idx="12">
                  <c:v>48.859786397486005</c:v>
                </c:pt>
                <c:pt idx="13">
                  <c:v>19.352789572507444</c:v>
                </c:pt>
                <c:pt idx="14">
                  <c:v>12.341815901927584</c:v>
                </c:pt>
                <c:pt idx="15">
                  <c:v>17.009238611709822</c:v>
                </c:pt>
                <c:pt idx="16">
                  <c:v>17.889450454690738</c:v>
                </c:pt>
                <c:pt idx="17">
                  <c:v>24.503861193906591</c:v>
                </c:pt>
                <c:pt idx="18">
                  <c:v>19.47658875703528</c:v>
                </c:pt>
                <c:pt idx="19">
                  <c:v>23.636414327156476</c:v>
                </c:pt>
              </c:numCache>
            </c:numRef>
          </c:xVal>
          <c:yVal>
            <c:numRef>
              <c:f>parameters_calib_power!$G$2:$G$41</c:f>
              <c:numCache>
                <c:formatCode>General</c:formatCode>
                <c:ptCount val="20"/>
                <c:pt idx="0">
                  <c:v>1.7717274999999999</c:v>
                </c:pt>
                <c:pt idx="1">
                  <c:v>0.68082666666666602</c:v>
                </c:pt>
                <c:pt idx="2">
                  <c:v>8.0335199999999996E-2</c:v>
                </c:pt>
                <c:pt idx="3">
                  <c:v>1.722637</c:v>
                </c:pt>
                <c:pt idx="4">
                  <c:v>0.1351415</c:v>
                </c:pt>
                <c:pt idx="5">
                  <c:v>0.192915</c:v>
                </c:pt>
                <c:pt idx="6">
                  <c:v>0.29113711111111101</c:v>
                </c:pt>
                <c:pt idx="7">
                  <c:v>0.21734500000000001</c:v>
                </c:pt>
                <c:pt idx="8">
                  <c:v>0.26560011111111098</c:v>
                </c:pt>
                <c:pt idx="9">
                  <c:v>5.4716333333333297E-2</c:v>
                </c:pt>
                <c:pt idx="10">
                  <c:v>5.4714833333333303E-2</c:v>
                </c:pt>
                <c:pt idx="11">
                  <c:v>6.5570000000000003E-2</c:v>
                </c:pt>
                <c:pt idx="12">
                  <c:v>6.0130666666666603E-2</c:v>
                </c:pt>
                <c:pt idx="13">
                  <c:v>0.42969616666666599</c:v>
                </c:pt>
                <c:pt idx="14">
                  <c:v>0.71520966666666597</c:v>
                </c:pt>
                <c:pt idx="15">
                  <c:v>0.22923774999999999</c:v>
                </c:pt>
                <c:pt idx="16">
                  <c:v>0.40854600000000002</c:v>
                </c:pt>
                <c:pt idx="17">
                  <c:v>0.14547490909090899</c:v>
                </c:pt>
                <c:pt idx="18">
                  <c:v>0.89026836356883798</c:v>
                </c:pt>
                <c:pt idx="19">
                  <c:v>0.11901766666666599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5-4BC4-8156-A327F93CB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927"/>
        <c:axId val="287843343"/>
      </c:scatterChart>
      <c:valAx>
        <c:axId val="2878429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3343"/>
        <c:crosses val="autoZero"/>
        <c:crossBetween val="midCat"/>
      </c:valAx>
      <c:valAx>
        <c:axId val="287843343"/>
        <c:scaling>
          <c:logBase val="10"/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927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01443569553802E-2"/>
          <c:y val="4.9818840579710144E-2"/>
          <c:w val="0.85848600174978129"/>
          <c:h val="0.84511654113887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parameters_calib_power!$AD$1</c:f>
              <c:strCache>
                <c:ptCount val="1"/>
                <c:pt idx="0">
                  <c:v>k_E_opt3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parameters_calib_power!$AC$2:$AC$41</c:f>
              <c:numCache>
                <c:formatCode>General</c:formatCode>
                <c:ptCount val="20"/>
                <c:pt idx="0">
                  <c:v>4.0916550289658176</c:v>
                </c:pt>
                <c:pt idx="1">
                  <c:v>2.8806854736708898</c:v>
                </c:pt>
                <c:pt idx="2">
                  <c:v>21.312278665761152</c:v>
                </c:pt>
                <c:pt idx="3">
                  <c:v>15.520186763353021</c:v>
                </c:pt>
                <c:pt idx="4">
                  <c:v>77.658425114664624</c:v>
                </c:pt>
                <c:pt idx="5">
                  <c:v>11.880258693471061</c:v>
                </c:pt>
                <c:pt idx="6">
                  <c:v>23.947401555166476</c:v>
                </c:pt>
                <c:pt idx="7">
                  <c:v>43.706493936003433</c:v>
                </c:pt>
                <c:pt idx="8">
                  <c:v>51.143300368231131</c:v>
                </c:pt>
                <c:pt idx="9">
                  <c:v>30.53775794530652</c:v>
                </c:pt>
                <c:pt idx="10">
                  <c:v>35.280813083307251</c:v>
                </c:pt>
                <c:pt idx="11">
                  <c:v>37.602028467317176</c:v>
                </c:pt>
                <c:pt idx="12">
                  <c:v>48.859786397486005</c:v>
                </c:pt>
                <c:pt idx="13">
                  <c:v>19.352789572507444</c:v>
                </c:pt>
                <c:pt idx="14">
                  <c:v>12.341815901927584</c:v>
                </c:pt>
                <c:pt idx="15">
                  <c:v>17.009238611709822</c:v>
                </c:pt>
                <c:pt idx="16">
                  <c:v>17.889450454690738</c:v>
                </c:pt>
                <c:pt idx="17">
                  <c:v>24.503861193906591</c:v>
                </c:pt>
                <c:pt idx="18">
                  <c:v>19.47658875703528</c:v>
                </c:pt>
                <c:pt idx="19">
                  <c:v>23.636414327156476</c:v>
                </c:pt>
              </c:numCache>
            </c:numRef>
          </c:xVal>
          <c:yVal>
            <c:numRef>
              <c:f>parameters_calib_power!$G$2:$G$41</c:f>
              <c:numCache>
                <c:formatCode>General</c:formatCode>
                <c:ptCount val="20"/>
                <c:pt idx="0">
                  <c:v>1.7717274999999999</c:v>
                </c:pt>
                <c:pt idx="1">
                  <c:v>0.68082666666666602</c:v>
                </c:pt>
                <c:pt idx="2">
                  <c:v>8.0335199999999996E-2</c:v>
                </c:pt>
                <c:pt idx="3">
                  <c:v>1.722637</c:v>
                </c:pt>
                <c:pt idx="4">
                  <c:v>0.1351415</c:v>
                </c:pt>
                <c:pt idx="5">
                  <c:v>0.192915</c:v>
                </c:pt>
                <c:pt idx="6">
                  <c:v>0.29113711111111101</c:v>
                </c:pt>
                <c:pt idx="7">
                  <c:v>0.21734500000000001</c:v>
                </c:pt>
                <c:pt idx="8">
                  <c:v>0.26560011111111098</c:v>
                </c:pt>
                <c:pt idx="9">
                  <c:v>5.4716333333333297E-2</c:v>
                </c:pt>
                <c:pt idx="10">
                  <c:v>5.4714833333333303E-2</c:v>
                </c:pt>
                <c:pt idx="11">
                  <c:v>6.5570000000000003E-2</c:v>
                </c:pt>
                <c:pt idx="12">
                  <c:v>6.0130666666666603E-2</c:v>
                </c:pt>
                <c:pt idx="13">
                  <c:v>0.42969616666666599</c:v>
                </c:pt>
                <c:pt idx="14">
                  <c:v>0.71520966666666597</c:v>
                </c:pt>
                <c:pt idx="15">
                  <c:v>0.22923774999999999</c:v>
                </c:pt>
                <c:pt idx="16">
                  <c:v>0.40854600000000002</c:v>
                </c:pt>
                <c:pt idx="17">
                  <c:v>0.14547490909090899</c:v>
                </c:pt>
                <c:pt idx="18">
                  <c:v>0.89026836356883798</c:v>
                </c:pt>
                <c:pt idx="19">
                  <c:v>0.11901766666666599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5-4BC4-8156-A327F93CB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927"/>
        <c:axId val="287843343"/>
      </c:scatterChart>
      <c:valAx>
        <c:axId val="2878429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3343"/>
        <c:crosses val="autoZero"/>
        <c:crossBetween val="midCat"/>
      </c:valAx>
      <c:valAx>
        <c:axId val="287843343"/>
        <c:scaling>
          <c:logBase val="10"/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927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26771653543302E-2"/>
          <c:y val="6.8337343248760576E-2"/>
          <c:w val="0.85848600174978129"/>
          <c:h val="0.84511654113887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parameters_calib_power!$AD$1</c:f>
              <c:strCache>
                <c:ptCount val="1"/>
                <c:pt idx="0">
                  <c:v>k_E_opt3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parameters_calib_power!$AC$2:$AC$41</c:f>
              <c:numCache>
                <c:formatCode>General</c:formatCode>
                <c:ptCount val="20"/>
                <c:pt idx="0">
                  <c:v>4.0916550289658176</c:v>
                </c:pt>
                <c:pt idx="1">
                  <c:v>2.8806854736708898</c:v>
                </c:pt>
                <c:pt idx="2">
                  <c:v>21.312278665761152</c:v>
                </c:pt>
                <c:pt idx="3">
                  <c:v>15.520186763353021</c:v>
                </c:pt>
                <c:pt idx="4">
                  <c:v>77.658425114664624</c:v>
                </c:pt>
                <c:pt idx="5">
                  <c:v>11.880258693471061</c:v>
                </c:pt>
                <c:pt idx="6">
                  <c:v>23.947401555166476</c:v>
                </c:pt>
                <c:pt idx="7">
                  <c:v>43.706493936003433</c:v>
                </c:pt>
                <c:pt idx="8">
                  <c:v>51.143300368231131</c:v>
                </c:pt>
                <c:pt idx="9">
                  <c:v>30.53775794530652</c:v>
                </c:pt>
                <c:pt idx="10">
                  <c:v>35.280813083307251</c:v>
                </c:pt>
                <c:pt idx="11">
                  <c:v>37.602028467317176</c:v>
                </c:pt>
                <c:pt idx="12">
                  <c:v>48.859786397486005</c:v>
                </c:pt>
                <c:pt idx="13">
                  <c:v>19.352789572507444</c:v>
                </c:pt>
                <c:pt idx="14">
                  <c:v>12.341815901927584</c:v>
                </c:pt>
                <c:pt idx="15">
                  <c:v>17.009238611709822</c:v>
                </c:pt>
                <c:pt idx="16">
                  <c:v>17.889450454690738</c:v>
                </c:pt>
                <c:pt idx="17">
                  <c:v>24.503861193906591</c:v>
                </c:pt>
                <c:pt idx="18">
                  <c:v>19.47658875703528</c:v>
                </c:pt>
                <c:pt idx="19">
                  <c:v>23.636414327156476</c:v>
                </c:pt>
              </c:numCache>
            </c:numRef>
          </c:xVal>
          <c:yVal>
            <c:numRef>
              <c:f>parameters_calib_power!$G$2:$G$41</c:f>
              <c:numCache>
                <c:formatCode>General</c:formatCode>
                <c:ptCount val="20"/>
                <c:pt idx="0">
                  <c:v>1.7717274999999999</c:v>
                </c:pt>
                <c:pt idx="1">
                  <c:v>0.68082666666666602</c:v>
                </c:pt>
                <c:pt idx="2">
                  <c:v>8.0335199999999996E-2</c:v>
                </c:pt>
                <c:pt idx="3">
                  <c:v>1.722637</c:v>
                </c:pt>
                <c:pt idx="4">
                  <c:v>0.1351415</c:v>
                </c:pt>
                <c:pt idx="5">
                  <c:v>0.192915</c:v>
                </c:pt>
                <c:pt idx="6">
                  <c:v>0.29113711111111101</c:v>
                </c:pt>
                <c:pt idx="7">
                  <c:v>0.21734500000000001</c:v>
                </c:pt>
                <c:pt idx="8">
                  <c:v>0.26560011111111098</c:v>
                </c:pt>
                <c:pt idx="9">
                  <c:v>5.4716333333333297E-2</c:v>
                </c:pt>
                <c:pt idx="10">
                  <c:v>5.4714833333333303E-2</c:v>
                </c:pt>
                <c:pt idx="11">
                  <c:v>6.5570000000000003E-2</c:v>
                </c:pt>
                <c:pt idx="12">
                  <c:v>6.0130666666666603E-2</c:v>
                </c:pt>
                <c:pt idx="13">
                  <c:v>0.42969616666666599</c:v>
                </c:pt>
                <c:pt idx="14">
                  <c:v>0.71520966666666597</c:v>
                </c:pt>
                <c:pt idx="15">
                  <c:v>0.22923774999999999</c:v>
                </c:pt>
                <c:pt idx="16">
                  <c:v>0.40854600000000002</c:v>
                </c:pt>
                <c:pt idx="17">
                  <c:v>0.14547490909090899</c:v>
                </c:pt>
                <c:pt idx="18">
                  <c:v>0.89026836356883798</c:v>
                </c:pt>
                <c:pt idx="19">
                  <c:v>0.11901766666666599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5-4BC4-8156-A327F93CB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927"/>
        <c:axId val="287843343"/>
      </c:scatterChart>
      <c:valAx>
        <c:axId val="2878429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3343"/>
        <c:crosses val="autoZero"/>
        <c:crossBetween val="midCat"/>
      </c:valAx>
      <c:valAx>
        <c:axId val="287843343"/>
        <c:scaling>
          <c:logBase val="10"/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927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parameters_calib!$AD$1</c:f>
              <c:strCache>
                <c:ptCount val="1"/>
                <c:pt idx="0">
                  <c:v>DIP_E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xVal>
          <c:y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71-48D7-817B-308DDC75ACB1}"/>
            </c:ext>
          </c:extLst>
        </c:ser>
        <c:ser>
          <c:idx val="3"/>
          <c:order val="1"/>
          <c:tx>
            <c:strRef>
              <c:f>parameters_calib!$AE$1</c:f>
              <c:strCache>
                <c:ptCount val="1"/>
                <c:pt idx="0">
                  <c:v>DIP_E_measured_Ex_Max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xVal>
          <c:yVal>
            <c:numRef>
              <c:f>parameters_calib!$AE$2:$AE$41</c:f>
              <c:numCache>
                <c:formatCode>0.0000</c:formatCode>
                <c:ptCount val="40"/>
                <c:pt idx="0">
                  <c:v>1.0469446323238671</c:v>
                </c:pt>
                <c:pt idx="1">
                  <c:v>0</c:v>
                </c:pt>
                <c:pt idx="2">
                  <c:v>1.4347682568300948</c:v>
                </c:pt>
                <c:pt idx="3">
                  <c:v>0</c:v>
                </c:pt>
                <c:pt idx="4">
                  <c:v>0.23784793687480346</c:v>
                </c:pt>
                <c:pt idx="5">
                  <c:v>0</c:v>
                </c:pt>
                <c:pt idx="6">
                  <c:v>0.31621580395202109</c:v>
                </c:pt>
                <c:pt idx="7">
                  <c:v>0</c:v>
                </c:pt>
                <c:pt idx="8">
                  <c:v>7.4476572629148446E-2</c:v>
                </c:pt>
                <c:pt idx="9">
                  <c:v>0</c:v>
                </c:pt>
                <c:pt idx="10">
                  <c:v>0.40199011176884347</c:v>
                </c:pt>
                <c:pt idx="11">
                  <c:v>0</c:v>
                </c:pt>
                <c:pt idx="12">
                  <c:v>0.21420765466669872</c:v>
                </c:pt>
                <c:pt idx="13">
                  <c:v>0</c:v>
                </c:pt>
                <c:pt idx="14">
                  <c:v>0.12479544837414119</c:v>
                </c:pt>
                <c:pt idx="15">
                  <c:v>0</c:v>
                </c:pt>
                <c:pt idx="16">
                  <c:v>0.10837191020988825</c:v>
                </c:pt>
                <c:pt idx="17">
                  <c:v>0</c:v>
                </c:pt>
                <c:pt idx="18">
                  <c:v>0.17219687556125574</c:v>
                </c:pt>
                <c:pt idx="19">
                  <c:v>0</c:v>
                </c:pt>
                <c:pt idx="20">
                  <c:v>0.15125835630979714</c:v>
                </c:pt>
                <c:pt idx="21">
                  <c:v>-4.0667004351889177E-2</c:v>
                </c:pt>
                <c:pt idx="22">
                  <c:v>0.14284640085369429</c:v>
                </c:pt>
                <c:pt idx="23">
                  <c:v>0</c:v>
                </c:pt>
                <c:pt idx="24">
                  <c:v>0.11290950978838418</c:v>
                </c:pt>
                <c:pt idx="25">
                  <c:v>0</c:v>
                </c:pt>
                <c:pt idx="26">
                  <c:v>0.25936615061106649</c:v>
                </c:pt>
                <c:pt idx="27">
                  <c:v>0</c:v>
                </c:pt>
                <c:pt idx="28">
                  <c:v>0.38846386509133574</c:v>
                </c:pt>
                <c:pt idx="29">
                  <c:v>0</c:v>
                </c:pt>
                <c:pt idx="30">
                  <c:v>0.29124200340526168</c:v>
                </c:pt>
                <c:pt idx="31">
                  <c:v>0</c:v>
                </c:pt>
                <c:pt idx="32">
                  <c:v>0.27834083170981699</c:v>
                </c:pt>
                <c:pt idx="33">
                  <c:v>0</c:v>
                </c:pt>
                <c:pt idx="34">
                  <c:v>0.20983427277258584</c:v>
                </c:pt>
                <c:pt idx="35">
                  <c:v>0</c:v>
                </c:pt>
                <c:pt idx="36">
                  <c:v>0.25788521691225574</c:v>
                </c:pt>
                <c:pt idx="37">
                  <c:v>0</c:v>
                </c:pt>
                <c:pt idx="38">
                  <c:v>0.21673684880406588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071-48D7-817B-308DDC75ACB1}"/>
            </c:ext>
          </c:extLst>
        </c:ser>
        <c:ser>
          <c:idx val="0"/>
          <c:order val="2"/>
          <c:tx>
            <c:strRef>
              <c:f>parameters_calib!$AD$1</c:f>
              <c:strCache>
                <c:ptCount val="1"/>
                <c:pt idx="0">
                  <c:v>DIP_E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parameters_calib!$AN$2:$AN$41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0</c:v>
                </c:pt>
                <c:pt idx="2">
                  <c:v>0.68082666666666602</c:v>
                </c:pt>
                <c:pt idx="3">
                  <c:v>0</c:v>
                </c:pt>
                <c:pt idx="4">
                  <c:v>8.0335199999999996E-2</c:v>
                </c:pt>
                <c:pt idx="5">
                  <c:v>0</c:v>
                </c:pt>
                <c:pt idx="6">
                  <c:v>1.722637</c:v>
                </c:pt>
                <c:pt idx="7">
                  <c:v>0</c:v>
                </c:pt>
                <c:pt idx="8">
                  <c:v>0.1351415</c:v>
                </c:pt>
                <c:pt idx="9">
                  <c:v>0</c:v>
                </c:pt>
                <c:pt idx="10">
                  <c:v>0.192915</c:v>
                </c:pt>
                <c:pt idx="11">
                  <c:v>0</c:v>
                </c:pt>
                <c:pt idx="12">
                  <c:v>0.29113711111111101</c:v>
                </c:pt>
                <c:pt idx="13">
                  <c:v>0</c:v>
                </c:pt>
                <c:pt idx="14">
                  <c:v>0.21734500000000001</c:v>
                </c:pt>
                <c:pt idx="15">
                  <c:v>0</c:v>
                </c:pt>
                <c:pt idx="16">
                  <c:v>0.26560011111111098</c:v>
                </c:pt>
                <c:pt idx="17">
                  <c:v>0</c:v>
                </c:pt>
                <c:pt idx="18">
                  <c:v>5.4716333333333297E-2</c:v>
                </c:pt>
                <c:pt idx="19">
                  <c:v>0</c:v>
                </c:pt>
                <c:pt idx="20">
                  <c:v>5.4714833333333303E-2</c:v>
                </c:pt>
                <c:pt idx="21">
                  <c:v>0</c:v>
                </c:pt>
                <c:pt idx="22">
                  <c:v>6.5570000000000003E-2</c:v>
                </c:pt>
                <c:pt idx="23">
                  <c:v>0</c:v>
                </c:pt>
                <c:pt idx="24">
                  <c:v>6.0130666666666603E-2</c:v>
                </c:pt>
                <c:pt idx="25">
                  <c:v>0</c:v>
                </c:pt>
                <c:pt idx="26">
                  <c:v>0.42969616666666599</c:v>
                </c:pt>
                <c:pt idx="27">
                  <c:v>0</c:v>
                </c:pt>
                <c:pt idx="28">
                  <c:v>0.71520966666666597</c:v>
                </c:pt>
                <c:pt idx="29">
                  <c:v>0</c:v>
                </c:pt>
                <c:pt idx="30">
                  <c:v>0.22923774999999999</c:v>
                </c:pt>
                <c:pt idx="31">
                  <c:v>0</c:v>
                </c:pt>
                <c:pt idx="32">
                  <c:v>0.40854600000000002</c:v>
                </c:pt>
                <c:pt idx="33">
                  <c:v>0</c:v>
                </c:pt>
                <c:pt idx="34">
                  <c:v>0.14547490909090899</c:v>
                </c:pt>
                <c:pt idx="35">
                  <c:v>0</c:v>
                </c:pt>
                <c:pt idx="36">
                  <c:v>0.89026836356883798</c:v>
                </c:pt>
                <c:pt idx="37">
                  <c:v>0</c:v>
                </c:pt>
                <c:pt idx="38">
                  <c:v>0.11901766666666599</c:v>
                </c:pt>
                <c:pt idx="39">
                  <c:v>0</c:v>
                </c:pt>
              </c:numCache>
            </c:numRef>
          </c:xVal>
          <c:yVal>
            <c:numRef>
              <c:f>parameters_calib!$AO$2:$AO$41</c:f>
              <c:numCache>
                <c:formatCode>General</c:formatCode>
                <c:ptCount val="40"/>
                <c:pt idx="0">
                  <c:v>1.0469446323238671</c:v>
                </c:pt>
                <c:pt idx="1">
                  <c:v>0</c:v>
                </c:pt>
                <c:pt idx="2">
                  <c:v>1.4347682568300948</c:v>
                </c:pt>
                <c:pt idx="3">
                  <c:v>0</c:v>
                </c:pt>
                <c:pt idx="4">
                  <c:v>0.23784793687480346</c:v>
                </c:pt>
                <c:pt idx="5">
                  <c:v>0</c:v>
                </c:pt>
                <c:pt idx="6">
                  <c:v>0.31621580395202109</c:v>
                </c:pt>
                <c:pt idx="7">
                  <c:v>0</c:v>
                </c:pt>
                <c:pt idx="8">
                  <c:v>7.4476572629148446E-2</c:v>
                </c:pt>
                <c:pt idx="9">
                  <c:v>0</c:v>
                </c:pt>
                <c:pt idx="10">
                  <c:v>0.40199011176884347</c:v>
                </c:pt>
                <c:pt idx="11">
                  <c:v>0</c:v>
                </c:pt>
                <c:pt idx="12">
                  <c:v>0.21420765466669872</c:v>
                </c:pt>
                <c:pt idx="13">
                  <c:v>0</c:v>
                </c:pt>
                <c:pt idx="14">
                  <c:v>0.12479544837414119</c:v>
                </c:pt>
                <c:pt idx="15">
                  <c:v>0</c:v>
                </c:pt>
                <c:pt idx="16">
                  <c:v>0.10837191020988825</c:v>
                </c:pt>
                <c:pt idx="17">
                  <c:v>0</c:v>
                </c:pt>
                <c:pt idx="18">
                  <c:v>0.17219687556125574</c:v>
                </c:pt>
                <c:pt idx="19">
                  <c:v>0</c:v>
                </c:pt>
                <c:pt idx="20">
                  <c:v>0.15125835630979714</c:v>
                </c:pt>
                <c:pt idx="21">
                  <c:v>0</c:v>
                </c:pt>
                <c:pt idx="22">
                  <c:v>0.14284640085369429</c:v>
                </c:pt>
                <c:pt idx="23">
                  <c:v>0</c:v>
                </c:pt>
                <c:pt idx="24">
                  <c:v>0.11290950978838418</c:v>
                </c:pt>
                <c:pt idx="25">
                  <c:v>0</c:v>
                </c:pt>
                <c:pt idx="26">
                  <c:v>0.25936615061106649</c:v>
                </c:pt>
                <c:pt idx="27">
                  <c:v>0</c:v>
                </c:pt>
                <c:pt idx="28">
                  <c:v>0.38846386509133574</c:v>
                </c:pt>
                <c:pt idx="29">
                  <c:v>0</c:v>
                </c:pt>
                <c:pt idx="30">
                  <c:v>0.29124200340526168</c:v>
                </c:pt>
                <c:pt idx="31">
                  <c:v>0</c:v>
                </c:pt>
                <c:pt idx="32">
                  <c:v>0.27834083170981699</c:v>
                </c:pt>
                <c:pt idx="33">
                  <c:v>0</c:v>
                </c:pt>
                <c:pt idx="34">
                  <c:v>0.20983427277258584</c:v>
                </c:pt>
                <c:pt idx="35">
                  <c:v>0</c:v>
                </c:pt>
                <c:pt idx="36">
                  <c:v>0.25788521691225574</c:v>
                </c:pt>
                <c:pt idx="37">
                  <c:v>0</c:v>
                </c:pt>
                <c:pt idx="38">
                  <c:v>0.21673684880406588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71-48D7-817B-308DDC75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510336"/>
        <c:axId val="1175514496"/>
      </c:scatterChart>
      <c:valAx>
        <c:axId val="1175510336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14496"/>
        <c:crosses val="autoZero"/>
        <c:crossBetween val="midCat"/>
      </c:valAx>
      <c:valAx>
        <c:axId val="1175514496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10336"/>
        <c:crosses val="autoZero"/>
        <c:crossBetween val="midCat"/>
      </c:valAx>
    </c:plotArea>
    <c:plotVisOnly val="1"/>
    <c:dispBlanksAs val="zero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parameters_calib!$AB$1</c:f>
              <c:strCache>
                <c:ptCount val="1"/>
                <c:pt idx="0">
                  <c:v>k_E_opt3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774037620297467"/>
                  <c:y val="-0.842135279042902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parameters_calib!$AB$2:$AB$41</c:f>
              <c:numCache>
                <c:formatCode>0.00</c:formatCode>
                <c:ptCount val="40"/>
                <c:pt idx="0">
                  <c:v>4.0916550289658176</c:v>
                </c:pt>
                <c:pt idx="1">
                  <c:v>4.0916550289658131</c:v>
                </c:pt>
                <c:pt idx="2">
                  <c:v>2.8806854736708898</c:v>
                </c:pt>
                <c:pt idx="3">
                  <c:v>2.8806854736708898</c:v>
                </c:pt>
                <c:pt idx="4">
                  <c:v>21.312278665761152</c:v>
                </c:pt>
                <c:pt idx="5">
                  <c:v>21.312278665761152</c:v>
                </c:pt>
                <c:pt idx="6">
                  <c:v>15.520186763353021</c:v>
                </c:pt>
                <c:pt idx="7">
                  <c:v>15.520186763353021</c:v>
                </c:pt>
                <c:pt idx="8">
                  <c:v>77.658425114664624</c:v>
                </c:pt>
                <c:pt idx="9">
                  <c:v>77.658425114664624</c:v>
                </c:pt>
                <c:pt idx="10">
                  <c:v>11.880258693471061</c:v>
                </c:pt>
                <c:pt idx="11">
                  <c:v>11.880258693471061</c:v>
                </c:pt>
                <c:pt idx="12">
                  <c:v>23.947401555166479</c:v>
                </c:pt>
                <c:pt idx="13">
                  <c:v>23.947401555166479</c:v>
                </c:pt>
                <c:pt idx="14">
                  <c:v>43.706493936003433</c:v>
                </c:pt>
                <c:pt idx="15">
                  <c:v>43.706493936003433</c:v>
                </c:pt>
                <c:pt idx="16">
                  <c:v>51.143300368231131</c:v>
                </c:pt>
                <c:pt idx="17">
                  <c:v>51.143300368231131</c:v>
                </c:pt>
                <c:pt idx="18">
                  <c:v>30.53775794530652</c:v>
                </c:pt>
                <c:pt idx="19">
                  <c:v>30.53775794530652</c:v>
                </c:pt>
                <c:pt idx="20">
                  <c:v>35.280813083307258</c:v>
                </c:pt>
                <c:pt idx="21">
                  <c:v>35.280813083307258</c:v>
                </c:pt>
                <c:pt idx="22">
                  <c:v>37.602028467317176</c:v>
                </c:pt>
                <c:pt idx="23">
                  <c:v>37.602028467317176</c:v>
                </c:pt>
                <c:pt idx="24">
                  <c:v>48.859786397485998</c:v>
                </c:pt>
                <c:pt idx="25">
                  <c:v>48.859786397485998</c:v>
                </c:pt>
                <c:pt idx="26">
                  <c:v>19.352789572507444</c:v>
                </c:pt>
                <c:pt idx="27">
                  <c:v>19.352789572507444</c:v>
                </c:pt>
                <c:pt idx="28">
                  <c:v>12.341815901927584</c:v>
                </c:pt>
                <c:pt idx="29">
                  <c:v>12.341815901927584</c:v>
                </c:pt>
                <c:pt idx="30">
                  <c:v>17.009238611709822</c:v>
                </c:pt>
                <c:pt idx="31">
                  <c:v>17.009238611709822</c:v>
                </c:pt>
                <c:pt idx="32">
                  <c:v>17.889450454690735</c:v>
                </c:pt>
                <c:pt idx="33">
                  <c:v>17.889450454690735</c:v>
                </c:pt>
                <c:pt idx="34">
                  <c:v>24.503861193906591</c:v>
                </c:pt>
                <c:pt idx="35">
                  <c:v>24.503861193906591</c:v>
                </c:pt>
                <c:pt idx="36">
                  <c:v>19.47658875703528</c:v>
                </c:pt>
                <c:pt idx="37">
                  <c:v>19.47658875703528</c:v>
                </c:pt>
                <c:pt idx="38">
                  <c:v>23.636414327156476</c:v>
                </c:pt>
                <c:pt idx="39">
                  <c:v>23.636414327156476</c:v>
                </c:pt>
              </c:numCache>
            </c:numRef>
          </c:xVal>
          <c:y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0-4987-8CA5-9438A042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221967"/>
        <c:axId val="1338229455"/>
      </c:scatterChart>
      <c:valAx>
        <c:axId val="133822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29455"/>
        <c:crosses val="autoZero"/>
        <c:crossBetween val="midCat"/>
      </c:valAx>
      <c:valAx>
        <c:axId val="13382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2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parameters_calib!$AD$1</c:f>
              <c:strCache>
                <c:ptCount val="1"/>
                <c:pt idx="0">
                  <c:v>DIP_E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xVal>
          <c:y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71-48D7-817B-308DDC75ACB1}"/>
            </c:ext>
          </c:extLst>
        </c:ser>
        <c:ser>
          <c:idx val="3"/>
          <c:order val="1"/>
          <c:tx>
            <c:strRef>
              <c:f>parameters_calib!$AE$1</c:f>
              <c:strCache>
                <c:ptCount val="1"/>
                <c:pt idx="0">
                  <c:v>DIP_E_measured_Ex_Max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parameters_calib!$G$2:$G$41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2.0961466666666602</c:v>
                </c:pt>
                <c:pt idx="2">
                  <c:v>0.68082666666666602</c:v>
                </c:pt>
                <c:pt idx="3">
                  <c:v>0.63131816666666596</c:v>
                </c:pt>
                <c:pt idx="4">
                  <c:v>8.0335199999999996E-2</c:v>
                </c:pt>
                <c:pt idx="5">
                  <c:v>1.9155078333333301E-2</c:v>
                </c:pt>
                <c:pt idx="6">
                  <c:v>1.722637</c:v>
                </c:pt>
                <c:pt idx="7">
                  <c:v>0.90562933333333295</c:v>
                </c:pt>
                <c:pt idx="8">
                  <c:v>0.1351415</c:v>
                </c:pt>
                <c:pt idx="9">
                  <c:v>2.4296333333333298E-2</c:v>
                </c:pt>
                <c:pt idx="10">
                  <c:v>0.192915</c:v>
                </c:pt>
                <c:pt idx="11">
                  <c:v>3.4684554999999999E-2</c:v>
                </c:pt>
                <c:pt idx="12">
                  <c:v>0.29113711111111101</c:v>
                </c:pt>
                <c:pt idx="13">
                  <c:v>8.2485441111111099E-2</c:v>
                </c:pt>
                <c:pt idx="14">
                  <c:v>0.21734500000000001</c:v>
                </c:pt>
                <c:pt idx="15">
                  <c:v>0.13182666666666601</c:v>
                </c:pt>
                <c:pt idx="16">
                  <c:v>0.26560011111111098</c:v>
                </c:pt>
                <c:pt idx="17">
                  <c:v>0.19173777777777701</c:v>
                </c:pt>
                <c:pt idx="18">
                  <c:v>5.4716333333333297E-2</c:v>
                </c:pt>
                <c:pt idx="19">
                  <c:v>3.1295040000000003E-2</c:v>
                </c:pt>
                <c:pt idx="20">
                  <c:v>5.4714833333333303E-2</c:v>
                </c:pt>
                <c:pt idx="21">
                  <c:v>2.6090916666666599E-2</c:v>
                </c:pt>
                <c:pt idx="22">
                  <c:v>6.5570000000000003E-2</c:v>
                </c:pt>
                <c:pt idx="23">
                  <c:v>1.88066666666666E-2</c:v>
                </c:pt>
                <c:pt idx="24">
                  <c:v>6.0130666666666603E-2</c:v>
                </c:pt>
                <c:pt idx="25">
                  <c:v>2.2963916666666601E-2</c:v>
                </c:pt>
                <c:pt idx="26">
                  <c:v>0.42969616666666599</c:v>
                </c:pt>
                <c:pt idx="27">
                  <c:v>0.32922950000000001</c:v>
                </c:pt>
                <c:pt idx="28">
                  <c:v>0.71520966666666597</c:v>
                </c:pt>
                <c:pt idx="29">
                  <c:v>0.33264783333333298</c:v>
                </c:pt>
                <c:pt idx="30">
                  <c:v>0.22923774999999999</c:v>
                </c:pt>
                <c:pt idx="31">
                  <c:v>0.11172225</c:v>
                </c:pt>
                <c:pt idx="32">
                  <c:v>0.40854600000000002</c:v>
                </c:pt>
                <c:pt idx="33">
                  <c:v>0.15793333333333301</c:v>
                </c:pt>
                <c:pt idx="34">
                  <c:v>0.14547490909090899</c:v>
                </c:pt>
                <c:pt idx="35">
                  <c:v>2.2903E-2</c:v>
                </c:pt>
                <c:pt idx="36">
                  <c:v>0.89026836356883798</c:v>
                </c:pt>
                <c:pt idx="37">
                  <c:v>0.43789400000000001</c:v>
                </c:pt>
                <c:pt idx="38">
                  <c:v>0.11901766666666599</c:v>
                </c:pt>
                <c:pt idx="39">
                  <c:v>4.3287730423837101E-2</c:v>
                </c:pt>
              </c:numCache>
            </c:numRef>
          </c:xVal>
          <c:yVal>
            <c:numRef>
              <c:f>parameters_calib!$AE$2:$AE$41</c:f>
              <c:numCache>
                <c:formatCode>0.0000</c:formatCode>
                <c:ptCount val="40"/>
                <c:pt idx="0">
                  <c:v>1.0469446323238671</c:v>
                </c:pt>
                <c:pt idx="1">
                  <c:v>0</c:v>
                </c:pt>
                <c:pt idx="2">
                  <c:v>1.4347682568300948</c:v>
                </c:pt>
                <c:pt idx="3">
                  <c:v>0</c:v>
                </c:pt>
                <c:pt idx="4">
                  <c:v>0.23784793687480346</c:v>
                </c:pt>
                <c:pt idx="5">
                  <c:v>0</c:v>
                </c:pt>
                <c:pt idx="6">
                  <c:v>0.31621580395202109</c:v>
                </c:pt>
                <c:pt idx="7">
                  <c:v>0</c:v>
                </c:pt>
                <c:pt idx="8">
                  <c:v>7.4476572629148446E-2</c:v>
                </c:pt>
                <c:pt idx="9">
                  <c:v>0</c:v>
                </c:pt>
                <c:pt idx="10">
                  <c:v>0.40199011176884347</c:v>
                </c:pt>
                <c:pt idx="11">
                  <c:v>0</c:v>
                </c:pt>
                <c:pt idx="12">
                  <c:v>0.21420765466669872</c:v>
                </c:pt>
                <c:pt idx="13">
                  <c:v>0</c:v>
                </c:pt>
                <c:pt idx="14">
                  <c:v>0.12479544837414119</c:v>
                </c:pt>
                <c:pt idx="15">
                  <c:v>0</c:v>
                </c:pt>
                <c:pt idx="16">
                  <c:v>0.10837191020988825</c:v>
                </c:pt>
                <c:pt idx="17">
                  <c:v>0</c:v>
                </c:pt>
                <c:pt idx="18">
                  <c:v>0.17219687556125574</c:v>
                </c:pt>
                <c:pt idx="19">
                  <c:v>0</c:v>
                </c:pt>
                <c:pt idx="20">
                  <c:v>0.15125835630979714</c:v>
                </c:pt>
                <c:pt idx="21">
                  <c:v>-4.0667004351889177E-2</c:v>
                </c:pt>
                <c:pt idx="22">
                  <c:v>0.14284640085369429</c:v>
                </c:pt>
                <c:pt idx="23">
                  <c:v>0</c:v>
                </c:pt>
                <c:pt idx="24">
                  <c:v>0.11290950978838418</c:v>
                </c:pt>
                <c:pt idx="25">
                  <c:v>0</c:v>
                </c:pt>
                <c:pt idx="26">
                  <c:v>0.25936615061106649</c:v>
                </c:pt>
                <c:pt idx="27">
                  <c:v>0</c:v>
                </c:pt>
                <c:pt idx="28">
                  <c:v>0.38846386509133574</c:v>
                </c:pt>
                <c:pt idx="29">
                  <c:v>0</c:v>
                </c:pt>
                <c:pt idx="30">
                  <c:v>0.29124200340526168</c:v>
                </c:pt>
                <c:pt idx="31">
                  <c:v>0</c:v>
                </c:pt>
                <c:pt idx="32">
                  <c:v>0.27834083170981699</c:v>
                </c:pt>
                <c:pt idx="33">
                  <c:v>0</c:v>
                </c:pt>
                <c:pt idx="34">
                  <c:v>0.20983427277258584</c:v>
                </c:pt>
                <c:pt idx="35">
                  <c:v>0</c:v>
                </c:pt>
                <c:pt idx="36">
                  <c:v>0.25788521691225574</c:v>
                </c:pt>
                <c:pt idx="37">
                  <c:v>0</c:v>
                </c:pt>
                <c:pt idx="38">
                  <c:v>0.21673684880406588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071-48D7-817B-308DDC75ACB1}"/>
            </c:ext>
          </c:extLst>
        </c:ser>
        <c:ser>
          <c:idx val="0"/>
          <c:order val="2"/>
          <c:tx>
            <c:strRef>
              <c:f>parameters_calib!$AD$1</c:f>
              <c:strCache>
                <c:ptCount val="1"/>
                <c:pt idx="0">
                  <c:v>DIP_E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parameters_calib!$AN$2:$AN$41</c:f>
              <c:numCache>
                <c:formatCode>General</c:formatCode>
                <c:ptCount val="40"/>
                <c:pt idx="0">
                  <c:v>1.7717274999999999</c:v>
                </c:pt>
                <c:pt idx="1">
                  <c:v>0</c:v>
                </c:pt>
                <c:pt idx="2">
                  <c:v>0.68082666666666602</c:v>
                </c:pt>
                <c:pt idx="3">
                  <c:v>0</c:v>
                </c:pt>
                <c:pt idx="4">
                  <c:v>8.0335199999999996E-2</c:v>
                </c:pt>
                <c:pt idx="5">
                  <c:v>0</c:v>
                </c:pt>
                <c:pt idx="6">
                  <c:v>1.722637</c:v>
                </c:pt>
                <c:pt idx="7">
                  <c:v>0</c:v>
                </c:pt>
                <c:pt idx="8">
                  <c:v>0.1351415</c:v>
                </c:pt>
                <c:pt idx="9">
                  <c:v>0</c:v>
                </c:pt>
                <c:pt idx="10">
                  <c:v>0.192915</c:v>
                </c:pt>
                <c:pt idx="11">
                  <c:v>0</c:v>
                </c:pt>
                <c:pt idx="12">
                  <c:v>0.29113711111111101</c:v>
                </c:pt>
                <c:pt idx="13">
                  <c:v>0</c:v>
                </c:pt>
                <c:pt idx="14">
                  <c:v>0.21734500000000001</c:v>
                </c:pt>
                <c:pt idx="15">
                  <c:v>0</c:v>
                </c:pt>
                <c:pt idx="16">
                  <c:v>0.26560011111111098</c:v>
                </c:pt>
                <c:pt idx="17">
                  <c:v>0</c:v>
                </c:pt>
                <c:pt idx="18">
                  <c:v>5.4716333333333297E-2</c:v>
                </c:pt>
                <c:pt idx="19">
                  <c:v>0</c:v>
                </c:pt>
                <c:pt idx="20">
                  <c:v>5.4714833333333303E-2</c:v>
                </c:pt>
                <c:pt idx="21">
                  <c:v>0</c:v>
                </c:pt>
                <c:pt idx="22">
                  <c:v>6.5570000000000003E-2</c:v>
                </c:pt>
                <c:pt idx="23">
                  <c:v>0</c:v>
                </c:pt>
                <c:pt idx="24">
                  <c:v>6.0130666666666603E-2</c:v>
                </c:pt>
                <c:pt idx="25">
                  <c:v>0</c:v>
                </c:pt>
                <c:pt idx="26">
                  <c:v>0.42969616666666599</c:v>
                </c:pt>
                <c:pt idx="27">
                  <c:v>0</c:v>
                </c:pt>
                <c:pt idx="28">
                  <c:v>0.71520966666666597</c:v>
                </c:pt>
                <c:pt idx="29">
                  <c:v>0</c:v>
                </c:pt>
                <c:pt idx="30">
                  <c:v>0.22923774999999999</c:v>
                </c:pt>
                <c:pt idx="31">
                  <c:v>0</c:v>
                </c:pt>
                <c:pt idx="32">
                  <c:v>0.40854600000000002</c:v>
                </c:pt>
                <c:pt idx="33">
                  <c:v>0</c:v>
                </c:pt>
                <c:pt idx="34">
                  <c:v>0.14547490909090899</c:v>
                </c:pt>
                <c:pt idx="35">
                  <c:v>0</c:v>
                </c:pt>
                <c:pt idx="36">
                  <c:v>0.89026836356883798</c:v>
                </c:pt>
                <c:pt idx="37">
                  <c:v>0</c:v>
                </c:pt>
                <c:pt idx="38">
                  <c:v>0.11901766666666599</c:v>
                </c:pt>
                <c:pt idx="39">
                  <c:v>0</c:v>
                </c:pt>
              </c:numCache>
            </c:numRef>
          </c:xVal>
          <c:yVal>
            <c:numRef>
              <c:f>parameters_calib!$AO$2:$AO$41</c:f>
              <c:numCache>
                <c:formatCode>General</c:formatCode>
                <c:ptCount val="40"/>
                <c:pt idx="0">
                  <c:v>1.0469446323238671</c:v>
                </c:pt>
                <c:pt idx="1">
                  <c:v>0</c:v>
                </c:pt>
                <c:pt idx="2">
                  <c:v>1.4347682568300948</c:v>
                </c:pt>
                <c:pt idx="3">
                  <c:v>0</c:v>
                </c:pt>
                <c:pt idx="4">
                  <c:v>0.23784793687480346</c:v>
                </c:pt>
                <c:pt idx="5">
                  <c:v>0</c:v>
                </c:pt>
                <c:pt idx="6">
                  <c:v>0.31621580395202109</c:v>
                </c:pt>
                <c:pt idx="7">
                  <c:v>0</c:v>
                </c:pt>
                <c:pt idx="8">
                  <c:v>7.4476572629148446E-2</c:v>
                </c:pt>
                <c:pt idx="9">
                  <c:v>0</c:v>
                </c:pt>
                <c:pt idx="10">
                  <c:v>0.40199011176884347</c:v>
                </c:pt>
                <c:pt idx="11">
                  <c:v>0</c:v>
                </c:pt>
                <c:pt idx="12">
                  <c:v>0.21420765466669872</c:v>
                </c:pt>
                <c:pt idx="13">
                  <c:v>0</c:v>
                </c:pt>
                <c:pt idx="14">
                  <c:v>0.12479544837414119</c:v>
                </c:pt>
                <c:pt idx="15">
                  <c:v>0</c:v>
                </c:pt>
                <c:pt idx="16">
                  <c:v>0.10837191020988825</c:v>
                </c:pt>
                <c:pt idx="17">
                  <c:v>0</c:v>
                </c:pt>
                <c:pt idx="18">
                  <c:v>0.17219687556125574</c:v>
                </c:pt>
                <c:pt idx="19">
                  <c:v>0</c:v>
                </c:pt>
                <c:pt idx="20">
                  <c:v>0.15125835630979714</c:v>
                </c:pt>
                <c:pt idx="21">
                  <c:v>0</c:v>
                </c:pt>
                <c:pt idx="22">
                  <c:v>0.14284640085369429</c:v>
                </c:pt>
                <c:pt idx="23">
                  <c:v>0</c:v>
                </c:pt>
                <c:pt idx="24">
                  <c:v>0.11290950978838418</c:v>
                </c:pt>
                <c:pt idx="25">
                  <c:v>0</c:v>
                </c:pt>
                <c:pt idx="26">
                  <c:v>0.25936615061106649</c:v>
                </c:pt>
                <c:pt idx="27">
                  <c:v>0</c:v>
                </c:pt>
                <c:pt idx="28">
                  <c:v>0.38846386509133574</c:v>
                </c:pt>
                <c:pt idx="29">
                  <c:v>0</c:v>
                </c:pt>
                <c:pt idx="30">
                  <c:v>0.29124200340526168</c:v>
                </c:pt>
                <c:pt idx="31">
                  <c:v>0</c:v>
                </c:pt>
                <c:pt idx="32">
                  <c:v>0.27834083170981699</c:v>
                </c:pt>
                <c:pt idx="33">
                  <c:v>0</c:v>
                </c:pt>
                <c:pt idx="34">
                  <c:v>0.20983427277258584</c:v>
                </c:pt>
                <c:pt idx="35">
                  <c:v>0</c:v>
                </c:pt>
                <c:pt idx="36">
                  <c:v>0.25788521691225574</c:v>
                </c:pt>
                <c:pt idx="37">
                  <c:v>0</c:v>
                </c:pt>
                <c:pt idx="38">
                  <c:v>0.21673684880406588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71-48D7-817B-308DDC75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510336"/>
        <c:axId val="1175514496"/>
      </c:scatterChart>
      <c:valAx>
        <c:axId val="1175510336"/>
        <c:scaling>
          <c:logBase val="10"/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14496"/>
        <c:crosses val="autoZero"/>
        <c:crossBetween val="midCat"/>
      </c:valAx>
      <c:valAx>
        <c:axId val="1175514496"/>
        <c:scaling>
          <c:logBase val="10"/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510336"/>
        <c:crosses val="autoZero"/>
        <c:crossBetween val="midCat"/>
      </c:valAx>
    </c:plotArea>
    <c:plotVisOnly val="1"/>
    <c:dispBlanksAs val="zero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1341120</xdr:colOff>
      <xdr:row>44</xdr:row>
      <xdr:rowOff>68580</xdr:rowOff>
    </xdr:from>
    <xdr:to>
      <xdr:col>12</xdr:col>
      <xdr:colOff>378349</xdr:colOff>
      <xdr:row>58</xdr:row>
      <xdr:rowOff>77937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37A2A7-EB0E-45B3-8516-EDF97584D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4080" y="4274820"/>
          <a:ext cx="4584589" cy="246299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44</xdr:row>
      <xdr:rowOff>91440</xdr:rowOff>
    </xdr:from>
    <xdr:to>
      <xdr:col>6</xdr:col>
      <xdr:colOff>1330849</xdr:colOff>
      <xdr:row>57</xdr:row>
      <xdr:rowOff>117548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BFD483B-160F-4C63-87F0-236F9B37E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9220" y="4297680"/>
          <a:ext cx="4584589" cy="2304488"/>
        </a:xfrm>
        <a:prstGeom prst="rect">
          <a:avLst/>
        </a:prstGeom>
      </xdr:spPr>
    </xdr:pic>
    <xdr:clientData/>
  </xdr:twoCellAnchor>
  <xdr:twoCellAnchor>
    <xdr:from>
      <xdr:col>17</xdr:col>
      <xdr:colOff>167640</xdr:colOff>
      <xdr:row>43</xdr:row>
      <xdr:rowOff>0</xdr:rowOff>
    </xdr:from>
    <xdr:to>
      <xdr:col>22</xdr:col>
      <xdr:colOff>731520</xdr:colOff>
      <xdr:row>54</xdr:row>
      <xdr:rowOff>7620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6DDD364-1D19-4C51-A957-B6971E0FA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190500</xdr:colOff>
      <xdr:row>41</xdr:row>
      <xdr:rowOff>7620</xdr:rowOff>
    </xdr:from>
    <xdr:to>
      <xdr:col>29</xdr:col>
      <xdr:colOff>769620</xdr:colOff>
      <xdr:row>56</xdr:row>
      <xdr:rowOff>121920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83A6AE3-E556-43AE-B78B-536B10F7F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342900</xdr:colOff>
      <xdr:row>41</xdr:row>
      <xdr:rowOff>160020</xdr:rowOff>
    </xdr:from>
    <xdr:to>
      <xdr:col>30</xdr:col>
      <xdr:colOff>137160</xdr:colOff>
      <xdr:row>57</xdr:row>
      <xdr:rowOff>99060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B0F7F00-695C-45E8-9BE2-AC78C6EEC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278130</xdr:colOff>
      <xdr:row>6</xdr:row>
      <xdr:rowOff>163830</xdr:rowOff>
    </xdr:from>
    <xdr:to>
      <xdr:col>48</xdr:col>
      <xdr:colOff>156210</xdr:colOff>
      <xdr:row>22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7F456-72EC-4C49-A10F-424C230D2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754380</xdr:colOff>
      <xdr:row>1</xdr:row>
      <xdr:rowOff>76200</xdr:rowOff>
    </xdr:from>
    <xdr:to>
      <xdr:col>28</xdr:col>
      <xdr:colOff>243840</xdr:colOff>
      <xdr:row>27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0331B4-57D0-4CF9-A307-F6E3F32FD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369570</xdr:colOff>
      <xdr:row>5</xdr:row>
      <xdr:rowOff>163830</xdr:rowOff>
    </xdr:from>
    <xdr:to>
      <xdr:col>40</xdr:col>
      <xdr:colOff>468630</xdr:colOff>
      <xdr:row>21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377F25-01D1-446D-8E80-D1139BE29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DAED95-D447-47B0-A3E8-484B5CB592A4}" name="Table18" displayName="Table18" ref="A1:DQ41" totalsRowShown="0" headerRowDxfId="124" dataDxfId="123">
  <autoFilter ref="A1:DQ41" xr:uid="{75DE21CE-EFDB-47D2-AE53-A15D796037A0}"/>
  <tableColumns count="121">
    <tableColumn id="1" xr3:uid="{DAD4BA75-E56D-4442-9296-5FD7585F4F09}" name="site" dataDxfId="122"/>
    <tableColumn id="2" xr3:uid="{7FC049D6-F314-4E80-83EA-F1015FE4109E}" name="plot" dataDxfId="121"/>
    <tableColumn id="3" xr3:uid="{EDF47A8E-E646-42CC-9712-F54C3174DEDE}" name="treatment" dataDxfId="120"/>
    <tableColumn id="4" xr3:uid="{54CC0732-B61E-4084-880F-0BBC49082F49}" name="site.plot" dataDxfId="119"/>
    <tableColumn id="5" xr3:uid="{0B81E049-DF91-4789-B6E0-07A7B8CD96AD}" name="time.d_mean" dataDxfId="118"/>
    <tableColumn id="6" xr3:uid="{369ABCAA-D87F-4168-A8D5-CE0134F94F5B}" name="SRP.mgl_mean" dataDxfId="117"/>
    <tableColumn id="7" xr3:uid="{0E691851-9893-4ADB-A016-35C399475B77}" name="DO.mgl_mean" dataDxfId="116"/>
    <tableColumn id="8" xr3:uid="{550CFAF1-759E-4392-8F20-753FA595C70E}" name="temp.C_mean" dataDxfId="115"/>
    <tableColumn id="9" xr3:uid="{412F6865-6DFD-45F9-850A-84BD22956DFF}" name="pH_mean" dataDxfId="114"/>
    <tableColumn id="10" xr3:uid="{EAD3A51F-361A-4575-AFB1-426D6C326CED}" name="ORP.mV_mean" dataDxfId="113"/>
    <tableColumn id="11" xr3:uid="{5FC11D58-15F7-4E75-B0C2-DA04A0F81CC6}" name="SC.uScm_mean" dataDxfId="112"/>
    <tableColumn id="12" xr3:uid="{DC916EBE-A7BB-4AC3-8540-F4A7BD38EEE4}" name="time.d_sd" dataDxfId="111"/>
    <tableColumn id="13" xr3:uid="{037FFA20-F747-4823-90CE-7A964EE0F7D9}" name="SRP.mgl_sd" dataDxfId="110"/>
    <tableColumn id="14" xr3:uid="{82FFD322-8617-4F2F-9D28-65799A195090}" name="DO.mgl_sd" dataDxfId="109"/>
    <tableColumn id="15" xr3:uid="{8DAD5284-D654-4870-BB45-32759F298730}" name="temp.C_sd" dataDxfId="108"/>
    <tableColumn id="16" xr3:uid="{F7ADBD86-FFD6-409D-9A8D-1BCC382F1A72}" name="pH_sd" dataDxfId="107"/>
    <tableColumn id="17" xr3:uid="{387C1DB6-8B75-448E-BC6C-2FEBDAECAF0F}" name="ORP.mV_sd" dataDxfId="106"/>
    <tableColumn id="18" xr3:uid="{1495BA84-ECA4-48EB-8135-0BB718634E65}" name="SC.uScm_sd" dataDxfId="105"/>
    <tableColumn id="19" xr3:uid="{24B476C3-AF87-426E-B294-3BCB0A3B8E57}" name="initSRP.mgl" dataDxfId="104"/>
    <tableColumn id="20" xr3:uid="{026845A7-C0FE-40EE-9298-BA28614F05AE}" name="days" dataDxfId="103"/>
    <tableColumn id="21" xr3:uid="{8A3B3C0C-FD3F-435D-B96B-DBB4BE588551}" name="SRPflux_mean" dataDxfId="102"/>
    <tableColumn id="22" xr3:uid="{C57DCC5E-184D-4E6F-844D-932863B37B89}" name="SRPflux_sd_hi" dataDxfId="101"/>
    <tableColumn id="23" xr3:uid="{C906BD9F-0ADF-4930-B22A-BBC821C97129}" name="SRPflux_sd_lo" dataDxfId="100"/>
    <tableColumn id="24" xr3:uid="{611B4307-4059-4DD9-AB09-F47CEC769E4D}" name="prior" dataDxfId="99"/>
    <tableColumn id="25" xr3:uid="{E98DD37C-B4E4-49C8-BD79-73DEBDFBCD4E}" name="YSF" dataDxfId="98"/>
    <tableColumn id="26" xr3:uid="{FE24722C-9B7B-4F8B-9AB2-753FEC4F8FCC}" name="frac_farmed" dataDxfId="97"/>
    <tableColumn id="27" xr3:uid="{E49E854D-4E0B-4841-BEF9-1C2B2AE866E2}" name="farm_group" dataDxfId="96"/>
    <tableColumn id="28" xr3:uid="{039DE5C1-F1F4-465B-AC0E-C0A49752F4EE}" name="count_n_mean" dataDxfId="95"/>
    <tableColumn id="29" xr3:uid="{65ABF007-C7C4-4F3B-BE2A-E35D3967E9D8}" name="count_y_mean" dataDxfId="94"/>
    <tableColumn id="30" xr3:uid="{26F5E22E-BA19-4368-BD8D-6AE571F8BF9D}" name="count_c_mean" dataDxfId="93"/>
    <tableColumn id="31" xr3:uid="{CDAFFED0-0EB9-4130-BAD5-B4222B86B944}" name="count_h_mean" dataDxfId="92"/>
    <tableColumn id="32" xr3:uid="{A6750138-8686-4E1C-A036-BD44B6DDF50D}" name="count_obs_mean" dataDxfId="91"/>
    <tableColumn id="33" xr3:uid="{DEBDEF3C-D204-4EC5-A51D-A6F128FCF7DC}" name="last_yr_y_mean" dataDxfId="90"/>
    <tableColumn id="34" xr3:uid="{F4EEDA02-37DC-4A63-AA56-C60A7AAC86D4}" name="first_yr_n_mean" dataDxfId="89"/>
    <tableColumn id="35" xr3:uid="{A4A63447-3E90-4F7B-90E4-DD0FA65F7ACE}" name="last_yr_farmed_mean" dataDxfId="88"/>
    <tableColumn id="36" xr3:uid="{D41F25FE-5FD3-43D8-8B4A-9000781A1C63}" name="smpl.yr_mean" dataDxfId="87"/>
    <tableColumn id="37" xr3:uid="{603949B0-9F83-404C-8A02-6B947EE494A4}" name="BD_mean" dataDxfId="86"/>
    <tableColumn id="38" xr3:uid="{2A3D7014-96D8-4F6D-95D0-365D9779CC34}" name="MC60_mean" dataDxfId="85"/>
    <tableColumn id="39" xr3:uid="{843830EB-3B44-43E6-BB2C-F6D521F29F4D}" name="WEPw_mean" dataDxfId="84"/>
    <tableColumn id="40" xr3:uid="{7C9F51DE-C5BE-41D5-83C6-0DDFF3ACDBDE}" name="TP.ign_mean" dataDxfId="83"/>
    <tableColumn id="41" xr3:uid="{52B7D57C-D6D9-4C54-AA15-558CB6E2C281}" name="HCl.Pi_mean" dataDxfId="82"/>
    <tableColumn id="42" xr3:uid="{6373BC33-D2A7-4C11-92B1-FBB3107EC795}" name="HCl.Po_mean" dataDxfId="81"/>
    <tableColumn id="43" xr3:uid="{486A7539-EEBF-46F9-9ED1-E7D358DC876C}" name="LOI_mean" dataDxfId="80"/>
    <tableColumn id="44" xr3:uid="{989107A7-7AF0-4C46-8C83-15AEEE011B45}" name="Ox.P_mean" dataDxfId="79"/>
    <tableColumn id="45" xr3:uid="{BF56CD97-C77F-4D3D-94E3-8DB0FA7E7D76}" name="Ox.Al_mean" dataDxfId="78"/>
    <tableColumn id="46" xr3:uid="{FB676CCC-309B-4158-9BB4-DFD67963B076}" name="Ox.Fe_mean" dataDxfId="77"/>
    <tableColumn id="47" xr3:uid="{4CB8BD42-9A31-47BB-AC16-B96592380921}" name="Ox.Mn_mean" dataDxfId="76"/>
    <tableColumn id="48" xr3:uid="{6509992E-A5C4-4E30-B342-DB8CCB7603EB}" name="Ox.PSR_mean" dataDxfId="75"/>
    <tableColumn id="49" xr3:uid="{A32F3DE9-E402-4764-906E-0BD489A13DD4}" name="Ox.SPSC_mean" dataDxfId="74"/>
    <tableColumn id="50" xr3:uid="{26B70D11-E3FA-4940-A054-8AF8ED264AD5}" name="sand_mean" dataDxfId="73"/>
    <tableColumn id="51" xr3:uid="{22E38ACF-5646-4E86-BA93-740F21236C6D}" name="silt_mean" dataDxfId="72"/>
    <tableColumn id="52" xr3:uid="{1B311EFA-F15F-4C7F-A020-680B33F31F9D}" name="clay_mean" dataDxfId="71"/>
    <tableColumn id="53" xr3:uid="{8D32B565-F3B1-49ED-B255-17D0186A0D99}" name="fines_mean" dataDxfId="70"/>
    <tableColumn id="54" xr3:uid="{B89020B3-9C60-4FBB-9779-6E460D7B7FDF}" name="Ox.PSC_mean" dataDxfId="69"/>
    <tableColumn id="55" xr3:uid="{BED92081-473E-4621-968A-BD37E65FA7EE}" name="Ox.DPS_mean" dataDxfId="68"/>
    <tableColumn id="56" xr3:uid="{C2527177-B830-4198-82AE-F79E436FFFBD}" name="Ox.P2Fe_mean" dataDxfId="67"/>
    <tableColumn id="57" xr3:uid="{8D093823-C213-4BF2-BE38-38BECADE5C13}" name="WFPS_mean" dataDxfId="66"/>
    <tableColumn id="58" xr3:uid="{96752A13-6215-4E48-B9FD-F06E252A0EA5}" name="Ox.P2Al_mean" dataDxfId="65"/>
    <tableColumn id="59" xr3:uid="{B7921E6B-8B24-4F7E-9C58-E2738DABC67B}" name="Ox.Al2Fe_mean" dataDxfId="64"/>
    <tableColumn id="60" xr3:uid="{0A4C2566-8104-4E2E-B328-CF5068B5B44D}" name="HCl.PSR_mean" dataDxfId="63"/>
    <tableColumn id="61" xr3:uid="{EFAA9A21-2755-440E-BCFE-0393C63184A0}" name="MM.P_mean" dataDxfId="62"/>
    <tableColumn id="62" xr3:uid="{B9253795-2ABD-4A6C-9407-E530F20E7915}" name="MM.P.ICP_mean" dataDxfId="61"/>
    <tableColumn id="63" xr3:uid="{B5ADE72B-1155-4A80-9A72-41625DA79119}" name="MM.K_mean" dataDxfId="60"/>
    <tableColumn id="64" xr3:uid="{2246246B-2ABC-4E54-AB38-92E6CCBB288B}" name="MM.Mg_mean" dataDxfId="59"/>
    <tableColumn id="65" xr3:uid="{450ECE71-6421-4557-B27D-33DD9893A592}" name="MM.Ca_mean" dataDxfId="58"/>
    <tableColumn id="66" xr3:uid="{25D17051-EE4E-47DD-B5A6-B46DF69EA852}" name="MM.Al_mean" dataDxfId="57"/>
    <tableColumn id="67" xr3:uid="{67D185D2-4267-4F21-93BA-94740EE3540C}" name="MM.B_mean" dataDxfId="56"/>
    <tableColumn id="68" xr3:uid="{7717C495-3737-486B-A107-1E73D7E22588}" name="MM.Cu_mean" dataDxfId="55"/>
    <tableColumn id="69" xr3:uid="{AB3B4C93-A8D0-4D37-A42B-1ECE5332647F}" name="MM.Fe_mean" dataDxfId="54"/>
    <tableColumn id="70" xr3:uid="{E8B20DF8-7B0E-45BC-838F-1AAA8B2475EE}" name="MM.Mn_mean" dataDxfId="53"/>
    <tableColumn id="71" xr3:uid="{659FCD25-8510-48D2-BC5D-0A10E35DB953}" name="MM.Na_mean" dataDxfId="52"/>
    <tableColumn id="72" xr3:uid="{BCCFD6A2-E4B5-46F3-BA0D-2B695550151E}" name="MM.S_mean" dataDxfId="51"/>
    <tableColumn id="73" xr3:uid="{216E3BD5-6361-4879-9B21-F70D437B5476}" name="MM.Zn_mean" dataDxfId="50"/>
    <tableColumn id="74" xr3:uid="{57D412E6-F7CC-4980-8220-56DAA32BC6D7}" name="IP2TP_mean" dataDxfId="49"/>
    <tableColumn id="75" xr3:uid="{750D1554-4665-479D-B649-5BBDFD84AC00}" name="count_n_sd" dataDxfId="48"/>
    <tableColumn id="76" xr3:uid="{489D29D9-1598-4126-9A59-E3C3C645174C}" name="count_y_sd" dataDxfId="47"/>
    <tableColumn id="77" xr3:uid="{0A55BF77-659A-42CB-BD4E-6ED17E883EA9}" name="count_c_sd" dataDxfId="46"/>
    <tableColumn id="78" xr3:uid="{20B96003-08E3-4029-8EF2-E1ED7693D1A5}" name="count_h_sd" dataDxfId="45"/>
    <tableColumn id="79" xr3:uid="{E7A210E9-6AC7-47C8-8114-9B465D986FB0}" name="count_obs_sd" dataDxfId="44"/>
    <tableColumn id="80" xr3:uid="{186CEB99-5079-41EB-90A9-DACD2BA2398D}" name="last_yr_y_sd" dataDxfId="43"/>
    <tableColumn id="81" xr3:uid="{9E5A65D9-31E2-406A-BAAE-CCA31184A78D}" name="first_yr_n_sd" dataDxfId="42"/>
    <tableColumn id="82" xr3:uid="{00896964-4612-44C8-96DD-112E6D4D04C6}" name="last_yr_farmed_sd" dataDxfId="41"/>
    <tableColumn id="83" xr3:uid="{1BD8EB2B-3D8A-4239-87B7-5BB6AB9065EC}" name="smpl.yr_sd" dataDxfId="40"/>
    <tableColumn id="84" xr3:uid="{B36B4DAB-9CC8-4F16-B657-56673A929663}" name="BD_sd" dataDxfId="39"/>
    <tableColumn id="85" xr3:uid="{E908001A-7540-4774-B6C8-C59805FADADB}" name="MC60_sd" dataDxfId="38"/>
    <tableColumn id="86" xr3:uid="{D9F94F62-1CE4-48B6-997F-0EF13708D9B3}" name="WEPw_sd" dataDxfId="37"/>
    <tableColumn id="87" xr3:uid="{1E0FFC50-AD09-425E-95DD-9926B403390C}" name="TP.ign_sd" dataDxfId="36"/>
    <tableColumn id="88" xr3:uid="{4A016611-9F2C-4B64-ACEF-1B4CEC12E1F3}" name="HCl.Pi_sd" dataDxfId="35"/>
    <tableColumn id="89" xr3:uid="{C3516D76-6542-4793-B7F1-E8E9758E28B3}" name="HCl.Po_sd" dataDxfId="34"/>
    <tableColumn id="90" xr3:uid="{75901B98-F1D7-4271-BE7A-25EEB6985B10}" name="LOI_sd" dataDxfId="33"/>
    <tableColumn id="91" xr3:uid="{5A22A31F-6CE8-427E-A697-940353E1DA86}" name="Ox.P_sd" dataDxfId="32"/>
    <tableColumn id="92" xr3:uid="{AD2C1307-3CA4-4FDE-8CF8-E4CCBCA5AEE0}" name="Ox.Al_sd" dataDxfId="31"/>
    <tableColumn id="93" xr3:uid="{59C39137-2254-419E-AEF0-CA9A62C09D5E}" name="Ox.Fe_sd" dataDxfId="30"/>
    <tableColumn id="94" xr3:uid="{A03B0200-B9B6-492D-AF98-33669DB937E0}" name="Ox.Mn_sd" dataDxfId="29"/>
    <tableColumn id="95" xr3:uid="{18245C96-AE6F-4052-97FD-7CE846671B9F}" name="Ox.PSR_sd" dataDxfId="28"/>
    <tableColumn id="96" xr3:uid="{7019BB97-3043-4696-B87E-83A15282FE0D}" name="Ox.SPSC_sd" dataDxfId="27"/>
    <tableColumn id="97" xr3:uid="{F571FC94-582F-4005-AAA1-223019AFB1AA}" name="sand_sd" dataDxfId="26"/>
    <tableColumn id="98" xr3:uid="{D3B88D64-F1C7-4439-BDA4-ABB1A16A3E8C}" name="silt_sd" dataDxfId="25"/>
    <tableColumn id="99" xr3:uid="{C84D4D24-D2A4-4613-B203-A25C61E2BE27}" name="clay_sd" dataDxfId="24"/>
    <tableColumn id="100" xr3:uid="{721BDBD9-2BCE-44AF-885F-BA415EEB4F54}" name="fines_sd" dataDxfId="23"/>
    <tableColumn id="101" xr3:uid="{DBBC8727-C301-4A6B-B0AB-C7B22B14AE5F}" name="Ox.PSC_sd" dataDxfId="22"/>
    <tableColumn id="102" xr3:uid="{F8D9F9D4-47BF-44FA-A69E-0F4FB9E9BB73}" name="Ox.DPS_sd" dataDxfId="21"/>
    <tableColumn id="103" xr3:uid="{F103D65C-61D5-4D8C-ADF9-E023938F76F0}" name="Ox.P2Fe_sd" dataDxfId="20"/>
    <tableColumn id="104" xr3:uid="{04E1DF14-40AC-4939-B7F2-8539C9183EE7}" name="WFPS_sd" dataDxfId="19"/>
    <tableColumn id="105" xr3:uid="{DE867173-48EA-49A4-92AC-C8998AA82D77}" name="Ox.P2Al_sd" dataDxfId="18"/>
    <tableColumn id="106" xr3:uid="{2FA78FEF-951A-4C02-B216-A346AD8DF794}" name="Ox.Al2Fe_sd" dataDxfId="17"/>
    <tableColumn id="107" xr3:uid="{9DC65F35-EBD7-468F-B17B-6FB217ACE412}" name="HCl.PSR_sd" dataDxfId="16"/>
    <tableColumn id="108" xr3:uid="{A61F4C6D-62E0-4548-960A-05215F16E45F}" name="MM.P_sd" dataDxfId="15"/>
    <tableColumn id="109" xr3:uid="{D569CE08-73FD-44CF-90C9-A4E7CD13AD32}" name="MM.P.ICP_sd" dataDxfId="14"/>
    <tableColumn id="110" xr3:uid="{BBCB6104-9044-4D0A-8286-6EFA107BBD47}" name="MM.K_sd" dataDxfId="13"/>
    <tableColumn id="111" xr3:uid="{A1C6EB40-6DEC-458A-92E2-41B84479F213}" name="MM.Mg_sd" dataDxfId="12"/>
    <tableColumn id="112" xr3:uid="{73A6061D-5ED8-4EEA-A6FF-C341A56F1BA4}" name="MM.Ca_sd" dataDxfId="11"/>
    <tableColumn id="113" xr3:uid="{ED93E47E-F781-421D-97B9-6F84D0E4D133}" name="MM.Al_sd" dataDxfId="10"/>
    <tableColumn id="114" xr3:uid="{742CB311-289D-43BC-8008-A40A6B4F770E}" name="MM.B_sd" dataDxfId="9"/>
    <tableColumn id="115" xr3:uid="{5F116C74-BD88-4764-A7DB-3B41F537DD7F}" name="MM.Cu_sd" dataDxfId="8"/>
    <tableColumn id="116" xr3:uid="{5F2F2BC9-5AC2-4666-A817-DE4E2CE33E19}" name="MM.Fe_sd" dataDxfId="7"/>
    <tableColumn id="117" xr3:uid="{7F5BBC07-B9BE-4357-9682-7303B8A36F80}" name="MM.Mn_sd" dataDxfId="6"/>
    <tableColumn id="118" xr3:uid="{BE0C8C11-287F-4770-A99A-56C0157311B6}" name="MM.Na_sd" dataDxfId="5"/>
    <tableColumn id="119" xr3:uid="{BAADB573-2AAE-4D16-AC47-28D1BED328FE}" name="MM.S_sd" dataDxfId="4"/>
    <tableColumn id="120" xr3:uid="{F8E36E20-F5E5-44C0-9B59-AE1552C13456}" name="MM.Zn_sd" dataDxfId="3"/>
    <tableColumn id="121" xr3:uid="{C17BAADD-560F-4269-8B55-4CF73486E90A}" name="IP2TP_s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E21CE-EFDB-47D2-AE53-A15D796037A0}" name="Table1" displayName="Table1" ref="A1:DQ47" totalsRowShown="0" headerRowDxfId="295" dataDxfId="294">
  <autoFilter ref="A1:DQ47" xr:uid="{75DE21CE-EFDB-47D2-AE53-A15D796037A0}"/>
  <tableColumns count="121">
    <tableColumn id="1" xr3:uid="{EC6BBB86-D897-4446-A9EA-ADEAB739D43D}" name="site" dataDxfId="293"/>
    <tableColumn id="2" xr3:uid="{4608CE13-C647-4E8F-A316-7812EF9ED369}" name="plot" dataDxfId="292"/>
    <tableColumn id="3" xr3:uid="{7637CDD6-1BC9-4B79-93A6-BA4E1C493FA4}" name="treatment" dataDxfId="291"/>
    <tableColumn id="4" xr3:uid="{5574F58F-F4AA-4759-BC93-7B36EA29CBD7}" name="site.plot" dataDxfId="290"/>
    <tableColumn id="5" xr3:uid="{E83E8329-6E7C-48C3-B1AD-FFB5DE8E8120}" name="time.d_mean" dataDxfId="289"/>
    <tableColumn id="6" xr3:uid="{41383252-A4D3-40D5-B380-E95ED2CE7647}" name="SRP.mgl_mean" dataDxfId="288"/>
    <tableColumn id="7" xr3:uid="{5C6193E2-9D76-43DE-8FFC-7AE3DA5C7794}" name="DO.mgl_mean" dataDxfId="287"/>
    <tableColumn id="8" xr3:uid="{E8764B62-4C9E-496B-8C18-D7B6908FCCBD}" name="temp.C_mean" dataDxfId="286"/>
    <tableColumn id="9" xr3:uid="{78E519F2-C3B5-412D-9FA4-3E42CE7B75A4}" name="pH_mean" dataDxfId="285"/>
    <tableColumn id="10" xr3:uid="{B383DD9A-8B48-44FC-889B-EA6F363F400E}" name="ORP.mV_mean" dataDxfId="284"/>
    <tableColumn id="11" xr3:uid="{0F176611-92B5-4BE2-94AB-567C460A77B8}" name="SC.uScm_mean" dataDxfId="283"/>
    <tableColumn id="12" xr3:uid="{CE4FF49A-A39E-4310-8BB8-8E32DBE4E190}" name="time.d_sd" dataDxfId="282"/>
    <tableColumn id="13" xr3:uid="{33D91F99-2C41-4E2A-8431-EB62F2F8BEAE}" name="SRP.mgl_sd" dataDxfId="281"/>
    <tableColumn id="14" xr3:uid="{7ACE7FC9-77F0-44A7-8DFC-B4E23EB30E6D}" name="DO.mgl_sd" dataDxfId="280"/>
    <tableColumn id="15" xr3:uid="{8CB9A4B3-8901-4421-857B-8032DE0480C2}" name="temp.C_sd" dataDxfId="279"/>
    <tableColumn id="16" xr3:uid="{F7A7411D-C2F5-4E51-908A-DF66E913A239}" name="pH_sd" dataDxfId="278"/>
    <tableColumn id="17" xr3:uid="{44E7C60D-7D17-4549-AD1A-7A24EF21E199}" name="ORP.mV_sd" dataDxfId="277"/>
    <tableColumn id="18" xr3:uid="{3AA3ABAE-408E-474F-B24E-D443574DA908}" name="SC.uScm_sd" dataDxfId="276"/>
    <tableColumn id="19" xr3:uid="{6ECD3EC5-D727-4C8D-A89A-4A2B2A310098}" name="initSRP.mgl" dataDxfId="275"/>
    <tableColumn id="20" xr3:uid="{C8DBD676-F9BA-4046-89A3-1DE842ADDEE2}" name="days" dataDxfId="274"/>
    <tableColumn id="21" xr3:uid="{D9776B53-37FA-4369-93B2-549957FC6A3A}" name="SRPflux_mean" dataDxfId="273"/>
    <tableColumn id="22" xr3:uid="{F8E42C44-E7B8-46E4-8465-9DD254276439}" name="SRPflux_sd_hi" dataDxfId="272"/>
    <tableColumn id="23" xr3:uid="{3E2D62CF-103A-4C49-A2B4-3221D8C7A96E}" name="SRPflux_sd_lo" dataDxfId="271"/>
    <tableColumn id="24" xr3:uid="{967E50AD-F08F-4FEC-8134-BD78B115216F}" name="prior" dataDxfId="270"/>
    <tableColumn id="25" xr3:uid="{16EA5994-13FB-4EF5-BB91-562B5CB3859C}" name="YSF" dataDxfId="269"/>
    <tableColumn id="26" xr3:uid="{6B4D58E4-92EC-4E01-AD1B-23CE8AE3C7DA}" name="frac_farmed" dataDxfId="268"/>
    <tableColumn id="27" xr3:uid="{FBA6FFBC-8D67-486F-8BF6-4E5B6D0BEC0C}" name="farm_group" dataDxfId="267"/>
    <tableColumn id="28" xr3:uid="{DE5AC3C9-426E-4511-BFA3-C32A41847A00}" name="count_n_mean" dataDxfId="266"/>
    <tableColumn id="29" xr3:uid="{D61F9A04-F154-4945-AF49-3F88A86E0C4A}" name="count_y_mean" dataDxfId="265"/>
    <tableColumn id="30" xr3:uid="{7D9654EE-FFB3-4E1C-95B3-3F14572615DF}" name="count_c_mean" dataDxfId="264"/>
    <tableColumn id="31" xr3:uid="{10D1EB2F-FA2C-4D0A-BC75-136585A6F178}" name="count_h_mean" dataDxfId="263"/>
    <tableColumn id="32" xr3:uid="{616B0281-276E-4836-9FA1-2DBF789F97E0}" name="count_obs_mean" dataDxfId="262"/>
    <tableColumn id="33" xr3:uid="{90FDA7F5-CED5-4852-AC9F-0EA7D18D6F3F}" name="last_yr_y_mean" dataDxfId="261"/>
    <tableColumn id="34" xr3:uid="{9829F377-B17F-4823-B0FF-0D68599C7173}" name="first_yr_n_mean" dataDxfId="260"/>
    <tableColumn id="35" xr3:uid="{1E29A971-872C-4F09-BE2A-E72B430F7548}" name="last_yr_farmed_mean" dataDxfId="259"/>
    <tableColumn id="36" xr3:uid="{3C2000DE-AEF2-4481-8C13-E836631E6EFA}" name="smpl.yr_mean" dataDxfId="258"/>
    <tableColumn id="37" xr3:uid="{85F0DA39-7CE1-40B5-9C4D-94EEF244B7C6}" name="BD_mean" dataDxfId="257"/>
    <tableColumn id="38" xr3:uid="{A61AE2D8-B060-479E-8620-249D92CBC9E7}" name="MC60_mean" dataDxfId="256"/>
    <tableColumn id="39" xr3:uid="{7C34CCEA-4B46-4C01-B220-4E2B499EED91}" name="WEPw_mean" dataDxfId="255"/>
    <tableColumn id="40" xr3:uid="{F5C3CD44-36AD-4E6A-B41B-5DAB16D47407}" name="TP.ign_mean" dataDxfId="254"/>
    <tableColumn id="41" xr3:uid="{85ED5ED8-53DB-4112-A764-A947E1A7BE91}" name="HCl.Pi_mean" dataDxfId="253"/>
    <tableColumn id="42" xr3:uid="{E29E3CB7-82A1-4556-8140-8BF6AE7B9C04}" name="HCl.Po_mean" dataDxfId="252"/>
    <tableColumn id="43" xr3:uid="{2DCDC930-0087-4C7A-9C0D-97E85DED7B8B}" name="LOI_mean" dataDxfId="251"/>
    <tableColumn id="44" xr3:uid="{98322C77-49E1-401B-842D-AE1B2AB44994}" name="Ox.P_mean" dataDxfId="250"/>
    <tableColumn id="45" xr3:uid="{73F2F612-0A96-4454-9839-4A02D0F57FD4}" name="Ox.Al_mean" dataDxfId="249"/>
    <tableColumn id="46" xr3:uid="{D6DC5843-D084-4A67-8421-1FB3B05FEB75}" name="Ox.Fe_mean" dataDxfId="248"/>
    <tableColumn id="47" xr3:uid="{7D27FBED-B02D-4B21-A4F0-0425BEF960B9}" name="Ox.Mn_mean" dataDxfId="247"/>
    <tableColumn id="48" xr3:uid="{AFB5974F-4C7D-44A9-BD4A-8AA41316065B}" name="Ox.PSR_mean" dataDxfId="246"/>
    <tableColumn id="49" xr3:uid="{B3ADBF21-5D96-4E4C-A086-2E161BBD74D5}" name="Ox.SPSC_mean" dataDxfId="245"/>
    <tableColumn id="50" xr3:uid="{FA29236D-741D-4E1C-91E9-D26960C405A2}" name="sand_mean" dataDxfId="244"/>
    <tableColumn id="51" xr3:uid="{2577F3D2-27F9-4165-9BB1-00469A360340}" name="silt_mean" dataDxfId="243"/>
    <tableColumn id="52" xr3:uid="{ADCF9756-9E35-4504-8B9A-BF9EEE5126F9}" name="clay_mean" dataDxfId="242"/>
    <tableColumn id="53" xr3:uid="{3B019C9B-F2AC-484D-BFA2-4FF5CAE87C48}" name="fines_mean" dataDxfId="241"/>
    <tableColumn id="54" xr3:uid="{F1D63A03-454D-4C3D-B3F9-09CD79A7B1A6}" name="Ox.PSC_mean" dataDxfId="240"/>
    <tableColumn id="55" xr3:uid="{485E58B4-446E-4724-8093-DCB61C3CDFC4}" name="Ox.DPS_mean" dataDxfId="239"/>
    <tableColumn id="56" xr3:uid="{56BC49C7-1AD2-47F2-9A01-7727F4454071}" name="Ox.P2Fe_mean" dataDxfId="238"/>
    <tableColumn id="57" xr3:uid="{63FD0CE1-0D47-4258-A0A4-FAEFFF926AB2}" name="WFPS_mean" dataDxfId="237"/>
    <tableColumn id="58" xr3:uid="{024BEF3F-CA23-4CAB-A87F-1943A539F499}" name="Ox.P2Al_mean" dataDxfId="236"/>
    <tableColumn id="59" xr3:uid="{D8CE9D6F-0F71-4F14-AFA5-C00516B24C22}" name="Ox.Al2Fe_mean" dataDxfId="235"/>
    <tableColumn id="60" xr3:uid="{4B23E63B-AE42-48C6-BFBB-73567C5F360E}" name="HCl.PSR_mean" dataDxfId="234"/>
    <tableColumn id="61" xr3:uid="{3C3DE13D-824C-4163-A9A8-F61CBA192AFC}" name="MM.P_mean" dataDxfId="233"/>
    <tableColumn id="62" xr3:uid="{31055C94-9029-4CCB-92D3-C8FD85FDE230}" name="MM.P.ICP_mean" dataDxfId="232"/>
    <tableColumn id="63" xr3:uid="{E48828AE-FDBB-4A69-AB6B-BE062EDC8B3C}" name="MM.K_mean" dataDxfId="231"/>
    <tableColumn id="64" xr3:uid="{42A281FC-00D3-4959-8D2F-6CA10D32FFC5}" name="MM.Mg_mean" dataDxfId="230"/>
    <tableColumn id="65" xr3:uid="{6D54C2B9-78B1-4E32-AE6D-695F9B63B59D}" name="MM.Ca_mean" dataDxfId="229"/>
    <tableColumn id="66" xr3:uid="{89E6932A-96A5-4E3C-A3A0-FCA5AAA892CE}" name="MM.Al_mean" dataDxfId="228"/>
    <tableColumn id="67" xr3:uid="{B5F85AE5-0D71-4B57-86CC-168C4DC74875}" name="MM.B_mean" dataDxfId="227"/>
    <tableColumn id="68" xr3:uid="{83499B09-6D7F-4E65-82ED-2E025FADB20A}" name="MM.Cu_mean" dataDxfId="226"/>
    <tableColumn id="69" xr3:uid="{76E6BCFE-B7DE-4620-8DC3-42527C28C3E1}" name="MM.Fe_mean" dataDxfId="225"/>
    <tableColumn id="70" xr3:uid="{8F800718-BF56-4EE3-9643-35CFBCA1F4DC}" name="MM.Mn_mean" dataDxfId="224"/>
    <tableColumn id="71" xr3:uid="{AD947AFB-E44D-4109-A50C-2BFE74963E7D}" name="MM.Na_mean" dataDxfId="223"/>
    <tableColumn id="72" xr3:uid="{EBC7DA0A-0B44-43E0-B6D2-E7EC2AF58E48}" name="MM.S_mean" dataDxfId="222"/>
    <tableColumn id="73" xr3:uid="{48457F32-6B49-452A-B11B-62AD7E63D575}" name="MM.Zn_mean" dataDxfId="221"/>
    <tableColumn id="74" xr3:uid="{40262540-03F8-4968-BBEF-9EA4AD3414EA}" name="IP2TP_mean" dataDxfId="220"/>
    <tableColumn id="75" xr3:uid="{CBAC6850-58EC-45FC-B9ED-EB2CD21E510E}" name="count_n_sd" dataDxfId="219"/>
    <tableColumn id="76" xr3:uid="{4C53D288-1D25-4C70-8DE7-2D74DF98D09D}" name="count_y_sd" dataDxfId="218"/>
    <tableColumn id="77" xr3:uid="{A7A0E290-8FD0-4319-9735-9584066AE88F}" name="count_c_sd" dataDxfId="217"/>
    <tableColumn id="78" xr3:uid="{8D5A1B0C-72EB-43B1-B0C9-3CC4B6BC9221}" name="count_h_sd" dataDxfId="216"/>
    <tableColumn id="79" xr3:uid="{F187FBA4-C3E0-4E49-BAE4-1661FA0B0EFA}" name="count_obs_sd" dataDxfId="215"/>
    <tableColumn id="80" xr3:uid="{4CE4A2C6-B80F-490A-AE62-10641E8ED294}" name="last_yr_y_sd" dataDxfId="214"/>
    <tableColumn id="81" xr3:uid="{CAEFBCCC-1923-454D-942A-5D27F28F309A}" name="first_yr_n_sd" dataDxfId="213"/>
    <tableColumn id="82" xr3:uid="{DBCCA4DD-EAD6-4EDD-BF11-1BB10B808B31}" name="last_yr_farmed_sd" dataDxfId="212"/>
    <tableColumn id="83" xr3:uid="{FCE68324-CD7D-4D59-8E42-04EA3D56CFBD}" name="smpl.yr_sd" dataDxfId="211"/>
    <tableColumn id="84" xr3:uid="{05B2CAA4-1852-4335-AD48-465FB449E31B}" name="BD_sd" dataDxfId="210"/>
    <tableColumn id="85" xr3:uid="{417E3F9D-807B-497F-A8CB-077A9D8A08F7}" name="MC60_sd" dataDxfId="209"/>
    <tableColumn id="86" xr3:uid="{3325DC6E-4FBA-445E-B1B3-6294F104975F}" name="WEPw_sd" dataDxfId="208"/>
    <tableColumn id="87" xr3:uid="{6E9F375E-5785-4D71-AA63-754E782A5659}" name="TP.ign_sd" dataDxfId="207"/>
    <tableColumn id="88" xr3:uid="{070F223E-11E1-40D6-B036-C754241148B1}" name="HCl.Pi_sd" dataDxfId="206"/>
    <tableColumn id="89" xr3:uid="{F90445C6-9298-4C49-9C54-8AF3A9955655}" name="HCl.Po_sd" dataDxfId="205"/>
    <tableColumn id="90" xr3:uid="{943FB870-1D74-4682-9214-27E70C9CD238}" name="LOI_sd" dataDxfId="204"/>
    <tableColumn id="91" xr3:uid="{0955339E-0FF9-4D29-BA7E-5BE2F8A5B3EF}" name="Ox.P_sd" dataDxfId="203"/>
    <tableColumn id="92" xr3:uid="{8EFC1CE2-E1E7-463F-8C4D-364FF28F6767}" name="Ox.Al_sd" dataDxfId="202"/>
    <tableColumn id="93" xr3:uid="{20FF316E-8847-42D8-B7A9-CA05BA0B61D6}" name="Ox.Fe_sd" dataDxfId="201"/>
    <tableColumn id="94" xr3:uid="{997F85D0-CD5B-4954-BA9A-8448388FB967}" name="Ox.Mn_sd" dataDxfId="200"/>
    <tableColumn id="95" xr3:uid="{0AEA7389-6BF8-4B41-8E69-8DBFF673E432}" name="Ox.PSR_sd" dataDxfId="199"/>
    <tableColumn id="96" xr3:uid="{5D0FE54A-B16E-4CE7-A5C7-F58650ED45AE}" name="Ox.SPSC_sd" dataDxfId="198"/>
    <tableColumn id="97" xr3:uid="{19C332D5-50ED-4D40-B944-B0E585DC5802}" name="sand_sd" dataDxfId="197"/>
    <tableColumn id="98" xr3:uid="{524224A3-B843-4B49-9AB6-B35134DA4D81}" name="silt_sd" dataDxfId="196"/>
    <tableColumn id="99" xr3:uid="{A6E0B7CD-9122-47AB-85EA-837587C6E824}" name="clay_sd" dataDxfId="195"/>
    <tableColumn id="100" xr3:uid="{2BD80CF4-05E4-40ED-A470-EA742CAD045B}" name="fines_sd" dataDxfId="194"/>
    <tableColumn id="101" xr3:uid="{BC7C7945-1F8D-4C18-8BF9-033FC76EF8D4}" name="Ox.PSC_sd" dataDxfId="193"/>
    <tableColumn id="102" xr3:uid="{8A82BE78-DA97-4AE2-9E66-1704B0CBF90A}" name="Ox.DPS_sd" dataDxfId="192"/>
    <tableColumn id="103" xr3:uid="{1BB0A6E5-C13A-4330-91C4-5D89DBF84912}" name="Ox.P2Fe_sd" dataDxfId="191"/>
    <tableColumn id="104" xr3:uid="{83266A2C-40E3-4715-AB75-06D14A94F4E6}" name="WFPS_sd" dataDxfId="190"/>
    <tableColumn id="105" xr3:uid="{02551898-C7FA-4A7E-9EDF-5EB9EBAF3C13}" name="Ox.P2Al_sd" dataDxfId="189"/>
    <tableColumn id="106" xr3:uid="{6EABE89D-783F-4D61-B686-B14AAB063D29}" name="Ox.Al2Fe_sd" dataDxfId="188"/>
    <tableColumn id="107" xr3:uid="{83CB99AA-7C8C-4858-A957-F31F54F1B4A6}" name="HCl.PSR_sd" dataDxfId="187"/>
    <tableColumn id="108" xr3:uid="{82392615-B5A2-4224-87E8-B08771B6BED1}" name="MM.P_sd" dataDxfId="186"/>
    <tableColumn id="109" xr3:uid="{8F0AAAEC-62C7-4DED-86FF-BC3B42BF8069}" name="MM.P.ICP_sd" dataDxfId="185"/>
    <tableColumn id="110" xr3:uid="{4C4D5B40-0391-4AA3-937D-EC41B458F2A6}" name="MM.K_sd" dataDxfId="184"/>
    <tableColumn id="111" xr3:uid="{FE653A27-D3CB-4EFC-B778-8D42A9DB1D60}" name="MM.Mg_sd" dataDxfId="183"/>
    <tableColumn id="112" xr3:uid="{C403FDFA-F0F1-4C19-9692-4C192EC73EDE}" name="MM.Ca_sd" dataDxfId="182"/>
    <tableColumn id="113" xr3:uid="{980BF850-3CA1-4CB5-BBE5-90690F3AEBF0}" name="MM.Al_sd" dataDxfId="181"/>
    <tableColumn id="114" xr3:uid="{78040F5B-07A1-4240-B394-4E732E6E5159}" name="MM.B_sd" dataDxfId="180"/>
    <tableColumn id="115" xr3:uid="{25A0011C-3AEF-438E-AA32-013359B6F8C9}" name="MM.Cu_sd" dataDxfId="179"/>
    <tableColumn id="116" xr3:uid="{5EC92EB9-19D2-45C8-8D86-E5660A681BE3}" name="MM.Fe_sd" dataDxfId="178"/>
    <tableColumn id="117" xr3:uid="{CB503612-6FA2-42AA-A553-D9AF94F01353}" name="MM.Mn_sd" dataDxfId="177"/>
    <tableColumn id="118" xr3:uid="{1CA814FF-6652-4E5C-8162-F8AFABC6C393}" name="MM.Na_sd" dataDxfId="176"/>
    <tableColumn id="119" xr3:uid="{5E3EFCDF-2463-4780-8A8C-2B36B1FC4841}" name="MM.S_sd" dataDxfId="175"/>
    <tableColumn id="120" xr3:uid="{F14C1D90-EF63-4A7E-9F67-1105BEEFF432}" name="MM.Zn_sd" dataDxfId="174"/>
    <tableColumn id="121" xr3:uid="{84D28D99-5F78-4E15-9AAD-0549194B43AD}" name="IP2TP_sd" dataDxfId="17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21BE1-5321-45DC-AF84-3DC8C9F28E66}" name="Table2" displayName="Table2" ref="A1:W47" totalsRowShown="0">
  <autoFilter ref="A1:W47" xr:uid="{80D21BE1-5321-45DC-AF84-3DC8C9F28E66}"/>
  <tableColumns count="23">
    <tableColumn id="1" xr3:uid="{6FCD772D-BCCB-4F80-A520-2E4A3D5B6690}" name="site" dataDxfId="172"/>
    <tableColumn id="2" xr3:uid="{97013D26-8F87-4315-944D-62B268CD900C}" name="plot" dataDxfId="171"/>
    <tableColumn id="3" xr3:uid="{90C7F3C7-F1BA-4E9F-A6BC-610CB3677924}" name="treatment" dataDxfId="170"/>
    <tableColumn id="4" xr3:uid="{1EE1288A-0D2B-43A7-8807-CFC98748E038}" name="site.plot" dataDxfId="169"/>
    <tableColumn id="5" xr3:uid="{F62790DD-B4EF-4FAE-8D48-D4EE4D1FD9B9}" name="test_t_days">
      <calculatedColumnFormula>'df.IC.finalSRP.soil.0t10'!E2</calculatedColumnFormula>
    </tableColumn>
    <tableColumn id="6" xr3:uid="{B81E138E-ADAF-459D-931D-72C1A6A86FED}" name="test_t_yrs">
      <calculatedColumnFormula>E2/365</calculatedColumnFormula>
    </tableColumn>
    <tableColumn id="7" xr3:uid="{B61A73E1-0F87-4366-B68D-DDB372C09C55}" name="test_SRP_mgl_mean">
      <calculatedColumnFormula>'df.IC.finalSRP.soil.0t10'!F2</calculatedColumnFormula>
    </tableColumn>
    <tableColumn id="8" xr3:uid="{7E2CFC1D-E328-491E-9034-AF4A123CF628}" name="test_SRP_mgl_sd">
      <calculatedColumnFormula>'df.IC.finalSRP.soil.0t10'!M2</calculatedColumnFormula>
    </tableColumn>
    <tableColumn id="9" xr3:uid="{36EC86AA-BFA1-403B-8E0D-7F989BD45351}" name="k_TW">
      <calculatedColumnFormula>'df.IC.finalSRP.soil.0t10'!H2</calculatedColumnFormula>
    </tableColumn>
    <tableColumn id="10" xr3:uid="{EF28F0D1-7301-4BF0-91AA-0A79267A95FB}" name="k_TP">
      <calculatedColumnFormula>'df.IC.finalSRP.soil.0t10'!S2</calculatedColumnFormula>
    </tableColumn>
    <tableColumn id="11" xr3:uid="{F3FD646C-D640-4127-B4F2-FBF00253FAC8}" name="k_f_SRP">
      <calculatedColumnFormula>1</calculatedColumnFormula>
    </tableColumn>
    <tableColumn id="12" xr3:uid="{CB809472-24F0-4B8F-968A-2716E3237CF2}" name="k_TSS"/>
    <tableColumn id="13" xr3:uid="{25AD68A0-D245-468F-9B6E-E21DE4957A89}" name="k_shootM"/>
    <tableColumn id="14" xr3:uid="{B49AE081-9885-45CE-AC74-6A8F8FA43ED9}" name="k_rootM"/>
    <tableColumn id="15" xr3:uid="{2683DB7A-09BD-474E-AD74-CDB8708D78F5}" name="k_LOI">
      <calculatedColumnFormula>Table1[[#This Row],[LOI_mean]]</calculatedColumnFormula>
    </tableColumn>
    <tableColumn id="16" xr3:uid="{264DBDC2-E3B7-4ADD-AC0A-49EDA2743890}" name="k_LOI_sd" dataDxfId="168">
      <calculatedColumnFormula>Table1[[#This Row],[LOI_sd]]</calculatedColumnFormula>
    </tableColumn>
    <tableColumn id="17" xr3:uid="{2AAE7389-2705-4DEB-91F8-1FBE7406C95C}" name="k_Ex_max">
      <calculatedColumnFormula>31*(Table1[[#This Row],[Ox.Al_mean]]/27+Table1[[#This Row],[Ox.Fe_mean]]/56)/1000</calculatedColumnFormula>
    </tableColumn>
    <tableColumn id="18" xr3:uid="{4F45E94C-D9EC-4232-B4BA-125EFF829114}" name="k_Ex_max_sd">
      <calculatedColumnFormula>31*(Table1[[#This Row],[Ox.Al_sd]]/27+Table1[[#This Row],[Ox.Fe_sd]]/56)/1000</calculatedColumnFormula>
    </tableColumn>
    <tableColumn id="19" xr3:uid="{B0BA2A15-A8F0-4155-90A2-7585B2C6A53B}" name="k_PSR" dataDxfId="167">
      <calculatedColumnFormula>Table1[[#This Row],[Ox.PSR_mean]]</calculatedColumnFormula>
    </tableColumn>
    <tableColumn id="20" xr3:uid="{80D1EDC1-20C2-48D8-A91E-B28EEBA2135E}" name="k_PSR_sd"/>
    <tableColumn id="21" xr3:uid="{4C088B21-3280-4906-A659-89ACFFBE2AA3}" name="k_clay"/>
    <tableColumn id="22" xr3:uid="{B6A04EE7-400F-4B4C-ABE9-CECA91864C71}" name="k_f_fines"/>
    <tableColumn id="23" xr3:uid="{DEDBFB00-4641-43BE-9637-3B20BC21EAD7}" name="k_WEP_gm2" dataDxfId="166">
      <calculatedColumnFormula>Table1[[#This Row],[BD_mean]]*1000*Table1[[#This Row],[WEPw_mean]]/1000*0.1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158C39-12E2-40BE-9CE5-23A3942D3354}" name="Table36" displayName="Table36" ref="A1:AQ41" totalsRowShown="0">
  <autoFilter ref="A1:AQ41" xr:uid="{5438A718-52DF-4134-9DAA-13BB8C7E9364}">
    <filterColumn colId="2">
      <filters>
        <filter val="N2"/>
      </filters>
    </filterColumn>
  </autoFilter>
  <tableColumns count="43">
    <tableColumn id="1" xr3:uid="{1812E04B-C95C-496E-9324-5AD1345D6D78}" name="site"/>
    <tableColumn id="2" xr3:uid="{3B469D45-D5E1-43EA-8FDA-9AD23206632B}" name="plot"/>
    <tableColumn id="3" xr3:uid="{A0E86F25-DF65-49D1-B58B-AFD05ECBBCC4}" name="treatment"/>
    <tableColumn id="4" xr3:uid="{4885CA84-87A8-4305-B329-6DC5A82CF5E7}" name="site.plot"/>
    <tableColumn id="5" xr3:uid="{765E93D1-C0F9-4BED-8662-4AFBD720EE0C}" name="test_t_days"/>
    <tableColumn id="6" xr3:uid="{5F4EF3F8-BB50-4C12-97EA-539B7BE8D234}" name="test_t_yrs"/>
    <tableColumn id="7" xr3:uid="{159C88F0-F0FF-4073-963D-061A06F355E3}" name="test_SRP_mgl_mean"/>
    <tableColumn id="8" xr3:uid="{A065AD7C-C67C-490C-B951-0F52AD33B0BC}" name="test_SRP_mgl_sd"/>
    <tableColumn id="9" xr3:uid="{373ED6EB-B6A8-4A3E-B383-A52EC14D7BF3}" name="k_TW"/>
    <tableColumn id="10" xr3:uid="{E0E9969B-8A66-4DAD-9AD8-2A8222108E68}" name="k_TP"/>
    <tableColumn id="11" xr3:uid="{A9DDE762-AC91-41B0-8850-8F51422412F3}" name="k_f_SRP"/>
    <tableColumn id="12" xr3:uid="{FC54382E-5B07-4C08-A543-15E19138CAD7}" name="k_TSS"/>
    <tableColumn id="13" xr3:uid="{16CA1875-7F24-49A6-B48E-454A36C7293F}" name="k_shootM"/>
    <tableColumn id="14" xr3:uid="{D7D0219C-3212-4057-8DC1-1DD9AE7943C9}" name="k_rootM"/>
    <tableColumn id="43" xr3:uid="{A085AE5D-FCFE-48FB-BE11-88F69109ADA2}" name="BD_mean" dataDxfId="1"/>
    <tableColumn id="15" xr3:uid="{47E29E0F-BF8D-41A5-9048-36AA5DA6A3E9}" name="k_LOI"/>
    <tableColumn id="16" xr3:uid="{55D7D09C-5159-459C-B86C-94395532813F}" name="k_LOI_sd"/>
    <tableColumn id="17" xr3:uid="{288DF2CE-F919-432A-B4FB-6C6E1131D475}" name="k_Ex_max"/>
    <tableColumn id="18" xr3:uid="{8AFBD9F5-E891-43AB-BE6B-A06E262268B5}" name="k_Ex_max_sd"/>
    <tableColumn id="19" xr3:uid="{1E511F63-028A-4F59-A7D3-836928799A9A}" name="k_PSR"/>
    <tableColumn id="20" xr3:uid="{86B609EA-168B-4290-94B8-A3E6219BE49F}" name="k_PSR_sd"/>
    <tableColumn id="21" xr3:uid="{6306AF97-59E0-4872-9170-73BBE7966DE3}" name="k_clay"/>
    <tableColumn id="22" xr3:uid="{B4DBC670-578B-441E-B220-03893A7FF842}" name="k_f_fines"/>
    <tableColumn id="25" xr3:uid="{AB8B50B6-1849-41F0-8930-9EE288AA72E2}" name="k_Ex_max_modeled" dataDxfId="165">
      <calculatedColumnFormula>31*EXP(5.81244 + 0.25773*LN(Table36[[#This Row],[k_LOI]]) +
                   0.32107*LN((1-Table36[[#This Row],[k_LOI]])*Table36[[#This Row],[k_f_fines]]))/1000</calculatedColumnFormula>
    </tableColumn>
    <tableColumn id="41" xr3:uid="{279CD828-968A-4325-AC43-423097937BAC}" name="k_E" dataDxfId="164"/>
    <tableColumn id="35" xr3:uid="{E0971F17-9197-40CD-A92C-C55D810A7F32}" name="k_E_opt_measured" dataDxfId="163"/>
    <tableColumn id="38" xr3:uid="{C1C05878-8645-4CBA-82A7-08374DF2E754}" name="k_E_opt_modeled" dataDxfId="162"/>
    <tableColumn id="24" xr3:uid="{C0CC3419-F1B3-4821-A95E-E0BB24449937}" name="k_E_opt2" dataDxfId="161"/>
    <tableColumn id="42" xr3:uid="{1828D45B-09B5-4B6E-9708-922FA1CDE839}" name="k_E_opt22" dataDxfId="0">
      <calculatedColumnFormula>(((1-Table36[[#This Row],[k_PSR]])*Table36[[#This Row],[k_Ex_max]])/Table36[[#This Row],[k_PSR]])</calculatedColumnFormula>
    </tableColumn>
    <tableColumn id="23" xr3:uid="{AFF33385-11B5-4A36-9D36-F501D34EE726}" name="k_E_opt3" dataDxfId="125">
      <calculatedColumnFormula>((1-Table36[[#This Row],[k_PSR]])*Table36[[#This Row],[k_Ex_max]])</calculatedColumnFormula>
    </tableColumn>
    <tableColumn id="26" xr3:uid="{7241AD81-5FE4-440B-BBDF-A4AFE3E74D6E}" name="k_PIP2Ex" dataDxfId="160">
      <calculatedColumnFormula>IF(Table36[[#This Row],[treatment]]="O2",AY$2,AY$3)</calculatedColumnFormula>
    </tableColumn>
    <tableColumn id="27" xr3:uid="{5A5F5B32-74DC-4DE3-83AC-0AE6C47A10C4}" name="DIP_E" dataDxfId="159">
      <calculatedColumnFormula>(Table36[[#This Row],[k_Ex_max]]*Table36[[#This Row],[k_PSR]])/((Table36[[#This Row],[k_Ex_max]]-Table36[[#This Row],[k_PSR]]*Table36[[#This Row],[k_Ex_max]])*1.04)</calculatedColumnFormula>
    </tableColumn>
    <tableColumn id="36" xr3:uid="{11977BCC-EE53-41E5-8EEE-7B5EE4F94AB9}" name="DIP_E_measured_Ex_Max" dataDxfId="158">
      <calculatedColumnFormula>IF(Table36[[#This Row],[treatment]]="O2",AX$2*Table36[[#This Row],[k_E_opt3]]^(-AY$2),AX$3*Table36[[#This Row],[k_E_opt3]]^(-AY$3))</calculatedColumnFormula>
    </tableColumn>
    <tableColumn id="34" xr3:uid="{6E27516C-897C-407F-B7AD-EFA92B4D8994}" name="DIP_E_modeled_Ex_Max" dataDxfId="157">
      <calculatedColumnFormula>(Table36[[#This Row],[k_Ex_max_modeled]]*Table36[[#This Row],[k_PSR]])/((Table36[[#This Row],[k_Ex_max_modeled]]-Table36[[#This Row],[k_PSR]]*Table36[[#This Row],[k_Ex_max_modeled]]))</calculatedColumnFormula>
    </tableColumn>
    <tableColumn id="40" xr3:uid="{612C7848-AB89-49E2-8C08-9F4B207C3112}" name="res" dataDxfId="156">
      <calculatedColumnFormula>Table36[[#This Row],[test_SRP_mgl_mean]]-Table36[[#This Row],[DIP_E]]</calculatedColumnFormula>
    </tableColumn>
    <tableColumn id="39" xr3:uid="{621BC50F-B986-4372-96A8-B8639097AB10}" name="res_measured_Ex_max" dataDxfId="155">
      <calculatedColumnFormula>LOG(Table36[[#This Row],[test_SRP_mgl_mean]])-LOG(Table36[[#This Row],[DIP_E_measured_Ex_Max]])</calculatedColumnFormula>
    </tableColumn>
    <tableColumn id="37" xr3:uid="{B1587375-3659-4A27-A8DD-9EE8D91F049D}" name="res_modeled_exmax" dataDxfId="154">
      <calculatedColumnFormula>(G2-AH2)</calculatedColumnFormula>
    </tableColumn>
    <tableColumn id="32" xr3:uid="{B11B42ED-846D-4207-B017-8819E96E3A79}" name="absresid" dataDxfId="153">
      <calculatedColumnFormula>ABS(Table36[[#This Row],[res_measured_Ex_max]])</calculatedColumnFormula>
    </tableColumn>
    <tableColumn id="31" xr3:uid="{CA023E22-4D6A-4986-B335-D3AB0AD49BB2}" name="sqresid" dataDxfId="152">
      <calculatedColumnFormula>Table36[[#This Row],[res_measured_Ex_max]]^2</calculatedColumnFormula>
    </tableColumn>
    <tableColumn id="33" xr3:uid="{6A6863C0-0FA5-4AED-96E3-F6270224093B}" name="absres_cost" dataDxfId="151">
      <calculatedColumnFormula>Table36[[#This Row],[sqresid]]/((Table36[[#This Row],[DIP_E]]-AVERAGE(Table36[test_SRP_mgl_mean]))^2)</calculatedColumnFormula>
    </tableColumn>
    <tableColumn id="28" xr3:uid="{A4941C6D-B2DB-4D4A-80BD-CD837F172291}" name="sqres_cost" dataDxfId="150">
      <calculatedColumnFormula>Table36[[#This Row],[sqresid]]/LOG(Table36[[#This Row],[test_SRP_mgl_sd]]+1)</calculatedColumnFormula>
    </tableColumn>
    <tableColumn id="30" xr3:uid="{EBB72910-106E-4E3B-B37D-178EF5F4D718}" name="N2_SRP" dataDxfId="149">
      <calculatedColumnFormula array="1">IF(Table36[[#This Row],[treatment]]="O2",NA,Table36[[#This Row],[test_SRP_mgl_mean]])</calculatedColumnFormula>
    </tableColumn>
    <tableColumn id="29" xr3:uid="{8E11F5B4-C13B-48F4-9C65-643B3959FEC6}" name="N2_DIP_E" dataDxfId="148">
      <calculatedColumnFormula array="1">IF(Table36[[#This Row],[treatment]]="O2",NA,Table36[[#This Row],[DIP_E_measured_Ex_Max]])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17FBA0-8D31-4261-95CF-40AA97B34610}" name="Table47" displayName="Table47" ref="AX1:BA2" totalsRowShown="0">
  <autoFilter ref="AX1:BA2" xr:uid="{44AA031F-4B87-4521-9032-7572B9990A6E}"/>
  <tableColumns count="4">
    <tableColumn id="1" xr3:uid="{4F315F3C-CDEF-4F50-AF48-678440C1687E}" name="A"/>
    <tableColumn id="2" xr3:uid="{8E7D5E92-702A-4A3A-B6CB-8E3987AD1BB8}" name="B" dataDxfId="147"/>
    <tableColumn id="3" xr3:uid="{DA73E17B-8DB2-46FD-BBFC-14374A69B41C}" name="Treatment"/>
    <tableColumn id="4" xr3:uid="{00191486-BDFA-4719-AE9D-2536E3E26921}" name="k_psr_thres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38A718-52DF-4134-9DAA-13BB8C7E9364}" name="Table3" displayName="Table3" ref="A1:AO41" totalsRowShown="0">
  <autoFilter ref="A1:AO41" xr:uid="{5438A718-52DF-4134-9DAA-13BB8C7E9364}"/>
  <tableColumns count="41">
    <tableColumn id="1" xr3:uid="{C8FCD05A-4930-4EA3-97E2-75375F4FAA21}" name="site"/>
    <tableColumn id="2" xr3:uid="{EB1C70C5-485E-4A05-BEAA-2A48D5E9612C}" name="plot"/>
    <tableColumn id="3" xr3:uid="{B79A8AB0-2370-42AC-B148-1E9D5CFD35EA}" name="treatment"/>
    <tableColumn id="4" xr3:uid="{B222BC5A-3534-48FF-93E9-5D813382852B}" name="site.plot"/>
    <tableColumn id="5" xr3:uid="{0DD035F6-9765-4C23-A009-37CFF5263D03}" name="test_t_days"/>
    <tableColumn id="6" xr3:uid="{CF3A2C14-45B4-414A-B67D-5D14AF73F7C7}" name="test_t_yrs"/>
    <tableColumn id="7" xr3:uid="{D9D7CC02-BE52-4DB3-9954-BDE44F2E59FC}" name="test_SRP_mgl_mean"/>
    <tableColumn id="8" xr3:uid="{79DF893B-61AF-4F21-B2F7-757D2D5B4A54}" name="test_SRP_mgl_sd"/>
    <tableColumn id="9" xr3:uid="{0A4DC7FB-88AF-46ED-8DF5-8FC53CBBD451}" name="k_TW"/>
    <tableColumn id="10" xr3:uid="{8412FEEE-7A9E-40D4-995F-BD5A3382D900}" name="k_TP"/>
    <tableColumn id="11" xr3:uid="{C1433CBF-EA3E-49E0-A7AC-2B35ECEDEBCC}" name="k_f_SRP"/>
    <tableColumn id="12" xr3:uid="{DC14665C-AF3F-4EB5-A000-B2357B7ECE22}" name="k_TSS"/>
    <tableColumn id="13" xr3:uid="{286F3490-6EB8-4F14-BCC2-78B15E4EED0B}" name="k_shootM"/>
    <tableColumn id="14" xr3:uid="{82EFA6C0-8B49-49CC-BFC0-D50A35AA2375}" name="k_rootM"/>
    <tableColumn id="15" xr3:uid="{6F42FFFD-FB9E-4DCB-B864-E64B82BDD037}" name="k_LOI"/>
    <tableColumn id="16" xr3:uid="{DA3601E0-1FB9-4848-9A83-6FC51AE6CABF}" name="k_LOI_sd"/>
    <tableColumn id="17" xr3:uid="{10870072-0B3B-402A-A785-3C42A19874B0}" name="k_Ex_max"/>
    <tableColumn id="18" xr3:uid="{62AC423B-8B58-46AF-935C-BD309313F959}" name="k_Ex_max_sd"/>
    <tableColumn id="19" xr3:uid="{54B97AAC-222F-4B2E-9AE1-FE40771273E3}" name="k_PSR"/>
    <tableColumn id="20" xr3:uid="{58FCDA40-5A24-43C6-B750-587B39931258}" name="k_PSR_sd"/>
    <tableColumn id="21" xr3:uid="{173B8135-2DC3-4772-A829-3189E2C8B831}" name="k_clay"/>
    <tableColumn id="22" xr3:uid="{C8E22239-C917-4568-B22C-2B85AF6F9F4A}" name="k_f_fines"/>
    <tableColumn id="25" xr3:uid="{4CC60362-0257-4360-AE61-E6B81B747931}" name="k_Ex_max_modeled" dataDxfId="146">
      <calculatedColumnFormula>31*EXP(5.81244 + 0.25773*LN(Table3[[#This Row],[k_LOI]]) +
                   0.32107*LN((1-Table3[[#This Row],[k_LOI]])*Table3[[#This Row],[k_f_fines]]))/1000</calculatedColumnFormula>
    </tableColumn>
    <tableColumn id="41" xr3:uid="{63A1F755-43FB-4B2B-A7E3-7C4D42906913}" name="k_E" dataDxfId="145"/>
    <tableColumn id="35" xr3:uid="{53BC24B0-771B-466A-B38B-0B864531036B}" name="k_E_opt_measured" dataDxfId="144"/>
    <tableColumn id="38" xr3:uid="{029687E2-AA7E-427D-8E64-71CD2238DA49}" name="k_E_opt_modeled" dataDxfId="143"/>
    <tableColumn id="24" xr3:uid="{FBB9986E-7BE6-4B03-ACA3-9011583008C7}" name="k_E_opt2" dataDxfId="142"/>
    <tableColumn id="23" xr3:uid="{F1FE29D8-1D13-4FE8-A7D6-3839B8457C08}" name="k_E_opt3" dataDxfId="141">
      <calculatedColumnFormula>(Table3[[#This Row],[k_Ex_max]]-Table3[[#This Row],[k_Ex_max]]*Table3[[#This Row],[k_PSR]])/Table3[[#This Row],[k_PSR]]</calculatedColumnFormula>
    </tableColumn>
    <tableColumn id="26" xr3:uid="{07BA2F0B-6195-4C25-80F2-8F27D0D4E43D}" name="k_PIP2Ex" dataDxfId="140">
      <calculatedColumnFormula>IF(Table3[[#This Row],[treatment]]="O2",AW$2,AW$3)</calculatedColumnFormula>
    </tableColumn>
    <tableColumn id="27" xr3:uid="{69C46866-C322-4927-9D8A-D720C12E5D65}" name="DIP_E" dataDxfId="139">
      <calculatedColumnFormula>(Table3[[#This Row],[k_Ex_max]]*Table3[[#This Row],[k_PSR]])/((Table3[[#This Row],[k_Ex_max]]-Table3[[#This Row],[k_PSR]]*Table3[[#This Row],[k_Ex_max]])*1.04)</calculatedColumnFormula>
    </tableColumn>
    <tableColumn id="36" xr3:uid="{49AED01D-22A9-451A-9AD3-4A63BC4735AD}" name="DIP_E_measured_Ex_Max" dataDxfId="138">
      <calculatedColumnFormula>IF(Table3[[#This Row],[treatment]]="O2",AR5*Table3[[#This Row],[k_E_opt3]]^(-1.207),3.7103*Table3[[#This Row],[k_E_opt3]]^-0.898)</calculatedColumnFormula>
    </tableColumn>
    <tableColumn id="34" xr3:uid="{7D1DF4F1-D28F-473E-B161-8C2EF01701C9}" name="DIP_E_modeled_Ex_Max" dataDxfId="137">
      <calculatedColumnFormula>(Table3[[#This Row],[k_Ex_max_modeled]]*Table3[[#This Row],[k_PSR]])/((Table3[[#This Row],[k_Ex_max_modeled]]-Table3[[#This Row],[k_PSR]]*Table3[[#This Row],[k_Ex_max_modeled]]))</calculatedColumnFormula>
    </tableColumn>
    <tableColumn id="40" xr3:uid="{6E897748-B2EF-472C-B92F-AD074DE9300C}" name="res" dataDxfId="136">
      <calculatedColumnFormula>Table3[[#This Row],[test_SRP_mgl_mean]]-Table3[[#This Row],[DIP_E]]</calculatedColumnFormula>
    </tableColumn>
    <tableColumn id="39" xr3:uid="{687C88F1-F114-4D46-921E-8C545B1EF099}" name="res_measured_Ex_max" dataDxfId="135">
      <calculatedColumnFormula>(G2-AE2)</calculatedColumnFormula>
    </tableColumn>
    <tableColumn id="37" xr3:uid="{250EC647-79E0-43EE-9A1B-FB3E0DA58928}" name="res_modeled_exmax" dataDxfId="134">
      <calculatedColumnFormula>(G2-AF2)</calculatedColumnFormula>
    </tableColumn>
    <tableColumn id="32" xr3:uid="{4002DE7A-E2B4-448C-A0AA-03CC98429A29}" name="absresid" dataDxfId="133">
      <calculatedColumnFormula>ABS(Table3[[#This Row],[res_modeled_exmax]])</calculatedColumnFormula>
    </tableColumn>
    <tableColumn id="31" xr3:uid="{8FAE24FD-616A-44A7-9E01-256E5C8A0065}" name="sqresid" dataDxfId="132">
      <calculatedColumnFormula>Table3[[#This Row],[res_measured_Ex_max]]^2</calculatedColumnFormula>
    </tableColumn>
    <tableColumn id="33" xr3:uid="{161D5A91-EAD0-423F-A81F-47A22BA92D1F}" name="absres_cost" dataDxfId="131">
      <calculatedColumnFormula>Table3[[#This Row],[sqresid]]/((Table3[[#This Row],[DIP_E]]-AVERAGE(Table3[test_SRP_mgl_mean]))^2)</calculatedColumnFormula>
    </tableColumn>
    <tableColumn id="28" xr3:uid="{57867A56-FE5D-461F-8ABE-380047A0F3DC}" name="sqres_cost" dataDxfId="130">
      <calculatedColumnFormula>Table3[[#This Row],[sqresid]]/Table3[[#This Row],[test_SRP_mgl_sd]]</calculatedColumnFormula>
    </tableColumn>
    <tableColumn id="30" xr3:uid="{96D8E973-8371-4813-B644-847C78CCA774}" name="N2_SRP" dataDxfId="129">
      <calculatedColumnFormula array="1">IF(Table3[[#This Row],[treatment]]="O2",NA,Table3[[#This Row],[test_SRP_mgl_mean]])</calculatedColumnFormula>
    </tableColumn>
    <tableColumn id="29" xr3:uid="{21B45818-A8E7-4109-80A7-93C0172D968C}" name="N2_DIP_E" dataDxfId="128">
      <calculatedColumnFormula array="1">IF(Table3[[#This Row],[treatment]]="O2",NA,Table3[[#This Row],[DIP_E_measured_Ex_Max]])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A031F-4B87-4521-9032-7572B9990A6E}" name="Table4" displayName="Table4" ref="AV1:AY2" totalsRowShown="0">
  <autoFilter ref="AV1:AY2" xr:uid="{44AA031F-4B87-4521-9032-7572B9990A6E}"/>
  <tableColumns count="4">
    <tableColumn id="1" xr3:uid="{968430B0-00AB-4B5D-9892-9D2A267E6E7D}" name="k_E" dataDxfId="127"/>
    <tableColumn id="2" xr3:uid="{DBBFF441-B340-445C-8C63-A507B2C0CB04}" name="k_PIP2Ex" dataDxfId="126"/>
    <tableColumn id="3" xr3:uid="{6C68601F-A411-4B9C-B8F7-2A226445C1BE}" name="b"/>
    <tableColumn id="4" xr3:uid="{3C85C36D-35CF-4142-8A50-6CF81A6D4A0D}" name="k_psr_thre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98D-A4A2-4E1C-AD29-4781B53EE3D5}">
  <dimension ref="A1:DQ41"/>
  <sheetViews>
    <sheetView workbookViewId="0">
      <pane xSplit="4" ySplit="1" topLeftCell="AJ2" activePane="bottomRight" state="frozen"/>
      <selection pane="topRight" activeCell="E1" sqref="E1"/>
      <selection pane="bottomLeft" activeCell="A2" sqref="A2"/>
      <selection pane="bottomRight" activeCell="AK41" sqref="AK1:AK41"/>
    </sheetView>
  </sheetViews>
  <sheetFormatPr defaultRowHeight="13.8" x14ac:dyDescent="0.25"/>
  <cols>
    <col min="1" max="2" width="8.796875" style="1"/>
    <col min="3" max="3" width="10.8984375" style="1" customWidth="1"/>
    <col min="4" max="4" width="9.3984375" style="1" customWidth="1"/>
    <col min="5" max="5" width="13.5" style="1" customWidth="1"/>
    <col min="6" max="6" width="15.3984375" style="1" customWidth="1"/>
    <col min="7" max="7" width="14.59765625" style="1" customWidth="1"/>
    <col min="8" max="8" width="14.296875" style="1" customWidth="1"/>
    <col min="9" max="9" width="10.59765625" style="1" customWidth="1"/>
    <col min="10" max="10" width="15.19921875" style="1" customWidth="1"/>
    <col min="11" max="11" width="16.09765625" style="1" customWidth="1"/>
    <col min="12" max="12" width="10.796875" style="1" customWidth="1"/>
    <col min="13" max="13" width="12.69921875" style="1" customWidth="1"/>
    <col min="14" max="14" width="11.8984375" style="1" customWidth="1"/>
    <col min="15" max="15" width="11.59765625" style="1" customWidth="1"/>
    <col min="16" max="16" width="8.796875" style="1"/>
    <col min="17" max="17" width="12.5" style="1" customWidth="1"/>
    <col min="18" max="18" width="13.3984375" style="1" customWidth="1"/>
    <col min="19" max="19" width="12.5" style="1" customWidth="1"/>
    <col min="20" max="20" width="8.796875" style="1"/>
    <col min="21" max="21" width="14.8984375" style="1" customWidth="1"/>
    <col min="22" max="23" width="14.69921875" style="1" customWidth="1"/>
    <col min="24" max="25" width="8.796875" style="1"/>
    <col min="26" max="26" width="13" style="1" customWidth="1"/>
    <col min="27" max="27" width="12.69921875" style="1" customWidth="1"/>
    <col min="28" max="28" width="15.09765625" style="1" customWidth="1"/>
    <col min="29" max="30" width="15" style="1" customWidth="1"/>
    <col min="31" max="31" width="15.09765625" style="1" customWidth="1"/>
    <col min="32" max="32" width="17.09765625" style="1" customWidth="1"/>
    <col min="33" max="33" width="15.796875" style="1" customWidth="1"/>
    <col min="34" max="34" width="16.296875" style="1" customWidth="1"/>
    <col min="35" max="35" width="20.8984375" style="1" customWidth="1"/>
    <col min="36" max="36" width="14.59765625" style="1" customWidth="1"/>
    <col min="37" max="37" width="10.69921875" style="1" customWidth="1"/>
    <col min="38" max="38" width="13.09765625" style="1" customWidth="1"/>
    <col min="39" max="39" width="13.5" style="1" customWidth="1"/>
    <col min="40" max="40" width="13.59765625" style="1" customWidth="1"/>
    <col min="41" max="41" width="13.3984375" style="1" customWidth="1"/>
    <col min="42" max="42" width="14" style="1" customWidth="1"/>
    <col min="43" max="43" width="11.09765625" style="1" customWidth="1"/>
    <col min="44" max="44" width="12.19921875" style="1" customWidth="1"/>
    <col min="45" max="45" width="12.8984375" style="1" customWidth="1"/>
    <col min="46" max="46" width="13.19921875" style="1" customWidth="1"/>
    <col min="47" max="47" width="13.796875" style="1" customWidth="1"/>
    <col min="48" max="48" width="14.59765625" style="1" customWidth="1"/>
    <col min="49" max="49" width="15.8984375" style="1" customWidth="1"/>
    <col min="50" max="50" width="12.296875" style="1" customWidth="1"/>
    <col min="51" max="51" width="10.69921875" style="1" customWidth="1"/>
    <col min="52" max="52" width="11.69921875" style="1" customWidth="1"/>
    <col min="53" max="53" width="12.296875" style="1" customWidth="1"/>
    <col min="54" max="55" width="14.69921875" style="1" customWidth="1"/>
    <col min="56" max="56" width="15.296875" style="1" customWidth="1"/>
    <col min="57" max="57" width="13.296875" style="1" customWidth="1"/>
    <col min="58" max="58" width="15" style="1" customWidth="1"/>
    <col min="59" max="59" width="16" style="1" customWidth="1"/>
    <col min="60" max="60" width="15.296875" style="1" customWidth="1"/>
    <col min="61" max="61" width="13" style="1" customWidth="1"/>
    <col min="62" max="62" width="16.3984375" style="1" customWidth="1"/>
    <col min="63" max="63" width="13.19921875" style="1" customWidth="1"/>
    <col min="64" max="64" width="14.59765625" style="1" customWidth="1"/>
    <col min="65" max="65" width="14.19921875" style="1" customWidth="1"/>
    <col min="66" max="66" width="13.69921875" style="1" customWidth="1"/>
    <col min="67" max="67" width="13.09765625" style="1" customWidth="1"/>
    <col min="68" max="68" width="14.296875" style="1" customWidth="1"/>
    <col min="69" max="69" width="14" style="1" customWidth="1"/>
    <col min="70" max="70" width="14.59765625" style="1" customWidth="1"/>
    <col min="71" max="71" width="14.19921875" style="1" customWidth="1"/>
    <col min="72" max="72" width="13.09765625" style="1" customWidth="1"/>
    <col min="73" max="73" width="14.09765625" style="1" customWidth="1"/>
    <col min="74" max="74" width="13" style="1" customWidth="1"/>
    <col min="75" max="75" width="12.3984375" style="1" customWidth="1"/>
    <col min="76" max="77" width="12.296875" style="1" customWidth="1"/>
    <col min="78" max="78" width="12.3984375" style="1" customWidth="1"/>
    <col min="79" max="79" width="14.3984375" style="1" customWidth="1"/>
    <col min="80" max="80" width="13.09765625" style="1" customWidth="1"/>
    <col min="81" max="81" width="13.59765625" style="1" customWidth="1"/>
    <col min="82" max="82" width="18.19921875" style="1" customWidth="1"/>
    <col min="83" max="83" width="11.8984375" style="1" customWidth="1"/>
    <col min="84" max="84" width="8.796875" style="1"/>
    <col min="85" max="85" width="10.3984375" style="1" customWidth="1"/>
    <col min="86" max="86" width="10.796875" style="1" customWidth="1"/>
    <col min="87" max="87" width="10.8984375" style="1" customWidth="1"/>
    <col min="88" max="88" width="10.69921875" style="1" customWidth="1"/>
    <col min="89" max="89" width="11.296875" style="1" customWidth="1"/>
    <col min="90" max="90" width="8.796875" style="1"/>
    <col min="91" max="91" width="9.5" style="1" customWidth="1"/>
    <col min="92" max="92" width="10.19921875" style="1" customWidth="1"/>
    <col min="93" max="93" width="10.5" style="1" customWidth="1"/>
    <col min="94" max="94" width="11.09765625" style="1" customWidth="1"/>
    <col min="95" max="95" width="11.8984375" style="1" customWidth="1"/>
    <col min="96" max="96" width="13.19921875" style="1" customWidth="1"/>
    <col min="97" max="97" width="9.59765625" style="1" customWidth="1"/>
    <col min="98" max="98" width="8.796875" style="1"/>
    <col min="99" max="99" width="9" style="1" customWidth="1"/>
    <col min="100" max="100" width="9.59765625" style="1" customWidth="1"/>
    <col min="101" max="102" width="12" style="1" customWidth="1"/>
    <col min="103" max="103" width="12.59765625" style="1" customWidth="1"/>
    <col min="104" max="104" width="10.59765625" style="1" customWidth="1"/>
    <col min="105" max="105" width="12.296875" style="1" customWidth="1"/>
    <col min="106" max="106" width="13.296875" style="1" customWidth="1"/>
    <col min="107" max="107" width="12.59765625" style="1" customWidth="1"/>
    <col min="108" max="108" width="10.296875" style="1" customWidth="1"/>
    <col min="109" max="109" width="13.69921875" style="1" customWidth="1"/>
    <col min="110" max="110" width="10.5" style="1" customWidth="1"/>
    <col min="111" max="111" width="11.8984375" style="1" customWidth="1"/>
    <col min="112" max="112" width="11.5" style="1" customWidth="1"/>
    <col min="113" max="113" width="11" style="1" customWidth="1"/>
    <col min="114" max="114" width="10.3984375" style="1" customWidth="1"/>
    <col min="115" max="115" width="11.59765625" style="1" customWidth="1"/>
    <col min="116" max="116" width="11.296875" style="1" customWidth="1"/>
    <col min="117" max="117" width="11.8984375" style="1" customWidth="1"/>
    <col min="118" max="118" width="11.5" style="1" customWidth="1"/>
    <col min="119" max="119" width="10.3984375" style="1" customWidth="1"/>
    <col min="120" max="120" width="11.3984375" style="1" customWidth="1"/>
    <col min="121" max="121" width="10.296875" style="1" customWidth="1"/>
    <col min="122" max="16384" width="8.796875" style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</row>
    <row r="2" spans="1:12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>
        <v>11.2552083333333</v>
      </c>
      <c r="F2" s="1">
        <v>1.7717274999999999</v>
      </c>
      <c r="G2" s="1">
        <v>0.59166666666666601</v>
      </c>
      <c r="H2" s="1">
        <v>19.05</v>
      </c>
      <c r="I2" s="1">
        <v>7.9233333333333302</v>
      </c>
      <c r="J2" s="1" t="s">
        <v>31</v>
      </c>
      <c r="K2" s="1" t="s">
        <v>31</v>
      </c>
      <c r="L2" s="1">
        <v>0.57624977404189304</v>
      </c>
      <c r="M2" s="1">
        <v>0.45097233042338603</v>
      </c>
      <c r="N2" s="1">
        <v>0.17724747294860499</v>
      </c>
      <c r="O2" s="1">
        <v>5.47722557505173E-2</v>
      </c>
      <c r="P2" s="1">
        <v>0.13203534880225501</v>
      </c>
      <c r="Q2" s="1" t="s">
        <v>31</v>
      </c>
      <c r="R2" s="1" t="s">
        <v>31</v>
      </c>
      <c r="S2" s="1">
        <v>5.0000000000000001E-3</v>
      </c>
      <c r="T2" s="1">
        <v>0</v>
      </c>
      <c r="U2" s="1">
        <v>3.1393954650624702E-2</v>
      </c>
      <c r="V2" s="1">
        <v>3.94075305359824E-2</v>
      </c>
      <c r="W2" s="1">
        <v>2.3380378765266999E-2</v>
      </c>
      <c r="X2" s="1" t="s">
        <v>32</v>
      </c>
      <c r="Y2" s="1">
        <v>3.5250000000000901</v>
      </c>
      <c r="Z2" s="1">
        <v>0.81818181818181801</v>
      </c>
      <c r="AA2" s="1" t="s">
        <v>33</v>
      </c>
      <c r="AB2" s="1">
        <v>2</v>
      </c>
      <c r="AC2" s="1">
        <v>9</v>
      </c>
      <c r="AD2" s="1">
        <v>0</v>
      </c>
      <c r="AE2" s="1">
        <v>0</v>
      </c>
      <c r="AF2" s="1">
        <v>11</v>
      </c>
      <c r="AG2" s="1">
        <v>2018</v>
      </c>
      <c r="AH2" s="1">
        <v>1993</v>
      </c>
      <c r="AI2" s="1">
        <v>2018</v>
      </c>
      <c r="AJ2" s="1">
        <v>2021.5250000000001</v>
      </c>
      <c r="AK2" s="1">
        <v>0.95080188351666595</v>
      </c>
      <c r="AL2" s="1">
        <v>0.286661461854963</v>
      </c>
      <c r="AM2" s="1">
        <v>16.560427349985702</v>
      </c>
      <c r="AN2" s="1">
        <v>1874.5626483053099</v>
      </c>
      <c r="AO2" s="1">
        <v>1575.6038478897699</v>
      </c>
      <c r="AP2" s="1">
        <v>298.95880041553698</v>
      </c>
      <c r="AQ2" s="1">
        <v>8.3136596765579496E-2</v>
      </c>
      <c r="AR2" s="1">
        <v>1106.59621319912</v>
      </c>
      <c r="AS2" s="1">
        <v>1028.98692230647</v>
      </c>
      <c r="AT2" s="1">
        <v>2825.4242881657601</v>
      </c>
      <c r="AU2" s="1">
        <v>116.372118483487</v>
      </c>
      <c r="AV2" s="1">
        <v>0.40155622273952701</v>
      </c>
      <c r="AW2" s="1">
        <v>-516.31294159955996</v>
      </c>
      <c r="AX2" s="1">
        <v>50.966666666666598</v>
      </c>
      <c r="AY2" s="1">
        <v>44.9</v>
      </c>
      <c r="AZ2" s="1">
        <v>4.2</v>
      </c>
      <c r="BA2" s="1">
        <v>49.033333333333303</v>
      </c>
      <c r="BB2" s="1">
        <v>1372.75179441758</v>
      </c>
      <c r="BC2" s="1">
        <v>0.80311244547905303</v>
      </c>
      <c r="BD2" s="1">
        <v>0.70598000963797802</v>
      </c>
      <c r="BE2" s="1">
        <v>0.434821283244198</v>
      </c>
      <c r="BF2" s="1">
        <v>0.93186245428469106</v>
      </c>
      <c r="BG2" s="1">
        <v>0.75709158740080695</v>
      </c>
      <c r="BH2" s="1">
        <v>0.57767446859622196</v>
      </c>
      <c r="BI2" s="1">
        <v>54.967321217754296</v>
      </c>
      <c r="BJ2" s="1">
        <v>60.241121639940097</v>
      </c>
      <c r="BK2" s="1">
        <v>303.34272447886201</v>
      </c>
      <c r="BL2" s="1">
        <v>238.48342414734299</v>
      </c>
      <c r="BM2" s="1">
        <v>2300.79408464062</v>
      </c>
      <c r="BN2" s="1">
        <v>8.8411463166672792</v>
      </c>
      <c r="BO2" s="1">
        <v>0.53986291936071296</v>
      </c>
      <c r="BP2" s="1">
        <v>0.85541159448287396</v>
      </c>
      <c r="BQ2" s="1">
        <v>6.1195115082673501</v>
      </c>
      <c r="BR2" s="1">
        <v>5.39002413291084</v>
      </c>
      <c r="BS2" s="1">
        <v>9.2350157408107201</v>
      </c>
      <c r="BT2" s="1">
        <v>9.3521073219381403</v>
      </c>
      <c r="BU2" s="1">
        <v>3.3061213337066802</v>
      </c>
      <c r="BV2" s="1">
        <v>0.84121183860089999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0.186937824736954</v>
      </c>
      <c r="CG2" s="1">
        <v>3.9862778439119999E-2</v>
      </c>
      <c r="CH2" s="1">
        <v>3.3676275036124101</v>
      </c>
      <c r="CI2" s="1">
        <v>178.102967904053</v>
      </c>
      <c r="CJ2" s="1">
        <v>132.69468324851201</v>
      </c>
      <c r="CK2" s="1">
        <v>61.137014054304899</v>
      </c>
      <c r="CL2" s="1">
        <v>1.55090337472752E-2</v>
      </c>
      <c r="CM2" s="1">
        <v>188.583488715931</v>
      </c>
      <c r="CN2" s="1">
        <v>61.949889135115399</v>
      </c>
      <c r="CO2" s="1">
        <v>159.61337116882501</v>
      </c>
      <c r="CP2" s="1">
        <v>16.384154242781801</v>
      </c>
      <c r="CQ2" s="1">
        <v>4.5253726186215697E-2</v>
      </c>
      <c r="CR2" s="1">
        <v>156.99029164084001</v>
      </c>
      <c r="CS2" s="1">
        <v>2.4110855093366799</v>
      </c>
      <c r="CT2" s="1">
        <v>2.45560583156173</v>
      </c>
      <c r="CU2" s="1">
        <v>0.69282032302755103</v>
      </c>
      <c r="CV2" s="1">
        <v>2.4110855093366799</v>
      </c>
      <c r="CW2" s="1">
        <v>78.630196830213094</v>
      </c>
      <c r="CX2" s="1">
        <v>9.0507452372434002E-2</v>
      </c>
      <c r="CY2" s="1">
        <v>8.3994593677331503E-2</v>
      </c>
      <c r="CZ2" s="1">
        <v>6.2273937126737199E-2</v>
      </c>
      <c r="DA2" s="1">
        <v>9.8112004272291303E-2</v>
      </c>
      <c r="DB2" s="1">
        <v>1.6667015491705399E-2</v>
      </c>
      <c r="DC2" s="1">
        <v>1.7576202793282199E-2</v>
      </c>
      <c r="DD2" s="1">
        <v>8.0401113765234893</v>
      </c>
      <c r="DE2" s="1">
        <v>9.4842697600601706</v>
      </c>
      <c r="DF2" s="1">
        <v>29.356333669832299</v>
      </c>
      <c r="DG2" s="1">
        <v>17.739210773564299</v>
      </c>
      <c r="DH2" s="1">
        <v>445.70535825149</v>
      </c>
      <c r="DI2" s="1">
        <v>1.54884807843115</v>
      </c>
      <c r="DJ2" s="1">
        <v>2.3874572500221899E-2</v>
      </c>
      <c r="DK2" s="1">
        <v>0.196431758813502</v>
      </c>
      <c r="DL2" s="1">
        <v>0.82020036025651899</v>
      </c>
      <c r="DM2" s="1">
        <v>0.20841836670311301</v>
      </c>
      <c r="DN2" s="1">
        <v>2.85307004445017</v>
      </c>
      <c r="DO2" s="1">
        <v>2.5102325821133502</v>
      </c>
      <c r="DP2" s="1">
        <v>0.76119547304467605</v>
      </c>
      <c r="DQ2" s="1">
        <v>2.2544596886365901E-2</v>
      </c>
    </row>
    <row r="3" spans="1:121" x14ac:dyDescent="0.25">
      <c r="A3" s="1" t="s">
        <v>27</v>
      </c>
      <c r="B3" s="1" t="s">
        <v>28</v>
      </c>
      <c r="C3" s="1" t="s">
        <v>34</v>
      </c>
      <c r="D3" s="1" t="s">
        <v>30</v>
      </c>
      <c r="E3" s="1">
        <v>11.2552083333333</v>
      </c>
      <c r="F3" s="1">
        <v>2.0961466666666602</v>
      </c>
      <c r="G3" s="1">
        <v>2.875</v>
      </c>
      <c r="H3" s="1">
        <v>19.05</v>
      </c>
      <c r="I3" s="1">
        <v>7.7033333333333296</v>
      </c>
      <c r="J3" s="1" t="s">
        <v>31</v>
      </c>
      <c r="K3" s="1" t="s">
        <v>31</v>
      </c>
      <c r="L3" s="1">
        <v>0.57624977404189304</v>
      </c>
      <c r="M3" s="1">
        <v>0.55657211429128095</v>
      </c>
      <c r="N3" s="1">
        <v>0.65329166533792504</v>
      </c>
      <c r="O3" s="1">
        <v>5.47722557505173E-2</v>
      </c>
      <c r="P3" s="1">
        <v>4.1633319989322598E-2</v>
      </c>
      <c r="Q3" s="1" t="s">
        <v>31</v>
      </c>
      <c r="R3" s="1" t="s">
        <v>31</v>
      </c>
      <c r="S3" s="1">
        <v>5.0000000000000001E-3</v>
      </c>
      <c r="T3" s="1">
        <v>0</v>
      </c>
      <c r="U3" s="1">
        <v>3.7158737621471503E-2</v>
      </c>
      <c r="V3" s="1">
        <v>4.70487742659811E-2</v>
      </c>
      <c r="W3" s="1">
        <v>2.72687009769619E-2</v>
      </c>
      <c r="X3" s="1" t="s">
        <v>32</v>
      </c>
      <c r="Y3" s="1">
        <v>3.5250000000000901</v>
      </c>
      <c r="Z3" s="1">
        <v>0.81818181818181801</v>
      </c>
      <c r="AA3" s="1" t="s">
        <v>33</v>
      </c>
      <c r="AB3" s="1">
        <v>2</v>
      </c>
      <c r="AC3" s="1">
        <v>9</v>
      </c>
      <c r="AD3" s="1">
        <v>0</v>
      </c>
      <c r="AE3" s="1">
        <v>0</v>
      </c>
      <c r="AF3" s="1">
        <v>11</v>
      </c>
      <c r="AG3" s="1">
        <v>2018</v>
      </c>
      <c r="AH3" s="1">
        <v>1993</v>
      </c>
      <c r="AI3" s="1">
        <v>2018</v>
      </c>
      <c r="AJ3" s="1">
        <v>2021.5250000000001</v>
      </c>
      <c r="AK3" s="1">
        <v>0.95080188351666595</v>
      </c>
      <c r="AL3" s="1">
        <v>0.286661461854963</v>
      </c>
      <c r="AM3" s="1">
        <v>16.560427349985702</v>
      </c>
      <c r="AN3" s="1">
        <v>1874.5626483053099</v>
      </c>
      <c r="AO3" s="1">
        <v>1575.6038478897699</v>
      </c>
      <c r="AP3" s="1">
        <v>298.95880041553698</v>
      </c>
      <c r="AQ3" s="1">
        <v>8.3136596765579496E-2</v>
      </c>
      <c r="AR3" s="1">
        <v>1106.59621319912</v>
      </c>
      <c r="AS3" s="1">
        <v>1028.98692230647</v>
      </c>
      <c r="AT3" s="1">
        <v>2825.4242881657601</v>
      </c>
      <c r="AU3" s="1">
        <v>116.372118483487</v>
      </c>
      <c r="AV3" s="1">
        <v>0.40155622273952701</v>
      </c>
      <c r="AW3" s="1">
        <v>-516.31294159955996</v>
      </c>
      <c r="AX3" s="1">
        <v>50.966666666666598</v>
      </c>
      <c r="AY3" s="1">
        <v>44.9</v>
      </c>
      <c r="AZ3" s="1">
        <v>4.2</v>
      </c>
      <c r="BA3" s="1">
        <v>49.033333333333303</v>
      </c>
      <c r="BB3" s="1">
        <v>1372.75179441758</v>
      </c>
      <c r="BC3" s="1">
        <v>0.80311244547905303</v>
      </c>
      <c r="BD3" s="1">
        <v>0.70598000963797802</v>
      </c>
      <c r="BE3" s="1">
        <v>0.434821283244198</v>
      </c>
      <c r="BF3" s="1">
        <v>0.93186245428469106</v>
      </c>
      <c r="BG3" s="1">
        <v>0.75709158740080695</v>
      </c>
      <c r="BH3" s="1">
        <v>0.57767446859622196</v>
      </c>
      <c r="BI3" s="1">
        <v>54.967321217754296</v>
      </c>
      <c r="BJ3" s="1">
        <v>60.241121639940097</v>
      </c>
      <c r="BK3" s="1">
        <v>303.34272447886201</v>
      </c>
      <c r="BL3" s="1">
        <v>238.48342414734299</v>
      </c>
      <c r="BM3" s="1">
        <v>2300.79408464062</v>
      </c>
      <c r="BN3" s="1">
        <v>8.8411463166672792</v>
      </c>
      <c r="BO3" s="1">
        <v>0.53986291936071296</v>
      </c>
      <c r="BP3" s="1">
        <v>0.85541159448287396</v>
      </c>
      <c r="BQ3" s="1">
        <v>6.1195115082673501</v>
      </c>
      <c r="BR3" s="1">
        <v>5.39002413291084</v>
      </c>
      <c r="BS3" s="1">
        <v>9.2350157408107201</v>
      </c>
      <c r="BT3" s="1">
        <v>9.3521073219381403</v>
      </c>
      <c r="BU3" s="1">
        <v>3.3061213337066802</v>
      </c>
      <c r="BV3" s="1">
        <v>0.84121183860089999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0.186937824736954</v>
      </c>
      <c r="CG3" s="1">
        <v>3.9862778439119999E-2</v>
      </c>
      <c r="CH3" s="1">
        <v>3.3676275036124101</v>
      </c>
      <c r="CI3" s="1">
        <v>178.102967904053</v>
      </c>
      <c r="CJ3" s="1">
        <v>132.69468324851201</v>
      </c>
      <c r="CK3" s="1">
        <v>61.137014054304899</v>
      </c>
      <c r="CL3" s="1">
        <v>1.55090337472752E-2</v>
      </c>
      <c r="CM3" s="1">
        <v>188.583488715931</v>
      </c>
      <c r="CN3" s="1">
        <v>61.949889135115399</v>
      </c>
      <c r="CO3" s="1">
        <v>159.61337116882501</v>
      </c>
      <c r="CP3" s="1">
        <v>16.384154242781801</v>
      </c>
      <c r="CQ3" s="1">
        <v>4.5253726186215697E-2</v>
      </c>
      <c r="CR3" s="1">
        <v>156.99029164084001</v>
      </c>
      <c r="CS3" s="1">
        <v>2.4110855093366799</v>
      </c>
      <c r="CT3" s="1">
        <v>2.45560583156173</v>
      </c>
      <c r="CU3" s="1">
        <v>0.69282032302755103</v>
      </c>
      <c r="CV3" s="1">
        <v>2.4110855093366799</v>
      </c>
      <c r="CW3" s="1">
        <v>78.630196830213094</v>
      </c>
      <c r="CX3" s="1">
        <v>9.0507452372434002E-2</v>
      </c>
      <c r="CY3" s="1">
        <v>8.3994593677331503E-2</v>
      </c>
      <c r="CZ3" s="1">
        <v>6.2273937126737199E-2</v>
      </c>
      <c r="DA3" s="1">
        <v>9.8112004272291303E-2</v>
      </c>
      <c r="DB3" s="1">
        <v>1.6667015491705399E-2</v>
      </c>
      <c r="DC3" s="1">
        <v>1.7576202793282199E-2</v>
      </c>
      <c r="DD3" s="1">
        <v>8.0401113765234893</v>
      </c>
      <c r="DE3" s="1">
        <v>9.4842697600601706</v>
      </c>
      <c r="DF3" s="1">
        <v>29.356333669832299</v>
      </c>
      <c r="DG3" s="1">
        <v>17.739210773564299</v>
      </c>
      <c r="DH3" s="1">
        <v>445.70535825149</v>
      </c>
      <c r="DI3" s="1">
        <v>1.54884807843115</v>
      </c>
      <c r="DJ3" s="1">
        <v>2.3874572500221899E-2</v>
      </c>
      <c r="DK3" s="1">
        <v>0.196431758813502</v>
      </c>
      <c r="DL3" s="1">
        <v>0.82020036025651899</v>
      </c>
      <c r="DM3" s="1">
        <v>0.20841836670311301</v>
      </c>
      <c r="DN3" s="1">
        <v>2.85307004445017</v>
      </c>
      <c r="DO3" s="1">
        <v>2.5102325821133502</v>
      </c>
      <c r="DP3" s="1">
        <v>0.76119547304467605</v>
      </c>
      <c r="DQ3" s="1">
        <v>2.2544596886365901E-2</v>
      </c>
    </row>
    <row r="4" spans="1:121" x14ac:dyDescent="0.25">
      <c r="A4" s="1" t="s">
        <v>35</v>
      </c>
      <c r="B4" s="1">
        <v>2</v>
      </c>
      <c r="C4" s="1" t="s">
        <v>29</v>
      </c>
      <c r="D4" s="1" t="s">
        <v>36</v>
      </c>
      <c r="E4" s="1">
        <v>11.8541666666666</v>
      </c>
      <c r="F4" s="1">
        <v>0.68082666666666602</v>
      </c>
      <c r="G4" s="1">
        <v>0.56999999999999995</v>
      </c>
      <c r="H4" s="1">
        <v>20.933333333333302</v>
      </c>
      <c r="I4" s="1">
        <v>8.7733333333333299</v>
      </c>
      <c r="J4" s="1">
        <v>42.133333333333297</v>
      </c>
      <c r="K4" s="1">
        <v>408.33333333333297</v>
      </c>
      <c r="L4" s="1">
        <v>1.0041580220927999</v>
      </c>
      <c r="M4" s="1">
        <v>7.5725788922048703E-2</v>
      </c>
      <c r="N4" s="1">
        <v>0.27121946832777299</v>
      </c>
      <c r="O4" s="1">
        <v>0.25819888974716099</v>
      </c>
      <c r="P4" s="1">
        <v>3.5118845842842597E-2</v>
      </c>
      <c r="Q4" s="1">
        <v>92.404022278975106</v>
      </c>
      <c r="R4" s="1">
        <v>51.788447875306403</v>
      </c>
      <c r="S4" s="1">
        <v>5.0000000000000001E-3</v>
      </c>
      <c r="T4" s="1">
        <v>0</v>
      </c>
      <c r="U4" s="1">
        <v>1.14023479789103E-2</v>
      </c>
      <c r="V4" s="1">
        <v>1.2679971131198E-2</v>
      </c>
      <c r="W4" s="1">
        <v>1.0124724826622701E-2</v>
      </c>
      <c r="X4" s="1" t="s">
        <v>37</v>
      </c>
      <c r="Y4" s="1">
        <v>0</v>
      </c>
      <c r="Z4" s="1">
        <v>1</v>
      </c>
      <c r="AA4" s="1" t="s">
        <v>33</v>
      </c>
      <c r="AB4" s="1">
        <v>0</v>
      </c>
      <c r="AC4" s="1">
        <v>13</v>
      </c>
      <c r="AD4" s="1">
        <v>0</v>
      </c>
      <c r="AE4" s="1">
        <v>0</v>
      </c>
      <c r="AF4" s="1">
        <v>13</v>
      </c>
      <c r="AG4" s="1">
        <v>2020</v>
      </c>
      <c r="AH4" s="1" t="s">
        <v>31</v>
      </c>
      <c r="AI4" s="1">
        <v>2020</v>
      </c>
      <c r="AJ4" s="1">
        <v>2019.5833333333301</v>
      </c>
      <c r="AK4" s="1">
        <v>0.94280383248900601</v>
      </c>
      <c r="AL4" s="1">
        <v>0.13514069875426801</v>
      </c>
      <c r="AM4" s="1">
        <v>13.528444877776099</v>
      </c>
      <c r="AN4" s="1">
        <v>1508.5153684684899</v>
      </c>
      <c r="AO4" s="1">
        <v>1214.67987765319</v>
      </c>
      <c r="AP4" s="1">
        <v>293.83549081528503</v>
      </c>
      <c r="AQ4" s="1">
        <v>3.9469455401219197E-2</v>
      </c>
      <c r="AR4" s="1">
        <v>846.98785886077303</v>
      </c>
      <c r="AS4" s="1">
        <v>636.15147539048996</v>
      </c>
      <c r="AT4" s="1">
        <v>2374.1512617357898</v>
      </c>
      <c r="AU4" s="1">
        <v>241.90479011441499</v>
      </c>
      <c r="AV4" s="1">
        <v>0.415130085976957</v>
      </c>
      <c r="AW4" s="1">
        <v>-407.38629339753902</v>
      </c>
      <c r="AX4" s="1">
        <v>53.329999999999899</v>
      </c>
      <c r="AY4" s="1">
        <v>40.42</v>
      </c>
      <c r="AZ4" s="1">
        <v>6.25</v>
      </c>
      <c r="BA4" s="1">
        <v>46.670000000000101</v>
      </c>
      <c r="BB4" s="1">
        <v>1022.32922200752</v>
      </c>
      <c r="BC4" s="1">
        <v>0.830260171953913</v>
      </c>
      <c r="BD4" s="1">
        <v>0.64618996314503796</v>
      </c>
      <c r="BE4" s="1">
        <v>0.19968560277943401</v>
      </c>
      <c r="BF4" s="1">
        <v>1.1618589998205799</v>
      </c>
      <c r="BG4" s="1">
        <v>0.55663214009127604</v>
      </c>
      <c r="BH4" s="1">
        <v>0.59677719779118199</v>
      </c>
      <c r="BI4" s="1">
        <v>214.864285501724</v>
      </c>
      <c r="BJ4" s="1">
        <v>215.264071221058</v>
      </c>
      <c r="BK4" s="1">
        <v>236.66207187574699</v>
      </c>
      <c r="BL4" s="1">
        <v>123.820570646344</v>
      </c>
      <c r="BM4" s="1">
        <v>2455.3859884387698</v>
      </c>
      <c r="BN4" s="1">
        <v>4.4890000111594803</v>
      </c>
      <c r="BO4" s="1">
        <v>0.36971428624568903</v>
      </c>
      <c r="BP4" s="1">
        <v>0.403285717474136</v>
      </c>
      <c r="BQ4" s="1">
        <v>2.6208571412629298</v>
      </c>
      <c r="BR4" s="1">
        <v>11.0703571468426</v>
      </c>
      <c r="BS4" s="1">
        <v>17.932285524043099</v>
      </c>
      <c r="BT4" s="1">
        <v>33.041356596308297</v>
      </c>
      <c r="BU4" s="1">
        <v>2.9610000074396399</v>
      </c>
      <c r="BV4" s="1">
        <v>0.80723511276970705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31</v>
      </c>
      <c r="CD4" s="1">
        <v>0</v>
      </c>
      <c r="CE4" s="1">
        <v>0</v>
      </c>
      <c r="CF4" s="1">
        <v>1.67843667165068E-2</v>
      </c>
      <c r="CG4" s="1">
        <v>4.8207647651696203E-2</v>
      </c>
      <c r="CH4" s="1">
        <v>2.10939097751465</v>
      </c>
      <c r="CI4" s="1">
        <v>108.117899378685</v>
      </c>
      <c r="CJ4" s="1">
        <v>28.2125616906525</v>
      </c>
      <c r="CK4" s="1">
        <v>85.039533642008195</v>
      </c>
      <c r="CL4" s="1">
        <v>3.1123844498527399E-3</v>
      </c>
      <c r="CM4" s="1">
        <v>46.610516714531897</v>
      </c>
      <c r="CN4" s="1">
        <v>43.180090068808603</v>
      </c>
      <c r="CO4" s="1">
        <v>206.096083410858</v>
      </c>
      <c r="CP4" s="1">
        <v>9.4241827037200796</v>
      </c>
      <c r="CQ4" s="1">
        <v>1.5278796833423701E-2</v>
      </c>
      <c r="CR4" s="1">
        <v>21.6609840779564</v>
      </c>
      <c r="CS4" s="1">
        <v>0</v>
      </c>
      <c r="CT4" s="1">
        <v>0</v>
      </c>
      <c r="CU4" s="1">
        <v>0</v>
      </c>
      <c r="CV4" s="1">
        <v>0</v>
      </c>
      <c r="CW4" s="1">
        <v>81.7812386737357</v>
      </c>
      <c r="CX4" s="1">
        <v>3.0557593666847599E-2</v>
      </c>
      <c r="CY4" s="1">
        <v>2.73425977984087E-2</v>
      </c>
      <c r="CZ4" s="1">
        <v>7.706968243831E-2</v>
      </c>
      <c r="DA4" s="1">
        <v>3.4873576937810902E-2</v>
      </c>
      <c r="DB4" s="1">
        <v>1.2167479694564901E-2</v>
      </c>
      <c r="DC4" s="1">
        <v>4.7294092595740599E-2</v>
      </c>
      <c r="DD4" s="1">
        <v>0.19688985991122099</v>
      </c>
      <c r="DE4" s="1">
        <v>0.192213725738347</v>
      </c>
      <c r="DF4" s="1">
        <v>0.41420704278820702</v>
      </c>
      <c r="DG4" s="1">
        <v>0.72455468447330496</v>
      </c>
      <c r="DH4" s="1">
        <v>10.7088394805708</v>
      </c>
      <c r="DI4" s="1">
        <v>1.03367176453385E-2</v>
      </c>
      <c r="DJ4" s="2">
        <v>4.9222464977802401E-4</v>
      </c>
      <c r="DK4" s="1">
        <v>2.9533478986681501E-3</v>
      </c>
      <c r="DL4" s="1">
        <v>1.4766739493342099E-3</v>
      </c>
      <c r="DM4" s="1">
        <v>3.6916848733347298E-3</v>
      </c>
      <c r="DN4" s="1">
        <v>0.17621642462053499</v>
      </c>
      <c r="DO4" s="1">
        <v>0.50625305229670603</v>
      </c>
      <c r="DP4" s="1">
        <v>6.8911450968929203E-3</v>
      </c>
      <c r="DQ4" s="1">
        <v>4.3738004950293598E-2</v>
      </c>
    </row>
    <row r="5" spans="1:121" x14ac:dyDescent="0.25">
      <c r="A5" s="1" t="s">
        <v>35</v>
      </c>
      <c r="B5" s="1">
        <v>2</v>
      </c>
      <c r="C5" s="1" t="s">
        <v>34</v>
      </c>
      <c r="D5" s="1" t="s">
        <v>36</v>
      </c>
      <c r="E5" s="1">
        <v>11.8541666666666</v>
      </c>
      <c r="F5" s="1">
        <v>0.63131816666666596</v>
      </c>
      <c r="G5" s="1">
        <v>7.2666666666666604</v>
      </c>
      <c r="H5" s="1">
        <v>20.9</v>
      </c>
      <c r="I5" s="1">
        <v>8.1866666666666603</v>
      </c>
      <c r="J5" s="1">
        <v>251.433333333333</v>
      </c>
      <c r="K5" s="1">
        <v>480.96666666666601</v>
      </c>
      <c r="L5" s="1">
        <v>1.0041580220927999</v>
      </c>
      <c r="M5" s="1">
        <v>0.21465677147895099</v>
      </c>
      <c r="N5" s="1">
        <v>0.81845382683854895</v>
      </c>
      <c r="O5" s="1">
        <v>0.21908902300206701</v>
      </c>
      <c r="P5" s="1">
        <v>3.7859388972002E-2</v>
      </c>
      <c r="Q5" s="1">
        <v>0.55075705472860403</v>
      </c>
      <c r="R5" s="1">
        <v>37.364466185579701</v>
      </c>
      <c r="S5" s="1">
        <v>5.0000000000000001E-3</v>
      </c>
      <c r="T5" s="1">
        <v>0</v>
      </c>
      <c r="U5" s="1">
        <v>1.0567055184534199E-2</v>
      </c>
      <c r="V5" s="1">
        <v>1.41886808544779E-2</v>
      </c>
      <c r="W5" s="1">
        <v>6.9454295145906196E-3</v>
      </c>
      <c r="X5" s="1" t="s">
        <v>37</v>
      </c>
      <c r="Y5" s="1">
        <v>0</v>
      </c>
      <c r="Z5" s="1">
        <v>1</v>
      </c>
      <c r="AA5" s="1" t="s">
        <v>33</v>
      </c>
      <c r="AB5" s="1">
        <v>0</v>
      </c>
      <c r="AC5" s="1">
        <v>13</v>
      </c>
      <c r="AD5" s="1">
        <v>0</v>
      </c>
      <c r="AE5" s="1">
        <v>0</v>
      </c>
      <c r="AF5" s="1">
        <v>13</v>
      </c>
      <c r="AG5" s="1">
        <v>2020</v>
      </c>
      <c r="AH5" s="1" t="s">
        <v>31</v>
      </c>
      <c r="AI5" s="1">
        <v>2020</v>
      </c>
      <c r="AJ5" s="1">
        <v>2019.5833333333301</v>
      </c>
      <c r="AK5" s="1">
        <v>0.94280383248900601</v>
      </c>
      <c r="AL5" s="1">
        <v>0.13514069875426801</v>
      </c>
      <c r="AM5" s="1">
        <v>13.528444877776099</v>
      </c>
      <c r="AN5" s="1">
        <v>1508.5153684684899</v>
      </c>
      <c r="AO5" s="1">
        <v>1214.67987765319</v>
      </c>
      <c r="AP5" s="1">
        <v>293.83549081528503</v>
      </c>
      <c r="AQ5" s="1">
        <v>3.9469455401219197E-2</v>
      </c>
      <c r="AR5" s="1">
        <v>846.98785886077303</v>
      </c>
      <c r="AS5" s="1">
        <v>636.15147539048996</v>
      </c>
      <c r="AT5" s="1">
        <v>2374.1512617357898</v>
      </c>
      <c r="AU5" s="1">
        <v>241.90479011441499</v>
      </c>
      <c r="AV5" s="1">
        <v>0.415130085976957</v>
      </c>
      <c r="AW5" s="1">
        <v>-407.38629339753902</v>
      </c>
      <c r="AX5" s="1">
        <v>53.329999999999899</v>
      </c>
      <c r="AY5" s="1">
        <v>40.42</v>
      </c>
      <c r="AZ5" s="1">
        <v>6.25</v>
      </c>
      <c r="BA5" s="1">
        <v>46.670000000000101</v>
      </c>
      <c r="BB5" s="1">
        <v>1022.32922200752</v>
      </c>
      <c r="BC5" s="1">
        <v>0.830260171953913</v>
      </c>
      <c r="BD5" s="1">
        <v>0.64618996314503796</v>
      </c>
      <c r="BE5" s="1">
        <v>0.19968560277943401</v>
      </c>
      <c r="BF5" s="1">
        <v>1.1618589998205799</v>
      </c>
      <c r="BG5" s="1">
        <v>0.55663214009127604</v>
      </c>
      <c r="BH5" s="1">
        <v>0.59677719779118199</v>
      </c>
      <c r="BI5" s="1">
        <v>214.864285501724</v>
      </c>
      <c r="BJ5" s="1">
        <v>215.264071221058</v>
      </c>
      <c r="BK5" s="1">
        <v>236.66207187574699</v>
      </c>
      <c r="BL5" s="1">
        <v>123.820570646344</v>
      </c>
      <c r="BM5" s="1">
        <v>2455.3859884387698</v>
      </c>
      <c r="BN5" s="1">
        <v>4.4890000111594803</v>
      </c>
      <c r="BO5" s="1">
        <v>0.36971428624568903</v>
      </c>
      <c r="BP5" s="1">
        <v>0.403285717474136</v>
      </c>
      <c r="BQ5" s="1">
        <v>2.6208571412629298</v>
      </c>
      <c r="BR5" s="1">
        <v>11.0703571468426</v>
      </c>
      <c r="BS5" s="1">
        <v>17.932285524043099</v>
      </c>
      <c r="BT5" s="1">
        <v>33.041356596308297</v>
      </c>
      <c r="BU5" s="1">
        <v>2.9610000074396399</v>
      </c>
      <c r="BV5" s="1">
        <v>0.80723511276970705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 t="s">
        <v>31</v>
      </c>
      <c r="CD5" s="1">
        <v>0</v>
      </c>
      <c r="CE5" s="1">
        <v>0</v>
      </c>
      <c r="CF5" s="1">
        <v>1.67843667165068E-2</v>
      </c>
      <c r="CG5" s="1">
        <v>4.8207647651696203E-2</v>
      </c>
      <c r="CH5" s="1">
        <v>2.10939097751465</v>
      </c>
      <c r="CI5" s="1">
        <v>108.117899378685</v>
      </c>
      <c r="CJ5" s="1">
        <v>28.2125616906525</v>
      </c>
      <c r="CK5" s="1">
        <v>85.039533642008195</v>
      </c>
      <c r="CL5" s="1">
        <v>3.1123844498527399E-3</v>
      </c>
      <c r="CM5" s="1">
        <v>46.610516714531897</v>
      </c>
      <c r="CN5" s="1">
        <v>43.180090068808603</v>
      </c>
      <c r="CO5" s="1">
        <v>206.096083410858</v>
      </c>
      <c r="CP5" s="1">
        <v>9.4241827037200796</v>
      </c>
      <c r="CQ5" s="1">
        <v>1.5278796833423701E-2</v>
      </c>
      <c r="CR5" s="1">
        <v>21.6609840779564</v>
      </c>
      <c r="CS5" s="1">
        <v>0</v>
      </c>
      <c r="CT5" s="1">
        <v>0</v>
      </c>
      <c r="CU5" s="1">
        <v>0</v>
      </c>
      <c r="CV5" s="1">
        <v>0</v>
      </c>
      <c r="CW5" s="1">
        <v>81.7812386737357</v>
      </c>
      <c r="CX5" s="1">
        <v>3.0557593666847599E-2</v>
      </c>
      <c r="CY5" s="1">
        <v>2.73425977984087E-2</v>
      </c>
      <c r="CZ5" s="1">
        <v>7.706968243831E-2</v>
      </c>
      <c r="DA5" s="1">
        <v>3.4873576937810902E-2</v>
      </c>
      <c r="DB5" s="1">
        <v>1.2167479694564901E-2</v>
      </c>
      <c r="DC5" s="1">
        <v>4.7294092595740599E-2</v>
      </c>
      <c r="DD5" s="1">
        <v>0.19688985991122099</v>
      </c>
      <c r="DE5" s="1">
        <v>0.192213725738347</v>
      </c>
      <c r="DF5" s="1">
        <v>0.41420704278820702</v>
      </c>
      <c r="DG5" s="1">
        <v>0.72455468447330496</v>
      </c>
      <c r="DH5" s="1">
        <v>10.7088394805708</v>
      </c>
      <c r="DI5" s="1">
        <v>1.03367176453385E-2</v>
      </c>
      <c r="DJ5" s="2">
        <v>4.9222464977802401E-4</v>
      </c>
      <c r="DK5" s="1">
        <v>2.9533478986681501E-3</v>
      </c>
      <c r="DL5" s="1">
        <v>1.4766739493342099E-3</v>
      </c>
      <c r="DM5" s="1">
        <v>3.6916848733347298E-3</v>
      </c>
      <c r="DN5" s="1">
        <v>0.17621642462053499</v>
      </c>
      <c r="DO5" s="1">
        <v>0.50625305229670603</v>
      </c>
      <c r="DP5" s="1">
        <v>6.8911450968929203E-3</v>
      </c>
      <c r="DQ5" s="1">
        <v>4.3738004950293598E-2</v>
      </c>
    </row>
    <row r="6" spans="1:121" x14ac:dyDescent="0.25">
      <c r="A6" s="1" t="s">
        <v>35</v>
      </c>
      <c r="B6" s="1" t="s">
        <v>28</v>
      </c>
      <c r="C6" s="1" t="s">
        <v>29</v>
      </c>
      <c r="D6" s="1" t="s">
        <v>38</v>
      </c>
      <c r="E6" s="1">
        <v>11.283333333333299</v>
      </c>
      <c r="F6" s="1">
        <v>8.0335199999999996E-2</v>
      </c>
      <c r="G6" s="1">
        <v>0.56599999999999995</v>
      </c>
      <c r="H6" s="1">
        <v>20.22</v>
      </c>
      <c r="I6" s="1">
        <v>7.4980000000000002</v>
      </c>
      <c r="J6" s="1" t="s">
        <v>31</v>
      </c>
      <c r="K6" s="1" t="s">
        <v>31</v>
      </c>
      <c r="L6" s="1">
        <v>0.54962437194094704</v>
      </c>
      <c r="M6" s="1">
        <v>2.68992356712974E-2</v>
      </c>
      <c r="N6" s="1">
        <v>0.13612494260788499</v>
      </c>
      <c r="O6" s="1">
        <v>0.109544511501032</v>
      </c>
      <c r="P6" s="1">
        <v>0.33003030163910702</v>
      </c>
      <c r="Q6" s="1" t="s">
        <v>31</v>
      </c>
      <c r="R6" s="1" t="s">
        <v>31</v>
      </c>
      <c r="S6" s="1">
        <v>5.0000000000000001E-3</v>
      </c>
      <c r="T6" s="1">
        <v>0</v>
      </c>
      <c r="U6" s="1">
        <v>1.33533589364844E-3</v>
      </c>
      <c r="V6" s="1">
        <v>1.81213179919581E-3</v>
      </c>
      <c r="W6" s="2">
        <v>8.58539988101079E-4</v>
      </c>
      <c r="X6" s="1" t="s">
        <v>37</v>
      </c>
      <c r="Y6" s="1">
        <v>9.4472222222222992</v>
      </c>
      <c r="Z6" s="1">
        <v>0.58333333333333304</v>
      </c>
      <c r="AA6" s="1" t="s">
        <v>39</v>
      </c>
      <c r="AB6" s="1">
        <v>5</v>
      </c>
      <c r="AC6" s="1">
        <v>7</v>
      </c>
      <c r="AD6" s="1">
        <v>0</v>
      </c>
      <c r="AE6" s="1">
        <v>0</v>
      </c>
      <c r="AF6" s="1">
        <v>12</v>
      </c>
      <c r="AG6" s="1">
        <v>2012</v>
      </c>
      <c r="AH6" s="1">
        <v>2008</v>
      </c>
      <c r="AI6" s="1">
        <v>2012</v>
      </c>
      <c r="AJ6" s="1">
        <v>2021.44722222222</v>
      </c>
      <c r="AK6" s="1">
        <v>1.06654954186666</v>
      </c>
      <c r="AL6" s="1">
        <v>0.19062613837296799</v>
      </c>
      <c r="AM6" s="1">
        <v>0.50904130179151996</v>
      </c>
      <c r="AN6" s="1">
        <v>982.85928904782895</v>
      </c>
      <c r="AO6" s="1">
        <v>718.88267657367498</v>
      </c>
      <c r="AP6" s="1">
        <v>263.97661247415601</v>
      </c>
      <c r="AQ6" s="1">
        <v>5.0274943009140899E-2</v>
      </c>
      <c r="AR6" s="1">
        <v>384.89558543678697</v>
      </c>
      <c r="AS6" s="1">
        <v>910.96999496138596</v>
      </c>
      <c r="AT6" s="1">
        <v>3648.8038572712699</v>
      </c>
      <c r="AU6" s="1">
        <v>346.87117596367301</v>
      </c>
      <c r="AV6" s="1">
        <v>0.125760600638884</v>
      </c>
      <c r="AW6" s="1">
        <v>274.25186102791997</v>
      </c>
      <c r="AX6" s="1">
        <v>30.933333333333302</v>
      </c>
      <c r="AY6" s="1">
        <v>62.433333333333302</v>
      </c>
      <c r="AZ6" s="1">
        <v>6.7</v>
      </c>
      <c r="BA6" s="1">
        <v>69.066666666666606</v>
      </c>
      <c r="BB6" s="1">
        <v>1532.9010382900101</v>
      </c>
      <c r="BC6" s="1">
        <v>0.251521201277768</v>
      </c>
      <c r="BD6" s="1">
        <v>0.19085790722343099</v>
      </c>
      <c r="BE6" s="1">
        <v>0.36716045216527898</v>
      </c>
      <c r="BF6" s="1">
        <v>0.36880482539750697</v>
      </c>
      <c r="BG6" s="1">
        <v>0.51783715276521103</v>
      </c>
      <c r="BH6" s="1">
        <v>0.234810941967799</v>
      </c>
      <c r="BI6" s="1">
        <v>0.90942324468124602</v>
      </c>
      <c r="BJ6" s="1">
        <v>2.6212123085277099</v>
      </c>
      <c r="BK6" s="1">
        <v>53.882502976028199</v>
      </c>
      <c r="BL6" s="1">
        <v>98.240206825834605</v>
      </c>
      <c r="BM6" s="1">
        <v>874.61803082590302</v>
      </c>
      <c r="BN6" s="1">
        <v>25.510431389705701</v>
      </c>
      <c r="BO6" s="1">
        <v>0.12852325370642201</v>
      </c>
      <c r="BP6" s="1">
        <v>0.68737455211785403</v>
      </c>
      <c r="BQ6" s="1">
        <v>6.8017324807756401</v>
      </c>
      <c r="BR6" s="1">
        <v>11.6702970071293</v>
      </c>
      <c r="BS6" s="1">
        <v>5.97072074927285</v>
      </c>
      <c r="BT6" s="1">
        <v>3.1359323209062402</v>
      </c>
      <c r="BU6" s="1">
        <v>1.5522292189715501</v>
      </c>
      <c r="BV6" s="1">
        <v>0.73119534114107698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5.8441569425249702E-2</v>
      </c>
      <c r="CG6" s="1">
        <v>1.9303152659436999E-2</v>
      </c>
      <c r="CH6" s="1">
        <v>0.31624704573200102</v>
      </c>
      <c r="CI6" s="1">
        <v>15.4807850370353</v>
      </c>
      <c r="CJ6" s="1">
        <v>34.776465320312703</v>
      </c>
      <c r="CK6" s="1">
        <v>21.097683443403898</v>
      </c>
      <c r="CL6" s="1">
        <v>2.1915324089828601E-3</v>
      </c>
      <c r="CM6" s="1">
        <v>21.2054864952859</v>
      </c>
      <c r="CN6" s="1">
        <v>18.4985043879554</v>
      </c>
      <c r="CO6" s="1">
        <v>70.831142200785806</v>
      </c>
      <c r="CP6" s="1">
        <v>3.0556917652653999</v>
      </c>
      <c r="CQ6" s="1">
        <v>9.2392153057842697E-3</v>
      </c>
      <c r="CR6" s="1">
        <v>33.786561060351801</v>
      </c>
      <c r="CS6" s="1">
        <v>1.5275252316519401</v>
      </c>
      <c r="CT6" s="1">
        <v>1.5695009822657999</v>
      </c>
      <c r="CU6" s="1">
        <v>0.69282032302755103</v>
      </c>
      <c r="CV6" s="1">
        <v>1.5275252316519401</v>
      </c>
      <c r="CW6" s="1">
        <v>29.3785280763814</v>
      </c>
      <c r="CX6" s="1">
        <v>1.84784306115688E-2</v>
      </c>
      <c r="CY6" s="1">
        <v>1.4125211660796499E-2</v>
      </c>
      <c r="CZ6" s="1">
        <v>6.2839643536258497E-2</v>
      </c>
      <c r="DA6" s="1">
        <v>2.6927425015176799E-2</v>
      </c>
      <c r="DB6" s="1">
        <v>5.0658087638854503E-3</v>
      </c>
      <c r="DC6" s="1">
        <v>1.55546109950708E-2</v>
      </c>
      <c r="DD6" s="1">
        <v>4.6164828736060898E-2</v>
      </c>
      <c r="DE6" s="1">
        <v>9.9393915521166401E-2</v>
      </c>
      <c r="DF6" s="1">
        <v>5.1228507609193796</v>
      </c>
      <c r="DG6" s="1">
        <v>19.1920381976817</v>
      </c>
      <c r="DH6" s="1">
        <v>122.590919427683</v>
      </c>
      <c r="DI6" s="1">
        <v>9.6318628734515102</v>
      </c>
      <c r="DJ6" s="1">
        <v>2.47128820129945E-2</v>
      </c>
      <c r="DK6" s="1">
        <v>0.125248790809808</v>
      </c>
      <c r="DL6" s="1">
        <v>3.1095482031232899</v>
      </c>
      <c r="DM6" s="1">
        <v>3.02420905654744</v>
      </c>
      <c r="DN6" s="1">
        <v>0.35186644578033699</v>
      </c>
      <c r="DO6" s="1">
        <v>0.457417360987109</v>
      </c>
      <c r="DP6" s="1">
        <v>0.14331630239835</v>
      </c>
      <c r="DQ6" s="1">
        <v>2.4801792779533701E-2</v>
      </c>
    </row>
    <row r="7" spans="1:121" x14ac:dyDescent="0.25">
      <c r="A7" s="1" t="s">
        <v>35</v>
      </c>
      <c r="B7" s="1" t="s">
        <v>28</v>
      </c>
      <c r="C7" s="1" t="s">
        <v>34</v>
      </c>
      <c r="D7" s="1" t="s">
        <v>38</v>
      </c>
      <c r="E7" s="1">
        <v>11.3836805555555</v>
      </c>
      <c r="F7" s="1">
        <v>1.9155078333333301E-2</v>
      </c>
      <c r="G7" s="1">
        <v>4.2133333333333303</v>
      </c>
      <c r="H7" s="1">
        <v>20.2</v>
      </c>
      <c r="I7" s="1">
        <v>7.3983333333333299</v>
      </c>
      <c r="J7" s="1" t="s">
        <v>31</v>
      </c>
      <c r="K7" s="1" t="s">
        <v>31</v>
      </c>
      <c r="L7" s="1">
        <v>0.54962437194094704</v>
      </c>
      <c r="M7" s="1">
        <v>1.4987781784873099E-2</v>
      </c>
      <c r="N7" s="1">
        <v>1.4880277775185</v>
      </c>
      <c r="O7" s="1">
        <v>0.109544511501032</v>
      </c>
      <c r="P7" s="1">
        <v>8.6583293230661204E-2</v>
      </c>
      <c r="Q7" s="1" t="s">
        <v>31</v>
      </c>
      <c r="R7" s="1" t="s">
        <v>31</v>
      </c>
      <c r="S7" s="1">
        <v>5.0000000000000001E-3</v>
      </c>
      <c r="T7" s="1">
        <v>0</v>
      </c>
      <c r="U7" s="2">
        <v>2.4869071587616199E-4</v>
      </c>
      <c r="V7" s="2">
        <v>5.1201120720106603E-4</v>
      </c>
      <c r="W7" s="2">
        <v>-1.46297754487405E-5</v>
      </c>
      <c r="X7" s="1" t="s">
        <v>37</v>
      </c>
      <c r="Y7" s="1">
        <v>9.4472222222222992</v>
      </c>
      <c r="Z7" s="1">
        <v>0.58333333333333304</v>
      </c>
      <c r="AA7" s="1" t="s">
        <v>39</v>
      </c>
      <c r="AB7" s="1">
        <v>5</v>
      </c>
      <c r="AC7" s="1">
        <v>7</v>
      </c>
      <c r="AD7" s="1">
        <v>0</v>
      </c>
      <c r="AE7" s="1">
        <v>0</v>
      </c>
      <c r="AF7" s="1">
        <v>12</v>
      </c>
      <c r="AG7" s="1">
        <v>2012</v>
      </c>
      <c r="AH7" s="1">
        <v>2008</v>
      </c>
      <c r="AI7" s="1">
        <v>2012</v>
      </c>
      <c r="AJ7" s="1">
        <v>2021.44722222222</v>
      </c>
      <c r="AK7" s="1">
        <v>1.06654954186666</v>
      </c>
      <c r="AL7" s="1">
        <v>0.19062613837296799</v>
      </c>
      <c r="AM7" s="1">
        <v>0.50904130179151996</v>
      </c>
      <c r="AN7" s="1">
        <v>982.85928904782895</v>
      </c>
      <c r="AO7" s="1">
        <v>718.88267657367498</v>
      </c>
      <c r="AP7" s="1">
        <v>263.97661247415601</v>
      </c>
      <c r="AQ7" s="1">
        <v>5.0274943009140899E-2</v>
      </c>
      <c r="AR7" s="1">
        <v>384.89558543678697</v>
      </c>
      <c r="AS7" s="1">
        <v>910.96999496138596</v>
      </c>
      <c r="AT7" s="1">
        <v>3648.8038572712699</v>
      </c>
      <c r="AU7" s="1">
        <v>346.87117596367301</v>
      </c>
      <c r="AV7" s="1">
        <v>0.125760600638884</v>
      </c>
      <c r="AW7" s="1">
        <v>274.25186102791997</v>
      </c>
      <c r="AX7" s="1">
        <v>30.933333333333302</v>
      </c>
      <c r="AY7" s="1">
        <v>62.433333333333302</v>
      </c>
      <c r="AZ7" s="1">
        <v>6.7</v>
      </c>
      <c r="BA7" s="1">
        <v>69.066666666666606</v>
      </c>
      <c r="BB7" s="1">
        <v>1532.9010382900101</v>
      </c>
      <c r="BC7" s="1">
        <v>0.251521201277768</v>
      </c>
      <c r="BD7" s="1">
        <v>0.19085790722343099</v>
      </c>
      <c r="BE7" s="1">
        <v>0.36716045216527898</v>
      </c>
      <c r="BF7" s="1">
        <v>0.36880482539750697</v>
      </c>
      <c r="BG7" s="1">
        <v>0.51783715276521103</v>
      </c>
      <c r="BH7" s="1">
        <v>0.234810941967799</v>
      </c>
      <c r="BI7" s="1">
        <v>0.90942324468124602</v>
      </c>
      <c r="BJ7" s="1">
        <v>2.6212123085277099</v>
      </c>
      <c r="BK7" s="1">
        <v>53.882502976028199</v>
      </c>
      <c r="BL7" s="1">
        <v>98.240206825834605</v>
      </c>
      <c r="BM7" s="1">
        <v>874.61803082590302</v>
      </c>
      <c r="BN7" s="1">
        <v>25.510431389705701</v>
      </c>
      <c r="BO7" s="1">
        <v>0.12852325370642201</v>
      </c>
      <c r="BP7" s="1">
        <v>0.68737455211785403</v>
      </c>
      <c r="BQ7" s="1">
        <v>6.8017324807756401</v>
      </c>
      <c r="BR7" s="1">
        <v>11.6702970071293</v>
      </c>
      <c r="BS7" s="1">
        <v>5.97072074927285</v>
      </c>
      <c r="BT7" s="1">
        <v>3.1359323209062402</v>
      </c>
      <c r="BU7" s="1">
        <v>1.5522292189715501</v>
      </c>
      <c r="BV7" s="1">
        <v>0.73119534114107698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5.8441569425249702E-2</v>
      </c>
      <c r="CG7" s="1">
        <v>1.9303152659436999E-2</v>
      </c>
      <c r="CH7" s="1">
        <v>0.31624704573200102</v>
      </c>
      <c r="CI7" s="1">
        <v>15.4807850370353</v>
      </c>
      <c r="CJ7" s="1">
        <v>34.776465320312703</v>
      </c>
      <c r="CK7" s="1">
        <v>21.097683443403898</v>
      </c>
      <c r="CL7" s="1">
        <v>2.1915324089828601E-3</v>
      </c>
      <c r="CM7" s="1">
        <v>21.2054864952859</v>
      </c>
      <c r="CN7" s="1">
        <v>18.4985043879554</v>
      </c>
      <c r="CO7" s="1">
        <v>70.831142200785806</v>
      </c>
      <c r="CP7" s="1">
        <v>3.0556917652653999</v>
      </c>
      <c r="CQ7" s="1">
        <v>9.2392153057842697E-3</v>
      </c>
      <c r="CR7" s="1">
        <v>33.786561060351801</v>
      </c>
      <c r="CS7" s="1">
        <v>1.5275252316519401</v>
      </c>
      <c r="CT7" s="1">
        <v>1.5695009822657999</v>
      </c>
      <c r="CU7" s="1">
        <v>0.69282032302755103</v>
      </c>
      <c r="CV7" s="1">
        <v>1.5275252316519401</v>
      </c>
      <c r="CW7" s="1">
        <v>29.3785280763814</v>
      </c>
      <c r="CX7" s="1">
        <v>1.84784306115688E-2</v>
      </c>
      <c r="CY7" s="1">
        <v>1.4125211660796499E-2</v>
      </c>
      <c r="CZ7" s="1">
        <v>6.2839643536258497E-2</v>
      </c>
      <c r="DA7" s="1">
        <v>2.6927425015176799E-2</v>
      </c>
      <c r="DB7" s="1">
        <v>5.0658087638854503E-3</v>
      </c>
      <c r="DC7" s="1">
        <v>1.55546109950708E-2</v>
      </c>
      <c r="DD7" s="1">
        <v>4.6164828736060898E-2</v>
      </c>
      <c r="DE7" s="1">
        <v>9.9393915521166401E-2</v>
      </c>
      <c r="DF7" s="1">
        <v>5.1228507609193796</v>
      </c>
      <c r="DG7" s="1">
        <v>19.1920381976817</v>
      </c>
      <c r="DH7" s="1">
        <v>122.590919427683</v>
      </c>
      <c r="DI7" s="1">
        <v>9.6318628734515102</v>
      </c>
      <c r="DJ7" s="1">
        <v>2.47128820129945E-2</v>
      </c>
      <c r="DK7" s="1">
        <v>0.125248790809808</v>
      </c>
      <c r="DL7" s="1">
        <v>3.1095482031232899</v>
      </c>
      <c r="DM7" s="1">
        <v>3.02420905654744</v>
      </c>
      <c r="DN7" s="1">
        <v>0.35186644578033699</v>
      </c>
      <c r="DO7" s="1">
        <v>0.457417360987109</v>
      </c>
      <c r="DP7" s="1">
        <v>0.14331630239835</v>
      </c>
      <c r="DQ7" s="1">
        <v>2.4801792779533701E-2</v>
      </c>
    </row>
    <row r="8" spans="1:121" x14ac:dyDescent="0.25">
      <c r="A8" s="1" t="s">
        <v>40</v>
      </c>
      <c r="B8" s="1" t="s">
        <v>41</v>
      </c>
      <c r="C8" s="1" t="s">
        <v>29</v>
      </c>
      <c r="D8" s="1" t="s">
        <v>42</v>
      </c>
      <c r="E8" s="1">
        <v>11.3836805555555</v>
      </c>
      <c r="F8" s="1">
        <v>1.722637</v>
      </c>
      <c r="G8" s="1">
        <v>0.45500000000000002</v>
      </c>
      <c r="H8" s="1">
        <v>20.2</v>
      </c>
      <c r="I8" s="1">
        <v>8.2750000000000004</v>
      </c>
      <c r="J8" s="1" t="s">
        <v>31</v>
      </c>
      <c r="K8" s="1" t="s">
        <v>31</v>
      </c>
      <c r="L8" s="1">
        <v>0.54962437194094704</v>
      </c>
      <c r="M8" s="1">
        <v>1.0802566843958801</v>
      </c>
      <c r="N8" s="1">
        <v>0.20285462775100699</v>
      </c>
      <c r="O8" s="1">
        <v>0.109544511501032</v>
      </c>
      <c r="P8" s="1">
        <v>0.15946786510140501</v>
      </c>
      <c r="Q8" s="1" t="s">
        <v>31</v>
      </c>
      <c r="R8" s="1" t="s">
        <v>31</v>
      </c>
      <c r="S8" s="1">
        <v>5.0000000000000001E-3</v>
      </c>
      <c r="T8" s="1">
        <v>0</v>
      </c>
      <c r="U8" s="1">
        <v>3.01771820039652E-2</v>
      </c>
      <c r="V8" s="1">
        <v>4.9156222730273903E-2</v>
      </c>
      <c r="W8" s="1">
        <v>1.11981412776564E-2</v>
      </c>
      <c r="X8" s="1" t="s">
        <v>32</v>
      </c>
      <c r="Y8" s="1">
        <v>1.4472222222222999</v>
      </c>
      <c r="Z8" s="1">
        <v>1</v>
      </c>
      <c r="AA8" s="1" t="s">
        <v>33</v>
      </c>
      <c r="AB8" s="1">
        <v>0</v>
      </c>
      <c r="AC8" s="1">
        <v>10</v>
      </c>
      <c r="AD8" s="1">
        <v>0</v>
      </c>
      <c r="AE8" s="1">
        <v>0</v>
      </c>
      <c r="AF8" s="1">
        <v>10</v>
      </c>
      <c r="AG8" s="1">
        <v>2020</v>
      </c>
      <c r="AH8" s="1" t="s">
        <v>31</v>
      </c>
      <c r="AI8" s="1">
        <v>2020</v>
      </c>
      <c r="AJ8" s="1">
        <v>2021.44722222222</v>
      </c>
      <c r="AK8" s="1">
        <v>1.01117931301666</v>
      </c>
      <c r="AL8" s="1">
        <v>0.26426561844308799</v>
      </c>
      <c r="AM8" s="1">
        <v>2.4274814175196999</v>
      </c>
      <c r="AN8" s="1">
        <v>1225.4669032157699</v>
      </c>
      <c r="AO8" s="1">
        <v>887.02807236300305</v>
      </c>
      <c r="AP8" s="1">
        <v>338.43883085277599</v>
      </c>
      <c r="AQ8" s="1">
        <v>0.115279170629385</v>
      </c>
      <c r="AR8" s="1">
        <v>758.08169998998505</v>
      </c>
      <c r="AS8" s="1">
        <v>1331.7511113993901</v>
      </c>
      <c r="AT8" s="1">
        <v>4159.8346020976196</v>
      </c>
      <c r="AU8" s="1">
        <v>265.094200431525</v>
      </c>
      <c r="AV8" s="1">
        <v>0.198006054758634</v>
      </c>
      <c r="AW8" s="1">
        <v>65.758128475086494</v>
      </c>
      <c r="AX8" s="1">
        <v>16.533333333333299</v>
      </c>
      <c r="AY8" s="1">
        <v>71.366666666666603</v>
      </c>
      <c r="AZ8" s="1">
        <v>12.133333333333301</v>
      </c>
      <c r="BA8" s="1">
        <v>83.466666666666598</v>
      </c>
      <c r="BB8" s="1">
        <v>1915.90657782575</v>
      </c>
      <c r="BC8" s="1">
        <v>0.39601210951726601</v>
      </c>
      <c r="BD8" s="1">
        <v>0.32936561137715498</v>
      </c>
      <c r="BE8" s="1">
        <v>0.43791017700498103</v>
      </c>
      <c r="BF8" s="1">
        <v>0.49657919038764597</v>
      </c>
      <c r="BG8" s="1">
        <v>0.66362354801983103</v>
      </c>
      <c r="BH8" s="1">
        <v>0.23165933015592299</v>
      </c>
      <c r="BI8" s="1">
        <v>9.5784667392937592</v>
      </c>
      <c r="BJ8" s="1">
        <v>12.892381949680701</v>
      </c>
      <c r="BK8" s="1">
        <v>207.66782219768899</v>
      </c>
      <c r="BL8" s="1">
        <v>249.68155336130999</v>
      </c>
      <c r="BM8" s="1">
        <v>1539.4818021373701</v>
      </c>
      <c r="BN8" s="1">
        <v>15.6335166792127</v>
      </c>
      <c r="BO8" s="1">
        <v>0.31529708793752897</v>
      </c>
      <c r="BP8" s="1">
        <v>2.4289719951472302</v>
      </c>
      <c r="BQ8" s="1">
        <v>52.148547592173799</v>
      </c>
      <c r="BR8" s="1">
        <v>35.873495346233298</v>
      </c>
      <c r="BS8" s="1">
        <v>156.54355416206201</v>
      </c>
      <c r="BT8" s="1">
        <v>30.048601528470002</v>
      </c>
      <c r="BU8" s="1">
        <v>2.6257142648363501</v>
      </c>
      <c r="BV8" s="1">
        <v>0.72407131118262602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 t="s">
        <v>31</v>
      </c>
      <c r="CD8" s="1">
        <v>0</v>
      </c>
      <c r="CE8" s="1">
        <v>0</v>
      </c>
      <c r="CF8" s="1">
        <v>2.49496178498077E-2</v>
      </c>
      <c r="CG8" s="1">
        <v>1.4804269696470401E-2</v>
      </c>
      <c r="CH8" s="1">
        <v>0.348437950718814</v>
      </c>
      <c r="CI8" s="1">
        <v>62.078655842594898</v>
      </c>
      <c r="CJ8" s="1">
        <v>44.968159417583799</v>
      </c>
      <c r="CK8" s="1">
        <v>37.123365514058897</v>
      </c>
      <c r="CL8" s="1">
        <v>7.3641104114416794E-2</v>
      </c>
      <c r="CM8" s="1">
        <v>38.288430737911902</v>
      </c>
      <c r="CN8" s="1">
        <v>87.981794004679799</v>
      </c>
      <c r="CO8" s="1">
        <v>197.17076545721099</v>
      </c>
      <c r="CP8" s="1">
        <v>6.7201025363351699</v>
      </c>
      <c r="CQ8" s="1">
        <v>4.6331363677071004E-3</v>
      </c>
      <c r="CR8" s="1">
        <v>20.197023774017801</v>
      </c>
      <c r="CS8" s="1">
        <v>1.1547005383792499</v>
      </c>
      <c r="CT8" s="1">
        <v>0.321455025366429</v>
      </c>
      <c r="CU8" s="1">
        <v>1.4433756729740601</v>
      </c>
      <c r="CV8" s="1">
        <v>1.1547005383792499</v>
      </c>
      <c r="CW8" s="1">
        <v>104.71772838301899</v>
      </c>
      <c r="CX8" s="1">
        <v>9.2662727354146397E-3</v>
      </c>
      <c r="CY8" s="1">
        <v>8.1563142091707307E-3</v>
      </c>
      <c r="CZ8" s="1">
        <v>2.0432491051419699E-2</v>
      </c>
      <c r="DA8" s="1">
        <v>1.3331157186145399E-2</v>
      </c>
      <c r="DB8" s="1">
        <v>1.36975148594774E-2</v>
      </c>
      <c r="DC8" s="1">
        <v>1.95235234799873E-3</v>
      </c>
      <c r="DD8" s="1">
        <v>0.48427917163964201</v>
      </c>
      <c r="DE8" s="1">
        <v>0.46375426626166499</v>
      </c>
      <c r="DF8" s="1">
        <v>20.847963075791299</v>
      </c>
      <c r="DG8" s="1">
        <v>14.438423167781499</v>
      </c>
      <c r="DH8" s="1">
        <v>64.444029854505004</v>
      </c>
      <c r="DI8" s="1">
        <v>0.71482291440178303</v>
      </c>
      <c r="DJ8" s="1">
        <v>2.6495333515650799E-2</v>
      </c>
      <c r="DK8" s="1">
        <v>0.34410884385761997</v>
      </c>
      <c r="DL8" s="1">
        <v>12.301463412484299</v>
      </c>
      <c r="DM8" s="1">
        <v>1.1920506372158399</v>
      </c>
      <c r="DN8" s="1">
        <v>48.918121245826001</v>
      </c>
      <c r="DO8" s="1">
        <v>7.2801678228474103</v>
      </c>
      <c r="DP8" s="1">
        <v>0.15404317025814299</v>
      </c>
      <c r="DQ8" s="1">
        <v>2.35486454695981E-2</v>
      </c>
    </row>
    <row r="9" spans="1:121" x14ac:dyDescent="0.25">
      <c r="A9" s="1" t="s">
        <v>40</v>
      </c>
      <c r="B9" s="1" t="s">
        <v>41</v>
      </c>
      <c r="C9" s="1" t="s">
        <v>34</v>
      </c>
      <c r="D9" s="1" t="s">
        <v>42</v>
      </c>
      <c r="E9" s="1">
        <v>11.3836805555555</v>
      </c>
      <c r="F9" s="1">
        <v>0.90562933333333295</v>
      </c>
      <c r="G9" s="1">
        <v>4.4983333333333304</v>
      </c>
      <c r="H9" s="1">
        <v>20.2</v>
      </c>
      <c r="I9" s="1">
        <v>7.5449999999999999</v>
      </c>
      <c r="J9" s="1" t="s">
        <v>31</v>
      </c>
      <c r="K9" s="1" t="s">
        <v>31</v>
      </c>
      <c r="L9" s="1">
        <v>0.54962437194094704</v>
      </c>
      <c r="M9" s="1">
        <v>1.13782156228042</v>
      </c>
      <c r="N9" s="1">
        <v>1.3639415921023399</v>
      </c>
      <c r="O9" s="1">
        <v>0.109544511501032</v>
      </c>
      <c r="P9" s="1">
        <v>0.14734313692873399</v>
      </c>
      <c r="Q9" s="1" t="s">
        <v>31</v>
      </c>
      <c r="R9" s="1" t="s">
        <v>31</v>
      </c>
      <c r="S9" s="1">
        <v>5.0000000000000001E-3</v>
      </c>
      <c r="T9" s="1">
        <v>0</v>
      </c>
      <c r="U9" s="1">
        <v>1.5823165960042702E-2</v>
      </c>
      <c r="V9" s="1">
        <v>3.5813564614107798E-2</v>
      </c>
      <c r="W9" s="1">
        <v>-4.1672326940224097E-3</v>
      </c>
      <c r="X9" s="1" t="s">
        <v>32</v>
      </c>
      <c r="Y9" s="1">
        <v>1.4472222222222999</v>
      </c>
      <c r="Z9" s="1">
        <v>1</v>
      </c>
      <c r="AA9" s="1" t="s">
        <v>33</v>
      </c>
      <c r="AB9" s="1">
        <v>0</v>
      </c>
      <c r="AC9" s="1">
        <v>10</v>
      </c>
      <c r="AD9" s="1">
        <v>0</v>
      </c>
      <c r="AE9" s="1">
        <v>0</v>
      </c>
      <c r="AF9" s="1">
        <v>10</v>
      </c>
      <c r="AG9" s="1">
        <v>2020</v>
      </c>
      <c r="AH9" s="1" t="s">
        <v>31</v>
      </c>
      <c r="AI9" s="1">
        <v>2020</v>
      </c>
      <c r="AJ9" s="1">
        <v>2021.44722222222</v>
      </c>
      <c r="AK9" s="1">
        <v>1.01117931301666</v>
      </c>
      <c r="AL9" s="1">
        <v>0.26426561844308799</v>
      </c>
      <c r="AM9" s="1">
        <v>2.4274814175196999</v>
      </c>
      <c r="AN9" s="1">
        <v>1225.4669032157699</v>
      </c>
      <c r="AO9" s="1">
        <v>887.02807236300305</v>
      </c>
      <c r="AP9" s="1">
        <v>338.43883085277599</v>
      </c>
      <c r="AQ9" s="1">
        <v>0.115279170629385</v>
      </c>
      <c r="AR9" s="1">
        <v>758.08169998998505</v>
      </c>
      <c r="AS9" s="1">
        <v>1331.7511113993901</v>
      </c>
      <c r="AT9" s="1">
        <v>4159.8346020976196</v>
      </c>
      <c r="AU9" s="1">
        <v>265.094200431525</v>
      </c>
      <c r="AV9" s="1">
        <v>0.198006054758634</v>
      </c>
      <c r="AW9" s="1">
        <v>65.758128475086494</v>
      </c>
      <c r="AX9" s="1">
        <v>16.533333333333299</v>
      </c>
      <c r="AY9" s="1">
        <v>71.366666666666603</v>
      </c>
      <c r="AZ9" s="1">
        <v>12.133333333333301</v>
      </c>
      <c r="BA9" s="1">
        <v>83.466666666666598</v>
      </c>
      <c r="BB9" s="1">
        <v>1915.90657782575</v>
      </c>
      <c r="BC9" s="1">
        <v>0.39601210951726601</v>
      </c>
      <c r="BD9" s="1">
        <v>0.32936561137715498</v>
      </c>
      <c r="BE9" s="1">
        <v>0.43791017700498103</v>
      </c>
      <c r="BF9" s="1">
        <v>0.49657919038764597</v>
      </c>
      <c r="BG9" s="1">
        <v>0.66362354801983103</v>
      </c>
      <c r="BH9" s="1">
        <v>0.23165933015592299</v>
      </c>
      <c r="BI9" s="1">
        <v>9.5784667392937592</v>
      </c>
      <c r="BJ9" s="1">
        <v>12.892381949680701</v>
      </c>
      <c r="BK9" s="1">
        <v>207.66782219768899</v>
      </c>
      <c r="BL9" s="1">
        <v>249.68155336130999</v>
      </c>
      <c r="BM9" s="1">
        <v>1539.4818021373701</v>
      </c>
      <c r="BN9" s="1">
        <v>15.6335166792127</v>
      </c>
      <c r="BO9" s="1">
        <v>0.31529708793752897</v>
      </c>
      <c r="BP9" s="1">
        <v>2.4289719951472302</v>
      </c>
      <c r="BQ9" s="1">
        <v>52.148547592173799</v>
      </c>
      <c r="BR9" s="1">
        <v>35.873495346233298</v>
      </c>
      <c r="BS9" s="1">
        <v>156.54355416206201</v>
      </c>
      <c r="BT9" s="1">
        <v>30.048601528470002</v>
      </c>
      <c r="BU9" s="1">
        <v>2.6257142648363501</v>
      </c>
      <c r="BV9" s="1">
        <v>0.72407131118262602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 t="s">
        <v>31</v>
      </c>
      <c r="CD9" s="1">
        <v>0</v>
      </c>
      <c r="CE9" s="1">
        <v>0</v>
      </c>
      <c r="CF9" s="1">
        <v>2.49496178498077E-2</v>
      </c>
      <c r="CG9" s="1">
        <v>1.4804269696470401E-2</v>
      </c>
      <c r="CH9" s="1">
        <v>0.348437950718814</v>
      </c>
      <c r="CI9" s="1">
        <v>62.078655842594898</v>
      </c>
      <c r="CJ9" s="1">
        <v>44.968159417583799</v>
      </c>
      <c r="CK9" s="1">
        <v>37.123365514058897</v>
      </c>
      <c r="CL9" s="1">
        <v>7.3641104114416794E-2</v>
      </c>
      <c r="CM9" s="1">
        <v>38.288430737911902</v>
      </c>
      <c r="CN9" s="1">
        <v>87.981794004679799</v>
      </c>
      <c r="CO9" s="1">
        <v>197.17076545721099</v>
      </c>
      <c r="CP9" s="1">
        <v>6.7201025363351699</v>
      </c>
      <c r="CQ9" s="1">
        <v>4.6331363677071004E-3</v>
      </c>
      <c r="CR9" s="1">
        <v>20.197023774017801</v>
      </c>
      <c r="CS9" s="1">
        <v>1.1547005383792499</v>
      </c>
      <c r="CT9" s="1">
        <v>0.321455025366429</v>
      </c>
      <c r="CU9" s="1">
        <v>1.4433756729740601</v>
      </c>
      <c r="CV9" s="1">
        <v>1.1547005383792499</v>
      </c>
      <c r="CW9" s="1">
        <v>104.71772838301899</v>
      </c>
      <c r="CX9" s="1">
        <v>9.2662727354146397E-3</v>
      </c>
      <c r="CY9" s="1">
        <v>8.1563142091707307E-3</v>
      </c>
      <c r="CZ9" s="1">
        <v>2.0432491051419699E-2</v>
      </c>
      <c r="DA9" s="1">
        <v>1.3331157186145399E-2</v>
      </c>
      <c r="DB9" s="1">
        <v>1.36975148594774E-2</v>
      </c>
      <c r="DC9" s="1">
        <v>1.95235234799873E-3</v>
      </c>
      <c r="DD9" s="1">
        <v>0.48427917163964201</v>
      </c>
      <c r="DE9" s="1">
        <v>0.46375426626166499</v>
      </c>
      <c r="DF9" s="1">
        <v>20.847963075791299</v>
      </c>
      <c r="DG9" s="1">
        <v>14.438423167781499</v>
      </c>
      <c r="DH9" s="1">
        <v>64.444029854505004</v>
      </c>
      <c r="DI9" s="1">
        <v>0.71482291440178303</v>
      </c>
      <c r="DJ9" s="1">
        <v>2.6495333515650799E-2</v>
      </c>
      <c r="DK9" s="1">
        <v>0.34410884385761997</v>
      </c>
      <c r="DL9" s="1">
        <v>12.301463412484299</v>
      </c>
      <c r="DM9" s="1">
        <v>1.1920506372158399</v>
      </c>
      <c r="DN9" s="1">
        <v>48.918121245826001</v>
      </c>
      <c r="DO9" s="1">
        <v>7.2801678228474103</v>
      </c>
      <c r="DP9" s="1">
        <v>0.15404317025814299</v>
      </c>
      <c r="DQ9" s="1">
        <v>2.35486454695981E-2</v>
      </c>
    </row>
    <row r="10" spans="1:121" x14ac:dyDescent="0.25">
      <c r="A10" s="1" t="s">
        <v>40</v>
      </c>
      <c r="B10" s="1" t="s">
        <v>28</v>
      </c>
      <c r="C10" s="1" t="s">
        <v>29</v>
      </c>
      <c r="D10" s="1" t="s">
        <v>43</v>
      </c>
      <c r="E10" s="1">
        <v>11.3836805555555</v>
      </c>
      <c r="F10" s="1">
        <v>0.1351415</v>
      </c>
      <c r="G10" s="1">
        <v>0.83</v>
      </c>
      <c r="H10" s="1">
        <v>20.2</v>
      </c>
      <c r="I10" s="1">
        <v>7.9783333333333299</v>
      </c>
      <c r="J10" s="1" t="s">
        <v>31</v>
      </c>
      <c r="K10" s="1" t="s">
        <v>31</v>
      </c>
      <c r="L10" s="1">
        <v>0.54962437194094704</v>
      </c>
      <c r="M10" s="1">
        <v>2.9258756014225801E-2</v>
      </c>
      <c r="N10" s="1">
        <v>0.71872108637495802</v>
      </c>
      <c r="O10" s="1">
        <v>0.109544511501032</v>
      </c>
      <c r="P10" s="1">
        <v>0.17859637920928501</v>
      </c>
      <c r="Q10" s="1" t="s">
        <v>31</v>
      </c>
      <c r="R10" s="1" t="s">
        <v>31</v>
      </c>
      <c r="S10" s="1">
        <v>5.0000000000000001E-3</v>
      </c>
      <c r="T10" s="1">
        <v>0</v>
      </c>
      <c r="U10" s="1">
        <v>2.28645734329723E-3</v>
      </c>
      <c r="V10" s="1">
        <v>2.8005047266797E-3</v>
      </c>
      <c r="W10" s="1">
        <v>1.77240995991477E-3</v>
      </c>
      <c r="X10" s="1" t="s">
        <v>32</v>
      </c>
      <c r="Y10" s="1">
        <v>5.4472222222223001</v>
      </c>
      <c r="Z10" s="1">
        <v>0.4</v>
      </c>
      <c r="AA10" s="1" t="s">
        <v>39</v>
      </c>
      <c r="AB10" s="1">
        <v>6</v>
      </c>
      <c r="AC10" s="1">
        <v>4</v>
      </c>
      <c r="AD10" s="1">
        <v>0</v>
      </c>
      <c r="AE10" s="1">
        <v>0</v>
      </c>
      <c r="AF10" s="1">
        <v>10</v>
      </c>
      <c r="AG10" s="1">
        <v>2016</v>
      </c>
      <c r="AH10" s="1">
        <v>2006</v>
      </c>
      <c r="AI10" s="1">
        <v>2016</v>
      </c>
      <c r="AJ10" s="1">
        <v>2021.44722222222</v>
      </c>
      <c r="AK10" s="1">
        <v>0.60723742811666603</v>
      </c>
      <c r="AL10" s="1">
        <v>0.397239845346749</v>
      </c>
      <c r="AM10" s="1">
        <v>2.0382965616422499</v>
      </c>
      <c r="AN10" s="1">
        <v>1201.43116659823</v>
      </c>
      <c r="AO10" s="1">
        <v>534.06984376335095</v>
      </c>
      <c r="AP10" s="1">
        <v>667.361322834882</v>
      </c>
      <c r="AQ10" s="1">
        <v>0.18823554143329599</v>
      </c>
      <c r="AR10" s="1">
        <v>703.85101890860801</v>
      </c>
      <c r="AS10" s="1">
        <v>3267.1621379080002</v>
      </c>
      <c r="AT10" s="1">
        <v>7313.1239658497598</v>
      </c>
      <c r="AU10" s="1">
        <v>409.03740680834699</v>
      </c>
      <c r="AV10" s="1">
        <v>9.1267375877981199E-2</v>
      </c>
      <c r="AW10" s="1">
        <v>973.04634856974997</v>
      </c>
      <c r="AX10" s="1">
        <v>1.56666666666666</v>
      </c>
      <c r="AY10" s="1">
        <v>59.266666666666602</v>
      </c>
      <c r="AZ10" s="1">
        <v>39.1666666666666</v>
      </c>
      <c r="BA10" s="1">
        <v>98.433333333333294</v>
      </c>
      <c r="BB10" s="1">
        <v>3899.7613197171099</v>
      </c>
      <c r="BC10" s="1">
        <v>0.18253475175596101</v>
      </c>
      <c r="BD10" s="1">
        <v>0.17683296107969099</v>
      </c>
      <c r="BE10" s="1">
        <v>0.35738566741891797</v>
      </c>
      <c r="BF10" s="1">
        <v>0.189800753623864</v>
      </c>
      <c r="BG10" s="1">
        <v>0.93928303881515696</v>
      </c>
      <c r="BH10" s="1">
        <v>6.8834036466967799E-2</v>
      </c>
      <c r="BI10" s="1">
        <v>0.98089746675613099</v>
      </c>
      <c r="BJ10" s="1">
        <v>4.5037376552766997</v>
      </c>
      <c r="BK10" s="1">
        <v>143.34453082024399</v>
      </c>
      <c r="BL10" s="1">
        <v>472.07213968907303</v>
      </c>
      <c r="BM10" s="1">
        <v>3384.3140039456198</v>
      </c>
      <c r="BN10" s="1">
        <v>64.952733535658894</v>
      </c>
      <c r="BO10" s="1">
        <v>0.276902848964796</v>
      </c>
      <c r="BP10" s="1">
        <v>0.55804456853679096</v>
      </c>
      <c r="BQ10" s="1">
        <v>25.891978570878699</v>
      </c>
      <c r="BR10" s="1">
        <v>23.5371092406189</v>
      </c>
      <c r="BS10" s="1">
        <v>45.296502012668299</v>
      </c>
      <c r="BT10" s="1">
        <v>14.991377158968801</v>
      </c>
      <c r="BU10" s="1">
        <v>1.5414214040357901</v>
      </c>
      <c r="BV10" s="1">
        <v>0.44383322100769201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9.6599839417101097E-2</v>
      </c>
      <c r="CG10" s="1">
        <v>1.27377015514883E-2</v>
      </c>
      <c r="CH10" s="1">
        <v>0.22078549701404299</v>
      </c>
      <c r="CI10" s="1">
        <v>34.684274377293796</v>
      </c>
      <c r="CJ10" s="1">
        <v>60.664406860742503</v>
      </c>
      <c r="CK10" s="1">
        <v>27.808831445035</v>
      </c>
      <c r="CL10" s="1">
        <v>7.8811604736588308E-3</v>
      </c>
      <c r="CM10" s="1">
        <v>47.679917163019503</v>
      </c>
      <c r="CN10" s="1">
        <v>121.665928226971</v>
      </c>
      <c r="CO10" s="1">
        <v>1196.2626452315701</v>
      </c>
      <c r="CP10" s="1">
        <v>57.111692265966099</v>
      </c>
      <c r="CQ10" s="1">
        <v>3.2703235505608399E-3</v>
      </c>
      <c r="CR10" s="1">
        <v>122.994953507193</v>
      </c>
      <c r="CS10" s="1">
        <v>5.7735026918962602E-2</v>
      </c>
      <c r="CT10" s="1">
        <v>1.4153915830374699</v>
      </c>
      <c r="CU10" s="1">
        <v>1.4433756729740601</v>
      </c>
      <c r="CV10" s="1">
        <v>5.7735026918959202E-2</v>
      </c>
      <c r="CW10" s="1">
        <v>394.51814762235102</v>
      </c>
      <c r="CX10" s="1">
        <v>6.5406471011218098E-3</v>
      </c>
      <c r="CY10" s="1">
        <v>1.6555716337598E-2</v>
      </c>
      <c r="CZ10" s="1">
        <v>7.36704958468309E-2</v>
      </c>
      <c r="DA10" s="1">
        <v>5.4557721422198802E-3</v>
      </c>
      <c r="DB10" s="1">
        <v>0.116711898845079</v>
      </c>
      <c r="DC10" s="1">
        <v>2.3585246295766702E-3</v>
      </c>
      <c r="DD10" s="1">
        <v>7.0549942088145801E-2</v>
      </c>
      <c r="DE10" s="1">
        <v>9.7449709659736594E-2</v>
      </c>
      <c r="DF10" s="1">
        <v>10.1980996574719</v>
      </c>
      <c r="DG10" s="1">
        <v>1.45790870374783</v>
      </c>
      <c r="DH10" s="1">
        <v>179.74399923985001</v>
      </c>
      <c r="DI10" s="1">
        <v>5.0685104707201498</v>
      </c>
      <c r="DJ10" s="1">
        <v>4.0005439103064797E-2</v>
      </c>
      <c r="DK10" s="1">
        <v>6.9839616477994096E-2</v>
      </c>
      <c r="DL10" s="1">
        <v>4.9155417861997401</v>
      </c>
      <c r="DM10" s="1">
        <v>3.6119822638193999</v>
      </c>
      <c r="DN10" s="1">
        <v>1.3207550413732501</v>
      </c>
      <c r="DO10" s="1">
        <v>0.75939632088689801</v>
      </c>
      <c r="DP10" s="1">
        <v>7.5318512143277297E-2</v>
      </c>
      <c r="DQ10" s="1">
        <v>3.7561843218521303E-2</v>
      </c>
    </row>
    <row r="11" spans="1:121" x14ac:dyDescent="0.25">
      <c r="A11" s="1" t="s">
        <v>40</v>
      </c>
      <c r="B11" s="1" t="s">
        <v>28</v>
      </c>
      <c r="C11" s="1" t="s">
        <v>34</v>
      </c>
      <c r="D11" s="1" t="s">
        <v>43</v>
      </c>
      <c r="E11" s="1">
        <v>11.3836805555555</v>
      </c>
      <c r="F11" s="1">
        <v>2.4296333333333298E-2</v>
      </c>
      <c r="G11" s="1">
        <v>7.0733333333333297</v>
      </c>
      <c r="H11" s="1">
        <v>20.2</v>
      </c>
      <c r="I11" s="1">
        <v>7.4933333333333296</v>
      </c>
      <c r="J11" s="1" t="s">
        <v>31</v>
      </c>
      <c r="K11" s="1" t="s">
        <v>31</v>
      </c>
      <c r="L11" s="1">
        <v>0.54962437194094704</v>
      </c>
      <c r="M11" s="1">
        <v>5.7247027404631803E-3</v>
      </c>
      <c r="N11" s="1">
        <v>0.551603722491669</v>
      </c>
      <c r="O11" s="1">
        <v>0.109544511501032</v>
      </c>
      <c r="P11" s="1">
        <v>6.0882400303097897E-2</v>
      </c>
      <c r="Q11" s="1" t="s">
        <v>31</v>
      </c>
      <c r="R11" s="1" t="s">
        <v>31</v>
      </c>
      <c r="S11" s="1">
        <v>5.0000000000000001E-3</v>
      </c>
      <c r="T11" s="1">
        <v>0</v>
      </c>
      <c r="U11" s="2">
        <v>3.3901747750495598E-4</v>
      </c>
      <c r="V11" s="2">
        <v>4.3959483844766798E-4</v>
      </c>
      <c r="W11" s="2">
        <v>2.3844011656224499E-4</v>
      </c>
      <c r="X11" s="1" t="s">
        <v>32</v>
      </c>
      <c r="Y11" s="1">
        <v>5.4472222222223001</v>
      </c>
      <c r="Z11" s="1">
        <v>0.4</v>
      </c>
      <c r="AA11" s="1" t="s">
        <v>39</v>
      </c>
      <c r="AB11" s="1">
        <v>6</v>
      </c>
      <c r="AC11" s="1">
        <v>4</v>
      </c>
      <c r="AD11" s="1">
        <v>0</v>
      </c>
      <c r="AE11" s="1">
        <v>0</v>
      </c>
      <c r="AF11" s="1">
        <v>10</v>
      </c>
      <c r="AG11" s="1">
        <v>2016</v>
      </c>
      <c r="AH11" s="1">
        <v>2006</v>
      </c>
      <c r="AI11" s="1">
        <v>2016</v>
      </c>
      <c r="AJ11" s="1">
        <v>2021.44722222222</v>
      </c>
      <c r="AK11" s="1">
        <v>0.60723742811666603</v>
      </c>
      <c r="AL11" s="1">
        <v>0.397239845346749</v>
      </c>
      <c r="AM11" s="1">
        <v>2.0382965616422499</v>
      </c>
      <c r="AN11" s="1">
        <v>1201.43116659823</v>
      </c>
      <c r="AO11" s="1">
        <v>534.06984376335095</v>
      </c>
      <c r="AP11" s="1">
        <v>667.361322834882</v>
      </c>
      <c r="AQ11" s="1">
        <v>0.18823554143329599</v>
      </c>
      <c r="AR11" s="1">
        <v>703.85101890860801</v>
      </c>
      <c r="AS11" s="1">
        <v>3267.1621379080002</v>
      </c>
      <c r="AT11" s="1">
        <v>7313.1239658497598</v>
      </c>
      <c r="AU11" s="1">
        <v>409.03740680834699</v>
      </c>
      <c r="AV11" s="1">
        <v>9.1267375877981199E-2</v>
      </c>
      <c r="AW11" s="1">
        <v>973.04634856974997</v>
      </c>
      <c r="AX11" s="1">
        <v>1.56666666666666</v>
      </c>
      <c r="AY11" s="1">
        <v>59.266666666666602</v>
      </c>
      <c r="AZ11" s="1">
        <v>39.1666666666666</v>
      </c>
      <c r="BA11" s="1">
        <v>98.433333333333294</v>
      </c>
      <c r="BB11" s="1">
        <v>3899.7613197171099</v>
      </c>
      <c r="BC11" s="1">
        <v>0.18253475175596101</v>
      </c>
      <c r="BD11" s="1">
        <v>0.17683296107969099</v>
      </c>
      <c r="BE11" s="1">
        <v>0.35738566741891797</v>
      </c>
      <c r="BF11" s="1">
        <v>0.189800753623864</v>
      </c>
      <c r="BG11" s="1">
        <v>0.93928303881515696</v>
      </c>
      <c r="BH11" s="1">
        <v>6.8834036466967799E-2</v>
      </c>
      <c r="BI11" s="1">
        <v>0.98089746675613099</v>
      </c>
      <c r="BJ11" s="1">
        <v>4.5037376552766997</v>
      </c>
      <c r="BK11" s="1">
        <v>143.34453082024399</v>
      </c>
      <c r="BL11" s="1">
        <v>472.07213968907303</v>
      </c>
      <c r="BM11" s="1">
        <v>3384.3140039456198</v>
      </c>
      <c r="BN11" s="1">
        <v>64.952733535658894</v>
      </c>
      <c r="BO11" s="1">
        <v>0.276902848964796</v>
      </c>
      <c r="BP11" s="1">
        <v>0.55804456853679096</v>
      </c>
      <c r="BQ11" s="1">
        <v>25.891978570878699</v>
      </c>
      <c r="BR11" s="1">
        <v>23.5371092406189</v>
      </c>
      <c r="BS11" s="1">
        <v>45.296502012668299</v>
      </c>
      <c r="BT11" s="1">
        <v>14.991377158968801</v>
      </c>
      <c r="BU11" s="1">
        <v>1.5414214040357901</v>
      </c>
      <c r="BV11" s="1">
        <v>0.44383322100769201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9.6599839417101097E-2</v>
      </c>
      <c r="CG11" s="1">
        <v>1.27377015514883E-2</v>
      </c>
      <c r="CH11" s="1">
        <v>0.22078549701404299</v>
      </c>
      <c r="CI11" s="1">
        <v>34.684274377293796</v>
      </c>
      <c r="CJ11" s="1">
        <v>60.664406860742503</v>
      </c>
      <c r="CK11" s="1">
        <v>27.808831445035</v>
      </c>
      <c r="CL11" s="1">
        <v>7.8811604736588308E-3</v>
      </c>
      <c r="CM11" s="1">
        <v>47.679917163019503</v>
      </c>
      <c r="CN11" s="1">
        <v>121.665928226971</v>
      </c>
      <c r="CO11" s="1">
        <v>1196.2626452315701</v>
      </c>
      <c r="CP11" s="1">
        <v>57.111692265966099</v>
      </c>
      <c r="CQ11" s="1">
        <v>3.2703235505608399E-3</v>
      </c>
      <c r="CR11" s="1">
        <v>122.994953507193</v>
      </c>
      <c r="CS11" s="1">
        <v>5.7735026918962602E-2</v>
      </c>
      <c r="CT11" s="1">
        <v>1.4153915830374699</v>
      </c>
      <c r="CU11" s="1">
        <v>1.4433756729740601</v>
      </c>
      <c r="CV11" s="1">
        <v>5.7735026918959202E-2</v>
      </c>
      <c r="CW11" s="1">
        <v>394.51814762235102</v>
      </c>
      <c r="CX11" s="1">
        <v>6.5406471011218098E-3</v>
      </c>
      <c r="CY11" s="1">
        <v>1.6555716337598E-2</v>
      </c>
      <c r="CZ11" s="1">
        <v>7.36704958468309E-2</v>
      </c>
      <c r="DA11" s="1">
        <v>5.4557721422198802E-3</v>
      </c>
      <c r="DB11" s="1">
        <v>0.116711898845079</v>
      </c>
      <c r="DC11" s="1">
        <v>2.3585246295766702E-3</v>
      </c>
      <c r="DD11" s="1">
        <v>7.0549942088145801E-2</v>
      </c>
      <c r="DE11" s="1">
        <v>9.7449709659736594E-2</v>
      </c>
      <c r="DF11" s="1">
        <v>10.1980996574719</v>
      </c>
      <c r="DG11" s="1">
        <v>1.45790870374783</v>
      </c>
      <c r="DH11" s="1">
        <v>179.74399923985001</v>
      </c>
      <c r="DI11" s="1">
        <v>5.0685104707201498</v>
      </c>
      <c r="DJ11" s="1">
        <v>4.0005439103064797E-2</v>
      </c>
      <c r="DK11" s="1">
        <v>6.9839616477994096E-2</v>
      </c>
      <c r="DL11" s="1">
        <v>4.9155417861997401</v>
      </c>
      <c r="DM11" s="1">
        <v>3.6119822638193999</v>
      </c>
      <c r="DN11" s="1">
        <v>1.3207550413732501</v>
      </c>
      <c r="DO11" s="1">
        <v>0.75939632088689801</v>
      </c>
      <c r="DP11" s="1">
        <v>7.5318512143277297E-2</v>
      </c>
      <c r="DQ11" s="1">
        <v>3.7561843218521303E-2</v>
      </c>
    </row>
    <row r="12" spans="1:121" x14ac:dyDescent="0.25">
      <c r="A12" s="1" t="s">
        <v>44</v>
      </c>
      <c r="B12" s="1">
        <v>1</v>
      </c>
      <c r="C12" s="1" t="s">
        <v>29</v>
      </c>
      <c r="D12" s="1" t="s">
        <v>45</v>
      </c>
      <c r="E12" s="1">
        <v>11.913888888888801</v>
      </c>
      <c r="F12" s="1">
        <v>0.192915</v>
      </c>
      <c r="G12" s="1">
        <v>0.47</v>
      </c>
      <c r="H12" s="1">
        <v>21.3</v>
      </c>
      <c r="I12" s="1">
        <v>7.2233333333333301</v>
      </c>
      <c r="J12" s="1" t="s">
        <v>31</v>
      </c>
      <c r="K12" s="1" t="s">
        <v>31</v>
      </c>
      <c r="L12" s="1">
        <v>1.3888888888890999E-3</v>
      </c>
      <c r="M12" s="1">
        <v>0.10164388037161901</v>
      </c>
      <c r="N12" s="1">
        <v>0.19078784028338899</v>
      </c>
      <c r="O12" s="1">
        <v>0</v>
      </c>
      <c r="P12" s="1">
        <v>4.5092497528228803E-2</v>
      </c>
      <c r="Q12" s="1" t="s">
        <v>31</v>
      </c>
      <c r="R12" s="1" t="s">
        <v>31</v>
      </c>
      <c r="S12" s="1">
        <v>1.03E-2</v>
      </c>
      <c r="T12" s="1">
        <v>0</v>
      </c>
      <c r="U12" s="1">
        <v>3.0655817206808101E-3</v>
      </c>
      <c r="V12" s="1">
        <v>4.7718907406753396E-3</v>
      </c>
      <c r="W12" s="1">
        <v>1.35927270068627E-3</v>
      </c>
      <c r="X12" s="1" t="s">
        <v>32</v>
      </c>
      <c r="Y12" s="1">
        <v>15.6833333333333</v>
      </c>
      <c r="Z12" s="1">
        <v>0.22222222222222199</v>
      </c>
      <c r="AA12" s="1" t="s">
        <v>46</v>
      </c>
      <c r="AB12" s="1">
        <v>7</v>
      </c>
      <c r="AC12" s="1">
        <v>2</v>
      </c>
      <c r="AD12" s="1">
        <v>0</v>
      </c>
      <c r="AE12" s="1">
        <v>0</v>
      </c>
      <c r="AF12" s="1">
        <v>9</v>
      </c>
      <c r="AG12" s="1">
        <v>2003</v>
      </c>
      <c r="AH12" s="1">
        <v>2006</v>
      </c>
      <c r="AI12" s="1">
        <v>2003</v>
      </c>
      <c r="AJ12" s="1">
        <v>2018.68333333333</v>
      </c>
      <c r="AK12" s="1">
        <v>0.50599981347054601</v>
      </c>
      <c r="AL12" s="1">
        <v>0.51495923211046901</v>
      </c>
      <c r="AM12" s="1">
        <v>0.277218972422063</v>
      </c>
      <c r="AN12" s="1">
        <v>1229.81368618632</v>
      </c>
      <c r="AO12" s="1">
        <v>536.042077738849</v>
      </c>
      <c r="AP12" s="1">
        <v>693.77160844748403</v>
      </c>
      <c r="AQ12" s="1">
        <v>0.12844880304923301</v>
      </c>
      <c r="AR12" s="1">
        <v>708.85481006012299</v>
      </c>
      <c r="AS12" s="1">
        <v>1699.88612108231</v>
      </c>
      <c r="AT12" s="1">
        <v>2403.5636816910101</v>
      </c>
      <c r="AU12" s="1">
        <v>65.061508246247101</v>
      </c>
      <c r="AV12" s="1">
        <v>0.21647222375577299</v>
      </c>
      <c r="AW12" s="1">
        <v>-3.1677742324315301</v>
      </c>
      <c r="AX12" s="1">
        <v>5.3050000000000299</v>
      </c>
      <c r="AY12" s="1">
        <v>84.694999999999894</v>
      </c>
      <c r="AZ12" s="1">
        <v>10</v>
      </c>
      <c r="BA12" s="1">
        <v>94.694999999999894</v>
      </c>
      <c r="BB12" s="1">
        <v>1663.80890458464</v>
      </c>
      <c r="BC12" s="1">
        <v>0.445124584919253</v>
      </c>
      <c r="BD12" s="1">
        <v>0.55304378262730403</v>
      </c>
      <c r="BE12" s="1">
        <v>0.441343842253685</v>
      </c>
      <c r="BF12" s="1">
        <v>0.37429846159328201</v>
      </c>
      <c r="BG12" s="1">
        <v>1.4803208751096699</v>
      </c>
      <c r="BH12" s="1">
        <v>0.162892400844493</v>
      </c>
      <c r="BI12" s="1">
        <v>7.4913545759018101</v>
      </c>
      <c r="BJ12" s="1">
        <v>13.240987355490599</v>
      </c>
      <c r="BK12" s="1">
        <v>27.293219787919</v>
      </c>
      <c r="BL12" s="1">
        <v>95.972101082633003</v>
      </c>
      <c r="BM12" s="1">
        <v>1151.10193777883</v>
      </c>
      <c r="BN12" s="1">
        <v>99.702166855453399</v>
      </c>
      <c r="BO12" s="1">
        <v>0.14227140075439601</v>
      </c>
      <c r="BP12" s="1">
        <v>0.81340710113159398</v>
      </c>
      <c r="BQ12" s="1">
        <v>181.19612363446799</v>
      </c>
      <c r="BR12" s="1">
        <v>17.497711555193099</v>
      </c>
      <c r="BS12" s="1">
        <v>146.82809089047399</v>
      </c>
      <c r="BT12" s="1">
        <v>28.377480515836901</v>
      </c>
      <c r="BU12" s="1">
        <v>1.4642655591775999</v>
      </c>
      <c r="BV12" s="1">
        <v>0.436105320725516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0.116942301769725</v>
      </c>
      <c r="CG12" s="1">
        <v>1.38016645344935E-2</v>
      </c>
      <c r="CH12" s="1" t="s">
        <v>31</v>
      </c>
      <c r="CI12" s="1">
        <v>19.942607797015601</v>
      </c>
      <c r="CJ12" s="1">
        <v>29.254275774857</v>
      </c>
      <c r="CK12" s="1">
        <v>44.341464557175698</v>
      </c>
      <c r="CL12" s="1">
        <v>1.9618026828991199E-2</v>
      </c>
      <c r="CM12" s="1">
        <v>35.395720133117798</v>
      </c>
      <c r="CN12" s="1">
        <v>124.03885985100101</v>
      </c>
      <c r="CO12" s="1">
        <v>52.938327305905702</v>
      </c>
      <c r="CP12" s="1">
        <v>1.2070905808334</v>
      </c>
      <c r="CQ12" s="2">
        <v>3.5193609984933698E-4</v>
      </c>
      <c r="CR12" s="1">
        <v>6.76555198213096</v>
      </c>
      <c r="CS12" s="1">
        <v>0</v>
      </c>
      <c r="CT12" s="1">
        <v>0</v>
      </c>
      <c r="CU12" s="1">
        <v>0</v>
      </c>
      <c r="CV12" s="1">
        <v>0</v>
      </c>
      <c r="CW12" s="1">
        <v>34.027068794431798</v>
      </c>
      <c r="CX12" s="1">
        <v>2.0598456088106201E-2</v>
      </c>
      <c r="CY12" s="1">
        <v>3.2545817413537899E-3</v>
      </c>
      <c r="CZ12" s="1">
        <v>4.0642119863780697E-2</v>
      </c>
      <c r="DA12" s="1">
        <v>2.8365419549135601E-2</v>
      </c>
      <c r="DB12" s="1">
        <v>0.10189610680081</v>
      </c>
      <c r="DC12" s="1">
        <v>1.3433331065781901E-2</v>
      </c>
      <c r="DD12" s="1">
        <v>0.258887888865595</v>
      </c>
      <c r="DE12" s="1">
        <v>9.2853406948755504E-2</v>
      </c>
      <c r="DF12" s="1">
        <v>3.72987414353473</v>
      </c>
      <c r="DG12" s="1">
        <v>5.5963850018605203</v>
      </c>
      <c r="DH12" s="1">
        <v>29.7878450851263</v>
      </c>
      <c r="DI12" s="1">
        <v>1.7618540521886601</v>
      </c>
      <c r="DJ12" s="1">
        <v>1.5737865584534601E-3</v>
      </c>
      <c r="DK12" s="1">
        <v>2.3606798376801098E-3</v>
      </c>
      <c r="DL12" s="1">
        <v>6.1865549612805504</v>
      </c>
      <c r="DM12" s="1">
        <v>1.3668336260168199</v>
      </c>
      <c r="DN12" s="1">
        <v>4.1524358344794496</v>
      </c>
      <c r="DO12" s="1">
        <v>1.91057688196252</v>
      </c>
      <c r="DP12" s="1">
        <v>0.33206896383367901</v>
      </c>
      <c r="DQ12" s="1">
        <v>2.8436495315486299E-2</v>
      </c>
    </row>
    <row r="13" spans="1:121" x14ac:dyDescent="0.25">
      <c r="A13" s="1" t="s">
        <v>44</v>
      </c>
      <c r="B13" s="1">
        <v>1</v>
      </c>
      <c r="C13" s="1" t="s">
        <v>34</v>
      </c>
      <c r="D13" s="1" t="s">
        <v>45</v>
      </c>
      <c r="E13" s="1">
        <v>11.9013888888888</v>
      </c>
      <c r="F13" s="1">
        <v>3.4684554999999999E-2</v>
      </c>
      <c r="G13" s="1">
        <v>5.6066666666666602</v>
      </c>
      <c r="H13" s="1">
        <v>21.5</v>
      </c>
      <c r="I13" s="1">
        <v>7.1733333333333302</v>
      </c>
      <c r="J13" s="1" t="s">
        <v>31</v>
      </c>
      <c r="K13" s="1" t="s">
        <v>31</v>
      </c>
      <c r="L13" s="1">
        <v>1.3888888888890999E-3</v>
      </c>
      <c r="M13" s="1">
        <v>1.0692410954694601E-2</v>
      </c>
      <c r="N13" s="1">
        <v>0.41585253796668498</v>
      </c>
      <c r="O13" s="1">
        <v>0</v>
      </c>
      <c r="P13" s="1">
        <v>8.1445278152470796E-2</v>
      </c>
      <c r="Q13" s="1" t="s">
        <v>31</v>
      </c>
      <c r="R13" s="1" t="s">
        <v>31</v>
      </c>
      <c r="S13" s="1">
        <v>1.03E-2</v>
      </c>
      <c r="T13" s="1">
        <v>0</v>
      </c>
      <c r="U13" s="2">
        <v>4.0977662737775699E-4</v>
      </c>
      <c r="V13" s="2">
        <v>5.8946004171735698E-4</v>
      </c>
      <c r="W13" s="2">
        <v>2.30093213038156E-4</v>
      </c>
      <c r="X13" s="1" t="s">
        <v>32</v>
      </c>
      <c r="Y13" s="1">
        <v>15.6833333333333</v>
      </c>
      <c r="Z13" s="1">
        <v>0.22222222222222199</v>
      </c>
      <c r="AA13" s="1" t="s">
        <v>46</v>
      </c>
      <c r="AB13" s="1">
        <v>7</v>
      </c>
      <c r="AC13" s="1">
        <v>2</v>
      </c>
      <c r="AD13" s="1">
        <v>0</v>
      </c>
      <c r="AE13" s="1">
        <v>0</v>
      </c>
      <c r="AF13" s="1">
        <v>9</v>
      </c>
      <c r="AG13" s="1">
        <v>2003</v>
      </c>
      <c r="AH13" s="1">
        <v>2006</v>
      </c>
      <c r="AI13" s="1">
        <v>2003</v>
      </c>
      <c r="AJ13" s="1">
        <v>2018.68333333333</v>
      </c>
      <c r="AK13" s="1">
        <v>0.50599981347054601</v>
      </c>
      <c r="AL13" s="1">
        <v>0.51495923211046901</v>
      </c>
      <c r="AM13" s="1">
        <v>0.277218972422063</v>
      </c>
      <c r="AN13" s="1">
        <v>1229.81368618632</v>
      </c>
      <c r="AO13" s="1">
        <v>536.042077738849</v>
      </c>
      <c r="AP13" s="1">
        <v>693.77160844748403</v>
      </c>
      <c r="AQ13" s="1">
        <v>0.12844880304923301</v>
      </c>
      <c r="AR13" s="1">
        <v>708.85481006012299</v>
      </c>
      <c r="AS13" s="1">
        <v>1699.88612108231</v>
      </c>
      <c r="AT13" s="1">
        <v>2403.5636816910101</v>
      </c>
      <c r="AU13" s="1">
        <v>65.061508246247101</v>
      </c>
      <c r="AV13" s="1">
        <v>0.21647222375577299</v>
      </c>
      <c r="AW13" s="1">
        <v>-3.1677742324315301</v>
      </c>
      <c r="AX13" s="1">
        <v>5.3050000000000299</v>
      </c>
      <c r="AY13" s="1">
        <v>84.694999999999894</v>
      </c>
      <c r="AZ13" s="1">
        <v>10</v>
      </c>
      <c r="BA13" s="1">
        <v>94.694999999999894</v>
      </c>
      <c r="BB13" s="1">
        <v>1663.80890458464</v>
      </c>
      <c r="BC13" s="1">
        <v>0.445124584919253</v>
      </c>
      <c r="BD13" s="1">
        <v>0.55304378262730403</v>
      </c>
      <c r="BE13" s="1">
        <v>0.441343842253685</v>
      </c>
      <c r="BF13" s="1">
        <v>0.37429846159328201</v>
      </c>
      <c r="BG13" s="1">
        <v>1.4803208751096699</v>
      </c>
      <c r="BH13" s="1">
        <v>0.162892400844493</v>
      </c>
      <c r="BI13" s="1">
        <v>7.4913545759018101</v>
      </c>
      <c r="BJ13" s="1">
        <v>13.240987355490599</v>
      </c>
      <c r="BK13" s="1">
        <v>27.293219787919</v>
      </c>
      <c r="BL13" s="1">
        <v>95.972101082633003</v>
      </c>
      <c r="BM13" s="1">
        <v>1151.10193777883</v>
      </c>
      <c r="BN13" s="1">
        <v>99.702166855453399</v>
      </c>
      <c r="BO13" s="1">
        <v>0.14227140075439601</v>
      </c>
      <c r="BP13" s="1">
        <v>0.81340710113159398</v>
      </c>
      <c r="BQ13" s="1">
        <v>181.19612363446799</v>
      </c>
      <c r="BR13" s="1">
        <v>17.497711555193099</v>
      </c>
      <c r="BS13" s="1">
        <v>146.82809089047399</v>
      </c>
      <c r="BT13" s="1">
        <v>28.377480515836901</v>
      </c>
      <c r="BU13" s="1">
        <v>1.4642655591775999</v>
      </c>
      <c r="BV13" s="1">
        <v>0.436105320725516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0.116942301769725</v>
      </c>
      <c r="CG13" s="1">
        <v>1.38016645344935E-2</v>
      </c>
      <c r="CH13" s="1" t="s">
        <v>31</v>
      </c>
      <c r="CI13" s="1">
        <v>19.942607797015601</v>
      </c>
      <c r="CJ13" s="1">
        <v>29.254275774857</v>
      </c>
      <c r="CK13" s="1">
        <v>44.341464557175698</v>
      </c>
      <c r="CL13" s="1">
        <v>1.9618026828991199E-2</v>
      </c>
      <c r="CM13" s="1">
        <v>35.395720133117798</v>
      </c>
      <c r="CN13" s="1">
        <v>124.03885985100101</v>
      </c>
      <c r="CO13" s="1">
        <v>52.938327305905702</v>
      </c>
      <c r="CP13" s="1">
        <v>1.2070905808334</v>
      </c>
      <c r="CQ13" s="2">
        <v>3.5193609984933698E-4</v>
      </c>
      <c r="CR13" s="1">
        <v>6.76555198213096</v>
      </c>
      <c r="CS13" s="1">
        <v>0</v>
      </c>
      <c r="CT13" s="1">
        <v>0</v>
      </c>
      <c r="CU13" s="1">
        <v>0</v>
      </c>
      <c r="CV13" s="1">
        <v>0</v>
      </c>
      <c r="CW13" s="1">
        <v>34.027068794431798</v>
      </c>
      <c r="CX13" s="1">
        <v>2.0598456088106201E-2</v>
      </c>
      <c r="CY13" s="1">
        <v>3.2545817413537899E-3</v>
      </c>
      <c r="CZ13" s="1">
        <v>4.0642119863780697E-2</v>
      </c>
      <c r="DA13" s="1">
        <v>2.8365419549135601E-2</v>
      </c>
      <c r="DB13" s="1">
        <v>0.10189610680081</v>
      </c>
      <c r="DC13" s="1">
        <v>1.3433331065781901E-2</v>
      </c>
      <c r="DD13" s="1">
        <v>0.258887888865595</v>
      </c>
      <c r="DE13" s="1">
        <v>9.2853406948755504E-2</v>
      </c>
      <c r="DF13" s="1">
        <v>3.72987414353473</v>
      </c>
      <c r="DG13" s="1">
        <v>5.5963850018605203</v>
      </c>
      <c r="DH13" s="1">
        <v>29.7878450851263</v>
      </c>
      <c r="DI13" s="1">
        <v>1.7618540521886601</v>
      </c>
      <c r="DJ13" s="1">
        <v>1.5737865584534601E-3</v>
      </c>
      <c r="DK13" s="1">
        <v>2.3606798376801098E-3</v>
      </c>
      <c r="DL13" s="1">
        <v>6.1865549612805504</v>
      </c>
      <c r="DM13" s="1">
        <v>1.3668336260168199</v>
      </c>
      <c r="DN13" s="1">
        <v>4.1524358344794496</v>
      </c>
      <c r="DO13" s="1">
        <v>1.91057688196252</v>
      </c>
      <c r="DP13" s="1">
        <v>0.33206896383367901</v>
      </c>
      <c r="DQ13" s="1">
        <v>2.8436495315486299E-2</v>
      </c>
    </row>
    <row r="14" spans="1:121" x14ac:dyDescent="0.25">
      <c r="A14" s="1" t="s">
        <v>47</v>
      </c>
      <c r="B14" s="1">
        <v>0</v>
      </c>
      <c r="C14" s="1" t="s">
        <v>29</v>
      </c>
      <c r="D14" s="1" t="s">
        <v>48</v>
      </c>
      <c r="E14" s="1">
        <v>12.9583333333333</v>
      </c>
      <c r="F14" s="1">
        <v>0.29113711111111101</v>
      </c>
      <c r="G14" s="1">
        <v>0.483333333333333</v>
      </c>
      <c r="H14" s="1">
        <v>18.5</v>
      </c>
      <c r="I14" s="1">
        <v>8.3333333333333304</v>
      </c>
      <c r="J14" s="1" t="s">
        <v>31</v>
      </c>
      <c r="K14" s="1" t="s">
        <v>31</v>
      </c>
      <c r="L14" s="1">
        <v>0.86602540378443804</v>
      </c>
      <c r="M14" s="1">
        <v>0.120331393515412</v>
      </c>
      <c r="N14" s="1">
        <v>0.20254629100529001</v>
      </c>
      <c r="O14" s="1">
        <v>0.109544511501034</v>
      </c>
      <c r="P14" s="1">
        <v>2.88675134594806E-2</v>
      </c>
      <c r="Q14" s="1" t="s">
        <v>31</v>
      </c>
      <c r="R14" s="1" t="s">
        <v>31</v>
      </c>
      <c r="S14" s="1">
        <v>5.0000000000000001E-3</v>
      </c>
      <c r="T14" s="1">
        <v>0</v>
      </c>
      <c r="U14" s="1">
        <v>4.4162640943194E-3</v>
      </c>
      <c r="V14" s="1">
        <v>6.2734688816955403E-3</v>
      </c>
      <c r="W14" s="1">
        <v>2.5590593069432501E-3</v>
      </c>
      <c r="X14" s="1" t="s">
        <v>32</v>
      </c>
      <c r="Y14" s="1">
        <v>16.5194444444443</v>
      </c>
      <c r="Z14" s="1">
        <v>0.22222222222222199</v>
      </c>
      <c r="AA14" s="1" t="s">
        <v>46</v>
      </c>
      <c r="AB14" s="1">
        <v>7</v>
      </c>
      <c r="AC14" s="1">
        <v>2</v>
      </c>
      <c r="AD14" s="1">
        <v>0</v>
      </c>
      <c r="AE14" s="1">
        <v>0</v>
      </c>
      <c r="AF14" s="1">
        <v>9</v>
      </c>
      <c r="AG14" s="1">
        <v>2003</v>
      </c>
      <c r="AH14" s="1">
        <v>2006</v>
      </c>
      <c r="AI14" s="1">
        <v>2003</v>
      </c>
      <c r="AJ14" s="1">
        <v>2019.5194444444401</v>
      </c>
      <c r="AK14" s="1">
        <v>0.27787873549551001</v>
      </c>
      <c r="AL14" s="1">
        <v>0.66333317116338097</v>
      </c>
      <c r="AM14" s="1">
        <v>0.62799188265814199</v>
      </c>
      <c r="AN14" s="1">
        <v>1075.7220132688501</v>
      </c>
      <c r="AO14" s="1">
        <v>451.518443432884</v>
      </c>
      <c r="AP14" s="1">
        <v>624.20356983597298</v>
      </c>
      <c r="AQ14" s="1">
        <v>0.24332643327384401</v>
      </c>
      <c r="AR14" s="1">
        <v>400.19650763720301</v>
      </c>
      <c r="AS14" s="1">
        <v>2031.5299029835601</v>
      </c>
      <c r="AT14" s="1">
        <v>1746.0380555034001</v>
      </c>
      <c r="AU14" s="1">
        <v>22.024149321916301</v>
      </c>
      <c r="AV14" s="1">
        <v>0.12108195360572201</v>
      </c>
      <c r="AW14" s="1">
        <v>309.10011886259701</v>
      </c>
      <c r="AX14" s="1">
        <v>37.299999999999898</v>
      </c>
      <c r="AY14" s="1">
        <v>51.45</v>
      </c>
      <c r="AZ14" s="1">
        <v>11.25</v>
      </c>
      <c r="BA14" s="1">
        <v>62.700000000000102</v>
      </c>
      <c r="BB14" s="1">
        <v>1649.5270383716299</v>
      </c>
      <c r="BC14" s="1">
        <v>0.24216390721144199</v>
      </c>
      <c r="BD14" s="1">
        <v>0.41543960865968499</v>
      </c>
      <c r="BE14" s="1">
        <v>0.24466897701210599</v>
      </c>
      <c r="BF14" s="1">
        <v>0.171907729335493</v>
      </c>
      <c r="BG14" s="1">
        <v>2.4259940366220998</v>
      </c>
      <c r="BH14" s="1">
        <v>0.13880478077222499</v>
      </c>
      <c r="BI14" s="1">
        <v>8.3140666488329291</v>
      </c>
      <c r="BJ14" s="1">
        <v>17.3638555956645</v>
      </c>
      <c r="BK14" s="1">
        <v>134.582425541053</v>
      </c>
      <c r="BL14" s="1">
        <v>748.88757618952798</v>
      </c>
      <c r="BM14" s="1">
        <v>3170.2412575220101</v>
      </c>
      <c r="BN14" s="1">
        <v>14.011946447108899</v>
      </c>
      <c r="BO14" s="1">
        <v>0.448555404002559</v>
      </c>
      <c r="BP14" s="1">
        <v>0.67545808164710797</v>
      </c>
      <c r="BQ14" s="1">
        <v>15.852394160768</v>
      </c>
      <c r="BR14" s="1">
        <v>10.362912850778701</v>
      </c>
      <c r="BS14" s="1">
        <v>52.149844683848897</v>
      </c>
      <c r="BT14" s="1">
        <v>38.055045369029202</v>
      </c>
      <c r="BU14" s="1">
        <v>4.2456795028034904</v>
      </c>
      <c r="BV14" s="1">
        <v>0.42209531077214502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5.1353005091315497E-2</v>
      </c>
      <c r="CG14" s="1">
        <v>4.6639200116093703E-2</v>
      </c>
      <c r="CH14" s="1">
        <v>0.34202828713845002</v>
      </c>
      <c r="CI14" s="1">
        <v>75.266606452953098</v>
      </c>
      <c r="CJ14" s="1">
        <v>40.799423681675798</v>
      </c>
      <c r="CK14" s="1">
        <v>116.066030134629</v>
      </c>
      <c r="CL14" s="1">
        <v>3.8927152125169E-2</v>
      </c>
      <c r="CM14" s="1">
        <v>91.327500719227899</v>
      </c>
      <c r="CN14" s="1">
        <v>459.443931565502</v>
      </c>
      <c r="CO14" s="1">
        <v>314.10242102871098</v>
      </c>
      <c r="CP14" s="1">
        <v>0.27427550883090801</v>
      </c>
      <c r="CQ14" s="1">
        <v>1.8885537611178201E-3</v>
      </c>
      <c r="CR14" s="1">
        <v>59.470881684032598</v>
      </c>
      <c r="CS14" s="1">
        <v>0</v>
      </c>
      <c r="CT14" s="1">
        <v>0</v>
      </c>
      <c r="CU14" s="1">
        <v>0</v>
      </c>
      <c r="CV14" s="1">
        <v>0</v>
      </c>
      <c r="CW14" s="1">
        <v>350.69391256572101</v>
      </c>
      <c r="CX14" s="1">
        <v>3.7771075222359598E-3</v>
      </c>
      <c r="CY14" s="1">
        <v>1.8040844191811699E-2</v>
      </c>
      <c r="CZ14" s="1">
        <v>4.0417533603405803E-2</v>
      </c>
      <c r="DA14" s="2">
        <v>6.67408458158972E-4</v>
      </c>
      <c r="DB14" s="1">
        <v>9.8230407037358206E-2</v>
      </c>
      <c r="DC14" s="1">
        <v>1.7024900854717601E-2</v>
      </c>
      <c r="DD14" s="1">
        <v>0.105554669603941</v>
      </c>
      <c r="DE14" s="1">
        <v>0.208248225220555</v>
      </c>
      <c r="DF14" s="1">
        <v>1.2381470780164301</v>
      </c>
      <c r="DG14" s="1">
        <v>3.4161701008702501</v>
      </c>
      <c r="DH14" s="1">
        <v>14.399373602370201</v>
      </c>
      <c r="DI14" s="1">
        <v>7.56151553793937E-2</v>
      </c>
      <c r="DJ14" s="1">
        <v>5.7222279746570502E-3</v>
      </c>
      <c r="DK14" s="1">
        <v>9.5029857436269797E-3</v>
      </c>
      <c r="DL14" s="1">
        <v>0.199051787404144</v>
      </c>
      <c r="DM14" s="1">
        <v>0.14407752579047201</v>
      </c>
      <c r="DN14" s="1">
        <v>0.62024863939586095</v>
      </c>
      <c r="DO14" s="1">
        <v>0.38461546601087898</v>
      </c>
      <c r="DP14" s="1">
        <v>3.97490478953854E-2</v>
      </c>
      <c r="DQ14" s="1">
        <v>6.7460835074556094E-2</v>
      </c>
    </row>
    <row r="15" spans="1:121" x14ac:dyDescent="0.25">
      <c r="A15" s="1" t="s">
        <v>47</v>
      </c>
      <c r="B15" s="1">
        <v>0</v>
      </c>
      <c r="C15" s="1" t="s">
        <v>34</v>
      </c>
      <c r="D15" s="1" t="s">
        <v>48</v>
      </c>
      <c r="E15" s="1">
        <v>12.9583333333333</v>
      </c>
      <c r="F15" s="1">
        <v>8.2485441111111099E-2</v>
      </c>
      <c r="G15" s="1">
        <v>4.07</v>
      </c>
      <c r="H15" s="1">
        <v>18.5</v>
      </c>
      <c r="I15" s="1">
        <v>8.25</v>
      </c>
      <c r="J15" s="1" t="s">
        <v>31</v>
      </c>
      <c r="K15" s="1" t="s">
        <v>31</v>
      </c>
      <c r="L15" s="1">
        <v>0.86602540378443804</v>
      </c>
      <c r="M15" s="1">
        <v>3.8039194813819399E-2</v>
      </c>
      <c r="N15" s="1">
        <v>1.09538805909138</v>
      </c>
      <c r="O15" s="1">
        <v>0.109544511501034</v>
      </c>
      <c r="P15" s="1">
        <v>0.115325625946708</v>
      </c>
      <c r="Q15" s="1" t="s">
        <v>31</v>
      </c>
      <c r="R15" s="1" t="s">
        <v>31</v>
      </c>
      <c r="S15" s="1">
        <v>5.0000000000000001E-3</v>
      </c>
      <c r="T15" s="1">
        <v>0</v>
      </c>
      <c r="U15" s="1">
        <v>1.19591677599142E-3</v>
      </c>
      <c r="V15" s="1">
        <v>1.78301688887352E-3</v>
      </c>
      <c r="W15" s="2">
        <v>6.0881666310932405E-4</v>
      </c>
      <c r="X15" s="1" t="s">
        <v>32</v>
      </c>
      <c r="Y15" s="1">
        <v>16.5194444444443</v>
      </c>
      <c r="Z15" s="1">
        <v>0.22222222222222199</v>
      </c>
      <c r="AA15" s="1" t="s">
        <v>46</v>
      </c>
      <c r="AB15" s="1">
        <v>7</v>
      </c>
      <c r="AC15" s="1">
        <v>2</v>
      </c>
      <c r="AD15" s="1">
        <v>0</v>
      </c>
      <c r="AE15" s="1">
        <v>0</v>
      </c>
      <c r="AF15" s="1">
        <v>9</v>
      </c>
      <c r="AG15" s="1">
        <v>2003</v>
      </c>
      <c r="AH15" s="1">
        <v>2006</v>
      </c>
      <c r="AI15" s="1">
        <v>2003</v>
      </c>
      <c r="AJ15" s="1">
        <v>2019.5194444444401</v>
      </c>
      <c r="AK15" s="1">
        <v>0.27787873549551001</v>
      </c>
      <c r="AL15" s="1">
        <v>0.66333317116338097</v>
      </c>
      <c r="AM15" s="1">
        <v>0.62799188265814199</v>
      </c>
      <c r="AN15" s="1">
        <v>1075.7220132688501</v>
      </c>
      <c r="AO15" s="1">
        <v>451.518443432884</v>
      </c>
      <c r="AP15" s="1">
        <v>624.20356983597298</v>
      </c>
      <c r="AQ15" s="1">
        <v>0.24332643327384401</v>
      </c>
      <c r="AR15" s="1">
        <v>400.19650763720301</v>
      </c>
      <c r="AS15" s="1">
        <v>2031.5299029835601</v>
      </c>
      <c r="AT15" s="1">
        <v>1746.0380555034001</v>
      </c>
      <c r="AU15" s="1">
        <v>22.024149321916301</v>
      </c>
      <c r="AV15" s="1">
        <v>0.12108195360572201</v>
      </c>
      <c r="AW15" s="1">
        <v>309.10011886259701</v>
      </c>
      <c r="AX15" s="1">
        <v>37.299999999999898</v>
      </c>
      <c r="AY15" s="1">
        <v>51.45</v>
      </c>
      <c r="AZ15" s="1">
        <v>11.25</v>
      </c>
      <c r="BA15" s="1">
        <v>62.700000000000102</v>
      </c>
      <c r="BB15" s="1">
        <v>1649.5270383716299</v>
      </c>
      <c r="BC15" s="1">
        <v>0.24216390721144199</v>
      </c>
      <c r="BD15" s="1">
        <v>0.41543960865968499</v>
      </c>
      <c r="BE15" s="1">
        <v>0.24466897701210599</v>
      </c>
      <c r="BF15" s="1">
        <v>0.171907729335493</v>
      </c>
      <c r="BG15" s="1">
        <v>2.4259940366220998</v>
      </c>
      <c r="BH15" s="1">
        <v>0.13880478077222499</v>
      </c>
      <c r="BI15" s="1">
        <v>8.3140666488329291</v>
      </c>
      <c r="BJ15" s="1">
        <v>17.3638555956645</v>
      </c>
      <c r="BK15" s="1">
        <v>134.582425541053</v>
      </c>
      <c r="BL15" s="1">
        <v>748.88757618952798</v>
      </c>
      <c r="BM15" s="1">
        <v>3170.2412575220101</v>
      </c>
      <c r="BN15" s="1">
        <v>14.011946447108899</v>
      </c>
      <c r="BO15" s="1">
        <v>0.448555404002559</v>
      </c>
      <c r="BP15" s="1">
        <v>0.67545808164710797</v>
      </c>
      <c r="BQ15" s="1">
        <v>15.852394160768</v>
      </c>
      <c r="BR15" s="1">
        <v>10.362912850778701</v>
      </c>
      <c r="BS15" s="1">
        <v>52.149844683848897</v>
      </c>
      <c r="BT15" s="1">
        <v>38.055045369029202</v>
      </c>
      <c r="BU15" s="1">
        <v>4.2456795028034904</v>
      </c>
      <c r="BV15" s="1">
        <v>0.42209531077214502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5.1353005091315497E-2</v>
      </c>
      <c r="CG15" s="1">
        <v>4.6639200116093703E-2</v>
      </c>
      <c r="CH15" s="1">
        <v>0.34202828713845002</v>
      </c>
      <c r="CI15" s="1">
        <v>75.266606452953098</v>
      </c>
      <c r="CJ15" s="1">
        <v>40.799423681675798</v>
      </c>
      <c r="CK15" s="1">
        <v>116.066030134629</v>
      </c>
      <c r="CL15" s="1">
        <v>3.8927152125169E-2</v>
      </c>
      <c r="CM15" s="1">
        <v>91.327500719227899</v>
      </c>
      <c r="CN15" s="1">
        <v>459.443931565502</v>
      </c>
      <c r="CO15" s="1">
        <v>314.10242102871098</v>
      </c>
      <c r="CP15" s="1">
        <v>0.27427550883090801</v>
      </c>
      <c r="CQ15" s="1">
        <v>1.8885537611178201E-3</v>
      </c>
      <c r="CR15" s="1">
        <v>59.470881684032598</v>
      </c>
      <c r="CS15" s="1">
        <v>0</v>
      </c>
      <c r="CT15" s="1">
        <v>0</v>
      </c>
      <c r="CU15" s="1">
        <v>0</v>
      </c>
      <c r="CV15" s="1">
        <v>0</v>
      </c>
      <c r="CW15" s="1">
        <v>350.69391256572101</v>
      </c>
      <c r="CX15" s="1">
        <v>3.7771075222359598E-3</v>
      </c>
      <c r="CY15" s="1">
        <v>1.8040844191811699E-2</v>
      </c>
      <c r="CZ15" s="1">
        <v>4.0417533603405803E-2</v>
      </c>
      <c r="DA15" s="2">
        <v>6.67408458158972E-4</v>
      </c>
      <c r="DB15" s="1">
        <v>9.8230407037358206E-2</v>
      </c>
      <c r="DC15" s="1">
        <v>1.7024900854717601E-2</v>
      </c>
      <c r="DD15" s="1">
        <v>0.105554669603941</v>
      </c>
      <c r="DE15" s="1">
        <v>0.208248225220555</v>
      </c>
      <c r="DF15" s="1">
        <v>1.2381470780164301</v>
      </c>
      <c r="DG15" s="1">
        <v>3.4161701008702501</v>
      </c>
      <c r="DH15" s="1">
        <v>14.399373602370201</v>
      </c>
      <c r="DI15" s="1">
        <v>7.56151553793937E-2</v>
      </c>
      <c r="DJ15" s="1">
        <v>5.7222279746570502E-3</v>
      </c>
      <c r="DK15" s="1">
        <v>9.5029857436269797E-3</v>
      </c>
      <c r="DL15" s="1">
        <v>0.199051787404144</v>
      </c>
      <c r="DM15" s="1">
        <v>0.14407752579047201</v>
      </c>
      <c r="DN15" s="1">
        <v>0.62024863939586095</v>
      </c>
      <c r="DO15" s="1">
        <v>0.38461546601087898</v>
      </c>
      <c r="DP15" s="1">
        <v>3.97490478953854E-2</v>
      </c>
      <c r="DQ15" s="1">
        <v>6.7460835074556094E-2</v>
      </c>
    </row>
    <row r="16" spans="1:121" x14ac:dyDescent="0.25">
      <c r="A16" s="1" t="s">
        <v>47</v>
      </c>
      <c r="B16" s="1">
        <v>2</v>
      </c>
      <c r="C16" s="1" t="s">
        <v>29</v>
      </c>
      <c r="D16" s="1" t="s">
        <v>49</v>
      </c>
      <c r="E16" s="1">
        <v>12.7215277777777</v>
      </c>
      <c r="F16" s="1">
        <v>0.21734500000000001</v>
      </c>
      <c r="G16" s="1">
        <v>0.59833333333333305</v>
      </c>
      <c r="H16" s="1">
        <v>21.883333333333301</v>
      </c>
      <c r="I16" s="1">
        <v>8.3816666666666606</v>
      </c>
      <c r="J16" s="1">
        <v>-55.533333333333303</v>
      </c>
      <c r="K16" s="1">
        <v>457.03333333333302</v>
      </c>
      <c r="L16" s="1">
        <v>1.0300226984194301</v>
      </c>
      <c r="M16" s="1">
        <v>8.1940761712349194E-2</v>
      </c>
      <c r="N16" s="1">
        <v>0.66607557128802297</v>
      </c>
      <c r="O16" s="1">
        <v>1.0778064142816499</v>
      </c>
      <c r="P16" s="1">
        <v>0.378175444293606</v>
      </c>
      <c r="Q16" s="1">
        <v>143.87641456008899</v>
      </c>
      <c r="R16" s="1">
        <v>11.3999415203178</v>
      </c>
      <c r="S16" s="1">
        <v>5.0000000000000001E-3</v>
      </c>
      <c r="T16" s="1">
        <v>0</v>
      </c>
      <c r="U16" s="1">
        <v>3.33835689721054E-3</v>
      </c>
      <c r="V16" s="1">
        <v>4.6265789275155003E-3</v>
      </c>
      <c r="W16" s="1">
        <v>2.0501348669055802E-3</v>
      </c>
      <c r="X16" s="1" t="s">
        <v>32</v>
      </c>
      <c r="Y16" s="1">
        <v>16.5194444444443</v>
      </c>
      <c r="Z16" s="1">
        <v>0.22222222222222199</v>
      </c>
      <c r="AA16" s="1" t="s">
        <v>46</v>
      </c>
      <c r="AB16" s="1">
        <v>7</v>
      </c>
      <c r="AC16" s="1">
        <v>2</v>
      </c>
      <c r="AD16" s="1">
        <v>0</v>
      </c>
      <c r="AE16" s="1">
        <v>0</v>
      </c>
      <c r="AF16" s="1">
        <v>9</v>
      </c>
      <c r="AG16" s="1">
        <v>2003</v>
      </c>
      <c r="AH16" s="1">
        <v>2006</v>
      </c>
      <c r="AI16" s="1">
        <v>2003</v>
      </c>
      <c r="AJ16" s="1">
        <v>2019.5194444444401</v>
      </c>
      <c r="AK16" s="1">
        <v>0.62061063762368096</v>
      </c>
      <c r="AL16" s="1">
        <v>0.460724325653949</v>
      </c>
      <c r="AM16" s="1">
        <v>0.181904566378253</v>
      </c>
      <c r="AN16" s="1">
        <v>862.57774663287</v>
      </c>
      <c r="AO16" s="1">
        <v>289.90710594775197</v>
      </c>
      <c r="AP16" s="1">
        <v>572.67064068511797</v>
      </c>
      <c r="AQ16" s="1">
        <v>0.18933589983291399</v>
      </c>
      <c r="AR16" s="1">
        <v>357.78865818500702</v>
      </c>
      <c r="AS16" s="1">
        <v>2320.0920459084</v>
      </c>
      <c r="AT16" s="1">
        <v>2692.77510097192</v>
      </c>
      <c r="AU16" s="1">
        <v>47.4114625885585</v>
      </c>
      <c r="AV16" s="1">
        <v>8.6802561034888495E-2</v>
      </c>
      <c r="AW16" s="1">
        <v>535.41868209955305</v>
      </c>
      <c r="AX16" s="1">
        <v>16.73</v>
      </c>
      <c r="AY16" s="1">
        <v>52.019999999999897</v>
      </c>
      <c r="AZ16" s="1">
        <v>31.25</v>
      </c>
      <c r="BA16" s="1">
        <v>83.27</v>
      </c>
      <c r="BB16" s="1">
        <v>2077.2263727547902</v>
      </c>
      <c r="BC16" s="1">
        <v>0.17360512206977599</v>
      </c>
      <c r="BD16" s="1">
        <v>0.24393193878564401</v>
      </c>
      <c r="BE16" s="1">
        <v>0.410397500812831</v>
      </c>
      <c r="BF16" s="1">
        <v>0.135940447139659</v>
      </c>
      <c r="BG16" s="1">
        <v>1.8194741229764599</v>
      </c>
      <c r="BH16" s="1">
        <v>7.0181060618551894E-2</v>
      </c>
      <c r="BI16" s="1">
        <v>5.2486115720293798</v>
      </c>
      <c r="BJ16" s="1">
        <v>11.381620958346501</v>
      </c>
      <c r="BK16" s="1">
        <v>163.124259293411</v>
      </c>
      <c r="BL16" s="1">
        <v>991.56757825492502</v>
      </c>
      <c r="BM16" s="1">
        <v>3783.2396492789599</v>
      </c>
      <c r="BN16" s="1">
        <v>7.7150120452935598</v>
      </c>
      <c r="BO16" s="1">
        <v>0.57104286322158404</v>
      </c>
      <c r="BP16" s="1">
        <v>0.89324177036549901</v>
      </c>
      <c r="BQ16" s="1">
        <v>7.5924811609378198</v>
      </c>
      <c r="BR16" s="1">
        <v>13.4466617209582</v>
      </c>
      <c r="BS16" s="1">
        <v>16.840528225379298</v>
      </c>
      <c r="BT16" s="1">
        <v>18.086186303483899</v>
      </c>
      <c r="BU16" s="1">
        <v>3.0355554004537799</v>
      </c>
      <c r="BV16" s="1">
        <v>0.33669620176956799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6.4462025063113201E-2</v>
      </c>
      <c r="CG16" s="1">
        <v>2.8468441416692299E-2</v>
      </c>
      <c r="CH16" s="1">
        <v>2.5751041079855201E-2</v>
      </c>
      <c r="CI16" s="1">
        <v>62.786570179101801</v>
      </c>
      <c r="CJ16" s="1">
        <v>11.4597942573641</v>
      </c>
      <c r="CK16" s="1">
        <v>52.031369627669797</v>
      </c>
      <c r="CL16" s="1">
        <v>1.49523386325979E-2</v>
      </c>
      <c r="CM16" s="1">
        <v>25.653363612258001</v>
      </c>
      <c r="CN16" s="1">
        <v>109.985125602496</v>
      </c>
      <c r="CO16" s="1">
        <v>393.25360074186199</v>
      </c>
      <c r="CP16" s="1">
        <v>3.5873027503971802</v>
      </c>
      <c r="CQ16" s="1">
        <v>5.3704682955372602E-3</v>
      </c>
      <c r="CR16" s="1">
        <v>23.476350103705599</v>
      </c>
      <c r="CS16" s="1">
        <v>0</v>
      </c>
      <c r="CT16" s="1">
        <v>0</v>
      </c>
      <c r="CU16" s="1">
        <v>0</v>
      </c>
      <c r="CV16" s="1">
        <v>0</v>
      </c>
      <c r="CW16" s="1">
        <v>53.317707078595603</v>
      </c>
      <c r="CX16" s="1">
        <v>1.07409365910746E-2</v>
      </c>
      <c r="CY16" s="1">
        <v>3.2546225117734397E-2</v>
      </c>
      <c r="CZ16" s="1">
        <v>1.1837065824546999E-2</v>
      </c>
      <c r="DA16" s="1">
        <v>1.11900976423077E-2</v>
      </c>
      <c r="DB16" s="1">
        <v>0.33299734377830698</v>
      </c>
      <c r="DC16" s="1">
        <v>1.9073765267126599E-3</v>
      </c>
      <c r="DD16" s="1">
        <v>0.168625354965626</v>
      </c>
      <c r="DE16" s="1">
        <v>0.28687745770634798</v>
      </c>
      <c r="DF16" s="1">
        <v>1.26844136187598</v>
      </c>
      <c r="DG16" s="1">
        <v>2.1467579618398802</v>
      </c>
      <c r="DH16" s="1">
        <v>15.944384729059101</v>
      </c>
      <c r="DI16" s="1">
        <v>0.11467953166094599</v>
      </c>
      <c r="DJ16" s="1">
        <v>7.1451421595604596E-3</v>
      </c>
      <c r="DK16" s="1">
        <v>1.8041483952890101E-2</v>
      </c>
      <c r="DL16" s="1">
        <v>0.105212218299527</v>
      </c>
      <c r="DM16" s="1">
        <v>0.343681337874857</v>
      </c>
      <c r="DN16" s="1">
        <v>1.30398844411978E-2</v>
      </c>
      <c r="DO16" s="1">
        <v>0.27276580194122002</v>
      </c>
      <c r="DP16" s="1">
        <v>5.0909137886868197E-2</v>
      </c>
      <c r="DQ16" s="1">
        <v>1.3158306375143401E-2</v>
      </c>
    </row>
    <row r="17" spans="1:121" x14ac:dyDescent="0.25">
      <c r="A17" s="1" t="s">
        <v>47</v>
      </c>
      <c r="B17" s="1">
        <v>2</v>
      </c>
      <c r="C17" s="1" t="s">
        <v>34</v>
      </c>
      <c r="D17" s="1" t="s">
        <v>49</v>
      </c>
      <c r="E17" s="1">
        <v>12.7215277777777</v>
      </c>
      <c r="F17" s="1">
        <v>0.13182666666666601</v>
      </c>
      <c r="G17" s="1">
        <v>5.2350000000000003</v>
      </c>
      <c r="H17" s="1">
        <v>22.033333333333299</v>
      </c>
      <c r="I17" s="1">
        <v>8.08</v>
      </c>
      <c r="J17" s="1">
        <v>108.216666666666</v>
      </c>
      <c r="K17" s="1">
        <v>444.85</v>
      </c>
      <c r="L17" s="1">
        <v>1.0300226984194301</v>
      </c>
      <c r="M17" s="1">
        <v>9.8072050792601798E-2</v>
      </c>
      <c r="N17" s="1">
        <v>1.10876056928446</v>
      </c>
      <c r="O17" s="1">
        <v>1.0966616007988299</v>
      </c>
      <c r="P17" s="1">
        <v>0.252031744032373</v>
      </c>
      <c r="Q17" s="1">
        <v>40.912072382936799</v>
      </c>
      <c r="R17" s="1">
        <v>28.891365492132699</v>
      </c>
      <c r="S17" s="1">
        <v>5.0000000000000001E-3</v>
      </c>
      <c r="T17" s="1">
        <v>0</v>
      </c>
      <c r="U17" s="1">
        <v>1.9938904962061199E-3</v>
      </c>
      <c r="V17" s="1">
        <v>3.53571868706093E-3</v>
      </c>
      <c r="W17" s="2">
        <v>4.5206230535131198E-4</v>
      </c>
      <c r="X17" s="1" t="s">
        <v>32</v>
      </c>
      <c r="Y17" s="1">
        <v>16.5194444444443</v>
      </c>
      <c r="Z17" s="1">
        <v>0.22222222222222199</v>
      </c>
      <c r="AA17" s="1" t="s">
        <v>46</v>
      </c>
      <c r="AB17" s="1">
        <v>7</v>
      </c>
      <c r="AC17" s="1">
        <v>2</v>
      </c>
      <c r="AD17" s="1">
        <v>0</v>
      </c>
      <c r="AE17" s="1">
        <v>0</v>
      </c>
      <c r="AF17" s="1">
        <v>9</v>
      </c>
      <c r="AG17" s="1">
        <v>2003</v>
      </c>
      <c r="AH17" s="1">
        <v>2006</v>
      </c>
      <c r="AI17" s="1">
        <v>2003</v>
      </c>
      <c r="AJ17" s="1">
        <v>2019.5194444444401</v>
      </c>
      <c r="AK17" s="1">
        <v>0.62061063762368096</v>
      </c>
      <c r="AL17" s="1">
        <v>0.460724325653949</v>
      </c>
      <c r="AM17" s="1">
        <v>0.181904566378253</v>
      </c>
      <c r="AN17" s="1">
        <v>862.57774663287</v>
      </c>
      <c r="AO17" s="1">
        <v>289.90710594775197</v>
      </c>
      <c r="AP17" s="1">
        <v>572.67064068511797</v>
      </c>
      <c r="AQ17" s="1">
        <v>0.18933589983291399</v>
      </c>
      <c r="AR17" s="1">
        <v>357.78865818500702</v>
      </c>
      <c r="AS17" s="1">
        <v>2320.0920459084</v>
      </c>
      <c r="AT17" s="1">
        <v>2692.77510097192</v>
      </c>
      <c r="AU17" s="1">
        <v>47.4114625885585</v>
      </c>
      <c r="AV17" s="1">
        <v>8.6802561034888495E-2</v>
      </c>
      <c r="AW17" s="1">
        <v>535.41868209955305</v>
      </c>
      <c r="AX17" s="1">
        <v>16.73</v>
      </c>
      <c r="AY17" s="1">
        <v>52.019999999999897</v>
      </c>
      <c r="AZ17" s="1">
        <v>31.25</v>
      </c>
      <c r="BA17" s="1">
        <v>83.27</v>
      </c>
      <c r="BB17" s="1">
        <v>2077.2263727547902</v>
      </c>
      <c r="BC17" s="1">
        <v>0.17360512206977599</v>
      </c>
      <c r="BD17" s="1">
        <v>0.24393193878564401</v>
      </c>
      <c r="BE17" s="1">
        <v>0.410397500812831</v>
      </c>
      <c r="BF17" s="1">
        <v>0.135940447139659</v>
      </c>
      <c r="BG17" s="1">
        <v>1.8194741229764599</v>
      </c>
      <c r="BH17" s="1">
        <v>7.0181060618551894E-2</v>
      </c>
      <c r="BI17" s="1">
        <v>5.2486115720293798</v>
      </c>
      <c r="BJ17" s="1">
        <v>11.381620958346501</v>
      </c>
      <c r="BK17" s="1">
        <v>163.124259293411</v>
      </c>
      <c r="BL17" s="1">
        <v>991.56757825492502</v>
      </c>
      <c r="BM17" s="1">
        <v>3783.2396492789599</v>
      </c>
      <c r="BN17" s="1">
        <v>7.7150120452935598</v>
      </c>
      <c r="BO17" s="1">
        <v>0.57104286322158404</v>
      </c>
      <c r="BP17" s="1">
        <v>0.89324177036549901</v>
      </c>
      <c r="BQ17" s="1">
        <v>7.5924811609378198</v>
      </c>
      <c r="BR17" s="1">
        <v>13.4466617209582</v>
      </c>
      <c r="BS17" s="1">
        <v>16.840528225379298</v>
      </c>
      <c r="BT17" s="1">
        <v>18.086186303483899</v>
      </c>
      <c r="BU17" s="1">
        <v>3.0355554004537799</v>
      </c>
      <c r="BV17" s="1">
        <v>0.33669620176956799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6.4462025063113201E-2</v>
      </c>
      <c r="CG17" s="1">
        <v>2.8468441416692299E-2</v>
      </c>
      <c r="CH17" s="1">
        <v>2.5751041079855201E-2</v>
      </c>
      <c r="CI17" s="1">
        <v>62.786570179101801</v>
      </c>
      <c r="CJ17" s="1">
        <v>11.4597942573641</v>
      </c>
      <c r="CK17" s="1">
        <v>52.031369627669797</v>
      </c>
      <c r="CL17" s="1">
        <v>1.49523386325979E-2</v>
      </c>
      <c r="CM17" s="1">
        <v>25.653363612258001</v>
      </c>
      <c r="CN17" s="1">
        <v>109.985125602496</v>
      </c>
      <c r="CO17" s="1">
        <v>393.25360074186199</v>
      </c>
      <c r="CP17" s="1">
        <v>3.5873027503971802</v>
      </c>
      <c r="CQ17" s="1">
        <v>5.3704682955372602E-3</v>
      </c>
      <c r="CR17" s="1">
        <v>23.476350103705599</v>
      </c>
      <c r="CS17" s="1">
        <v>0</v>
      </c>
      <c r="CT17" s="1">
        <v>0</v>
      </c>
      <c r="CU17" s="1">
        <v>0</v>
      </c>
      <c r="CV17" s="1">
        <v>0</v>
      </c>
      <c r="CW17" s="1">
        <v>53.317707078595603</v>
      </c>
      <c r="CX17" s="1">
        <v>1.07409365910746E-2</v>
      </c>
      <c r="CY17" s="1">
        <v>3.2546225117734397E-2</v>
      </c>
      <c r="CZ17" s="1">
        <v>1.1837065824546999E-2</v>
      </c>
      <c r="DA17" s="1">
        <v>1.11900976423077E-2</v>
      </c>
      <c r="DB17" s="1">
        <v>0.33299734377830698</v>
      </c>
      <c r="DC17" s="1">
        <v>1.9073765267126599E-3</v>
      </c>
      <c r="DD17" s="1">
        <v>0.168625354965626</v>
      </c>
      <c r="DE17" s="1">
        <v>0.28687745770634798</v>
      </c>
      <c r="DF17" s="1">
        <v>1.26844136187598</v>
      </c>
      <c r="DG17" s="1">
        <v>2.1467579618398802</v>
      </c>
      <c r="DH17" s="1">
        <v>15.944384729059101</v>
      </c>
      <c r="DI17" s="1">
        <v>0.11467953166094599</v>
      </c>
      <c r="DJ17" s="1">
        <v>7.1451421595604596E-3</v>
      </c>
      <c r="DK17" s="1">
        <v>1.8041483952890101E-2</v>
      </c>
      <c r="DL17" s="1">
        <v>0.105212218299527</v>
      </c>
      <c r="DM17" s="1">
        <v>0.343681337874857</v>
      </c>
      <c r="DN17" s="1">
        <v>1.30398844411978E-2</v>
      </c>
      <c r="DO17" s="1">
        <v>0.27276580194122002</v>
      </c>
      <c r="DP17" s="1">
        <v>5.0909137886868197E-2</v>
      </c>
      <c r="DQ17" s="1">
        <v>1.3158306375143401E-2</v>
      </c>
    </row>
    <row r="18" spans="1:121" x14ac:dyDescent="0.25">
      <c r="A18" s="1" t="s">
        <v>47</v>
      </c>
      <c r="B18" s="1">
        <v>4</v>
      </c>
      <c r="C18" s="1" t="s">
        <v>29</v>
      </c>
      <c r="D18" s="1" t="s">
        <v>50</v>
      </c>
      <c r="E18" s="1">
        <v>12.9583333333333</v>
      </c>
      <c r="F18" s="1">
        <v>0.26560011111111098</v>
      </c>
      <c r="G18" s="1">
        <v>0.447777777777777</v>
      </c>
      <c r="H18" s="1">
        <v>18.5</v>
      </c>
      <c r="I18" s="1">
        <v>8.6433333333333309</v>
      </c>
      <c r="J18" s="1" t="s">
        <v>31</v>
      </c>
      <c r="K18" s="1" t="s">
        <v>31</v>
      </c>
      <c r="L18" s="1">
        <v>0.86602540378443804</v>
      </c>
      <c r="M18" s="1">
        <v>9.3647453169379405E-2</v>
      </c>
      <c r="N18" s="1">
        <v>0.14678025904202599</v>
      </c>
      <c r="O18" s="1">
        <v>0.109544511501034</v>
      </c>
      <c r="P18" s="1">
        <v>0.24006943440041101</v>
      </c>
      <c r="Q18" s="1" t="s">
        <v>31</v>
      </c>
      <c r="R18" s="1" t="s">
        <v>31</v>
      </c>
      <c r="S18" s="1">
        <v>5.0000000000000001E-3</v>
      </c>
      <c r="T18" s="1">
        <v>0</v>
      </c>
      <c r="U18" s="1">
        <v>4.0221239013933504E-3</v>
      </c>
      <c r="V18" s="1">
        <v>5.4674865226570796E-3</v>
      </c>
      <c r="W18" s="1">
        <v>2.5767612801296199E-3</v>
      </c>
      <c r="X18" s="1" t="s">
        <v>32</v>
      </c>
      <c r="Y18" s="1">
        <v>16.5194444444443</v>
      </c>
      <c r="Z18" s="1">
        <v>0.22222222222222199</v>
      </c>
      <c r="AA18" s="1" t="s">
        <v>46</v>
      </c>
      <c r="AB18" s="1">
        <v>7</v>
      </c>
      <c r="AC18" s="1">
        <v>2</v>
      </c>
      <c r="AD18" s="1">
        <v>0</v>
      </c>
      <c r="AE18" s="1">
        <v>0</v>
      </c>
      <c r="AF18" s="1">
        <v>9</v>
      </c>
      <c r="AG18" s="1">
        <v>2003</v>
      </c>
      <c r="AH18" s="1">
        <v>2006</v>
      </c>
      <c r="AI18" s="1">
        <v>2003</v>
      </c>
      <c r="AJ18" s="1">
        <v>2019.5194444444401</v>
      </c>
      <c r="AK18" s="1">
        <v>0.74123789738162404</v>
      </c>
      <c r="AL18" s="1">
        <v>0.38245833423893399</v>
      </c>
      <c r="AM18" s="1">
        <v>0.10786851858982301</v>
      </c>
      <c r="AN18" s="1">
        <v>725.31027920551503</v>
      </c>
      <c r="AO18" s="1">
        <v>263.75116364291802</v>
      </c>
      <c r="AP18" s="1">
        <v>461.55911556259599</v>
      </c>
      <c r="AQ18" s="1">
        <v>0.15390817741973201</v>
      </c>
      <c r="AR18" s="1">
        <v>270.60783040817103</v>
      </c>
      <c r="AS18" s="1">
        <v>2159.0005680138302</v>
      </c>
      <c r="AT18" s="1">
        <v>2562.84094757414</v>
      </c>
      <c r="AU18" s="1">
        <v>51.259769994317999</v>
      </c>
      <c r="AV18" s="1">
        <v>7.0812255367552701E-2</v>
      </c>
      <c r="AW18" s="1">
        <v>567.36929573348903</v>
      </c>
      <c r="AX18" s="1">
        <v>15.4849999999999</v>
      </c>
      <c r="AY18" s="1">
        <v>49.515000000000001</v>
      </c>
      <c r="AZ18" s="1">
        <v>35</v>
      </c>
      <c r="BA18" s="1">
        <v>84.5150000000001</v>
      </c>
      <c r="BB18" s="1">
        <v>1948.78401428293</v>
      </c>
      <c r="BC18" s="1">
        <v>0.14162451073510399</v>
      </c>
      <c r="BD18" s="1">
        <v>0.197480547755879</v>
      </c>
      <c r="BE18" s="1">
        <v>0.42435438762073102</v>
      </c>
      <c r="BF18" s="1">
        <v>0.110669705678919</v>
      </c>
      <c r="BG18" s="1">
        <v>1.7792289736959099</v>
      </c>
      <c r="BH18" s="1">
        <v>6.8342727442492798E-2</v>
      </c>
      <c r="BI18" s="1">
        <v>2.6816669203344299</v>
      </c>
      <c r="BJ18" s="1">
        <v>5.8223752432941804</v>
      </c>
      <c r="BK18" s="1">
        <v>114.174062612448</v>
      </c>
      <c r="BL18" s="1">
        <v>824.42436882566301</v>
      </c>
      <c r="BM18" s="1">
        <v>2921.5853651330099</v>
      </c>
      <c r="BN18" s="1">
        <v>11.3994303334003</v>
      </c>
      <c r="BO18" s="1">
        <v>0.29606210393796201</v>
      </c>
      <c r="BP18" s="1">
        <v>2.6257623995702501</v>
      </c>
      <c r="BQ18" s="1">
        <v>7.8174347275657396</v>
      </c>
      <c r="BR18" s="1">
        <v>12.810575074260599</v>
      </c>
      <c r="BS18" s="1">
        <v>14.2276606675059</v>
      </c>
      <c r="BT18" s="1">
        <v>14.9785300384733</v>
      </c>
      <c r="BU18" s="1">
        <v>3.6645670469332301</v>
      </c>
      <c r="BV18" s="1">
        <v>0.36299885407518201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7.2946846426473796E-2</v>
      </c>
      <c r="CG18" s="1">
        <v>4.9894194490062403E-2</v>
      </c>
      <c r="CH18" s="1">
        <v>3.7786850515886698E-2</v>
      </c>
      <c r="CI18" s="1">
        <v>47.6459971774933</v>
      </c>
      <c r="CJ18" s="1">
        <v>31.4333594311239</v>
      </c>
      <c r="CK18" s="1">
        <v>16.212637746368902</v>
      </c>
      <c r="CL18" s="1">
        <v>1.9617302845701699E-2</v>
      </c>
      <c r="CM18" s="1">
        <v>27.438926722225901</v>
      </c>
      <c r="CN18" s="1">
        <v>347.47194339096501</v>
      </c>
      <c r="CO18" s="1">
        <v>706.21013827925799</v>
      </c>
      <c r="CP18" s="1">
        <v>15.0614275148126</v>
      </c>
      <c r="CQ18" s="1">
        <v>6.4440036911691603E-3</v>
      </c>
      <c r="CR18" s="1">
        <v>142.38678332095401</v>
      </c>
      <c r="CS18" s="1">
        <v>0</v>
      </c>
      <c r="CT18" s="1">
        <v>0</v>
      </c>
      <c r="CU18" s="1">
        <v>0</v>
      </c>
      <c r="CV18" s="1">
        <v>0</v>
      </c>
      <c r="CW18" s="1">
        <v>394.94351172832501</v>
      </c>
      <c r="CX18" s="1">
        <v>1.28880073823384E-2</v>
      </c>
      <c r="CY18" s="1">
        <v>3.0661910007453001E-2</v>
      </c>
      <c r="CZ18" s="1">
        <v>1.4895831421650199E-2</v>
      </c>
      <c r="DA18" s="1">
        <v>6.0429607051207803E-3</v>
      </c>
      <c r="DB18" s="1">
        <v>0.205451984879371</v>
      </c>
      <c r="DC18" s="1">
        <v>5.7147869520133903E-3</v>
      </c>
      <c r="DD18" s="1">
        <v>2.7755519760695201E-2</v>
      </c>
      <c r="DE18" s="1">
        <v>5.6418082650825201E-2</v>
      </c>
      <c r="DF18" s="1">
        <v>0.23578586149647399</v>
      </c>
      <c r="DG18" s="1">
        <v>0.66531613544023305</v>
      </c>
      <c r="DH18" s="1">
        <v>4.4925392679318596</v>
      </c>
      <c r="DI18" s="1">
        <v>5.4105122670768703E-2</v>
      </c>
      <c r="DJ18" s="1">
        <v>1.3605646941517099E-3</v>
      </c>
      <c r="DK18" s="1">
        <v>1.3968464193291501E-2</v>
      </c>
      <c r="DL18" s="1">
        <v>9.5239528590611404E-3</v>
      </c>
      <c r="DM18" s="1">
        <v>4.9842019962424697E-2</v>
      </c>
      <c r="DN18" s="2">
        <v>8.6169097296325795E-4</v>
      </c>
      <c r="DO18" s="1">
        <v>6.8572460585246506E-2</v>
      </c>
      <c r="DP18" s="1">
        <v>5.8504281848517498E-3</v>
      </c>
      <c r="DQ18" s="1">
        <v>1.9492233130779298E-2</v>
      </c>
    </row>
    <row r="19" spans="1:121" x14ac:dyDescent="0.25">
      <c r="A19" s="1" t="s">
        <v>47</v>
      </c>
      <c r="B19" s="1">
        <v>4</v>
      </c>
      <c r="C19" s="1" t="s">
        <v>34</v>
      </c>
      <c r="D19" s="1" t="s">
        <v>50</v>
      </c>
      <c r="E19" s="1">
        <v>12.9583333333333</v>
      </c>
      <c r="F19" s="1">
        <v>0.19173777777777701</v>
      </c>
      <c r="G19" s="1">
        <v>4.23888888888888</v>
      </c>
      <c r="H19" s="1">
        <v>18.5</v>
      </c>
      <c r="I19" s="1">
        <v>8.0133333333333301</v>
      </c>
      <c r="J19" s="1" t="s">
        <v>31</v>
      </c>
      <c r="K19" s="1" t="s">
        <v>31</v>
      </c>
      <c r="L19" s="1">
        <v>0.86602540378443804</v>
      </c>
      <c r="M19" s="1">
        <v>0.17064035283951501</v>
      </c>
      <c r="N19" s="1">
        <v>3.0845722736079799</v>
      </c>
      <c r="O19" s="1">
        <v>0.109544511501034</v>
      </c>
      <c r="P19" s="1">
        <v>0.31643851430148801</v>
      </c>
      <c r="Q19" s="1" t="s">
        <v>31</v>
      </c>
      <c r="R19" s="1" t="s">
        <v>31</v>
      </c>
      <c r="S19" s="1">
        <v>5.0000000000000001E-3</v>
      </c>
      <c r="T19" s="1">
        <v>0</v>
      </c>
      <c r="U19" s="1">
        <v>2.8821264737406201E-3</v>
      </c>
      <c r="V19" s="1">
        <v>5.5158039452186704E-3</v>
      </c>
      <c r="W19" s="2">
        <v>2.4844900226256398E-4</v>
      </c>
      <c r="X19" s="1" t="s">
        <v>32</v>
      </c>
      <c r="Y19" s="1">
        <v>16.5194444444443</v>
      </c>
      <c r="Z19" s="1">
        <v>0.22222222222222199</v>
      </c>
      <c r="AA19" s="1" t="s">
        <v>46</v>
      </c>
      <c r="AB19" s="1">
        <v>7</v>
      </c>
      <c r="AC19" s="1">
        <v>2</v>
      </c>
      <c r="AD19" s="1">
        <v>0</v>
      </c>
      <c r="AE19" s="1">
        <v>0</v>
      </c>
      <c r="AF19" s="1">
        <v>9</v>
      </c>
      <c r="AG19" s="1">
        <v>2003</v>
      </c>
      <c r="AH19" s="1">
        <v>2006</v>
      </c>
      <c r="AI19" s="1">
        <v>2003</v>
      </c>
      <c r="AJ19" s="1">
        <v>2019.5194444444401</v>
      </c>
      <c r="AK19" s="1">
        <v>0.74123789738162404</v>
      </c>
      <c r="AL19" s="1">
        <v>0.38245833423893399</v>
      </c>
      <c r="AM19" s="1">
        <v>0.10786851858982301</v>
      </c>
      <c r="AN19" s="1">
        <v>725.31027920551503</v>
      </c>
      <c r="AO19" s="1">
        <v>263.75116364291802</v>
      </c>
      <c r="AP19" s="1">
        <v>461.55911556259599</v>
      </c>
      <c r="AQ19" s="1">
        <v>0.15390817741973201</v>
      </c>
      <c r="AR19" s="1">
        <v>270.60783040817103</v>
      </c>
      <c r="AS19" s="1">
        <v>2159.0005680138302</v>
      </c>
      <c r="AT19" s="1">
        <v>2562.84094757414</v>
      </c>
      <c r="AU19" s="1">
        <v>51.259769994317999</v>
      </c>
      <c r="AV19" s="1">
        <v>7.0812255367552701E-2</v>
      </c>
      <c r="AW19" s="1">
        <v>567.36929573348903</v>
      </c>
      <c r="AX19" s="1">
        <v>15.4849999999999</v>
      </c>
      <c r="AY19" s="1">
        <v>49.515000000000001</v>
      </c>
      <c r="AZ19" s="1">
        <v>35</v>
      </c>
      <c r="BA19" s="1">
        <v>84.5150000000001</v>
      </c>
      <c r="BB19" s="1">
        <v>1948.78401428293</v>
      </c>
      <c r="BC19" s="1">
        <v>0.14162451073510399</v>
      </c>
      <c r="BD19" s="1">
        <v>0.197480547755879</v>
      </c>
      <c r="BE19" s="1">
        <v>0.42435438762073102</v>
      </c>
      <c r="BF19" s="1">
        <v>0.110669705678919</v>
      </c>
      <c r="BG19" s="1">
        <v>1.7792289736959099</v>
      </c>
      <c r="BH19" s="1">
        <v>6.8342727442492798E-2</v>
      </c>
      <c r="BI19" s="1">
        <v>2.6816669203344299</v>
      </c>
      <c r="BJ19" s="1">
        <v>5.8223752432941804</v>
      </c>
      <c r="BK19" s="1">
        <v>114.174062612448</v>
      </c>
      <c r="BL19" s="1">
        <v>824.42436882566301</v>
      </c>
      <c r="BM19" s="1">
        <v>2921.5853651330099</v>
      </c>
      <c r="BN19" s="1">
        <v>11.3994303334003</v>
      </c>
      <c r="BO19" s="1">
        <v>0.29606210393796201</v>
      </c>
      <c r="BP19" s="1">
        <v>2.6257623995702501</v>
      </c>
      <c r="BQ19" s="1">
        <v>7.8174347275657396</v>
      </c>
      <c r="BR19" s="1">
        <v>12.810575074260599</v>
      </c>
      <c r="BS19" s="1">
        <v>14.2276606675059</v>
      </c>
      <c r="BT19" s="1">
        <v>14.9785300384733</v>
      </c>
      <c r="BU19" s="1">
        <v>3.6645670469332301</v>
      </c>
      <c r="BV19" s="1">
        <v>0.36299885407518201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7.2946846426473796E-2</v>
      </c>
      <c r="CG19" s="1">
        <v>4.9894194490062403E-2</v>
      </c>
      <c r="CH19" s="1">
        <v>3.7786850515886698E-2</v>
      </c>
      <c r="CI19" s="1">
        <v>47.6459971774933</v>
      </c>
      <c r="CJ19" s="1">
        <v>31.4333594311239</v>
      </c>
      <c r="CK19" s="1">
        <v>16.212637746368902</v>
      </c>
      <c r="CL19" s="1">
        <v>1.9617302845701699E-2</v>
      </c>
      <c r="CM19" s="1">
        <v>27.438926722225901</v>
      </c>
      <c r="CN19" s="1">
        <v>347.47194339096501</v>
      </c>
      <c r="CO19" s="1">
        <v>706.21013827925799</v>
      </c>
      <c r="CP19" s="1">
        <v>15.0614275148126</v>
      </c>
      <c r="CQ19" s="1">
        <v>6.4440036911691603E-3</v>
      </c>
      <c r="CR19" s="1">
        <v>142.38678332095401</v>
      </c>
      <c r="CS19" s="1">
        <v>0</v>
      </c>
      <c r="CT19" s="1">
        <v>0</v>
      </c>
      <c r="CU19" s="1">
        <v>0</v>
      </c>
      <c r="CV19" s="1">
        <v>0</v>
      </c>
      <c r="CW19" s="1">
        <v>394.94351172832501</v>
      </c>
      <c r="CX19" s="1">
        <v>1.28880073823384E-2</v>
      </c>
      <c r="CY19" s="1">
        <v>3.0661910007453001E-2</v>
      </c>
      <c r="CZ19" s="1">
        <v>1.4895831421650199E-2</v>
      </c>
      <c r="DA19" s="1">
        <v>6.0429607051207803E-3</v>
      </c>
      <c r="DB19" s="1">
        <v>0.205451984879371</v>
      </c>
      <c r="DC19" s="1">
        <v>5.7147869520133903E-3</v>
      </c>
      <c r="DD19" s="1">
        <v>2.7755519760695201E-2</v>
      </c>
      <c r="DE19" s="1">
        <v>5.6418082650825201E-2</v>
      </c>
      <c r="DF19" s="1">
        <v>0.23578586149647399</v>
      </c>
      <c r="DG19" s="1">
        <v>0.66531613544023305</v>
      </c>
      <c r="DH19" s="1">
        <v>4.4925392679318596</v>
      </c>
      <c r="DI19" s="1">
        <v>5.4105122670768703E-2</v>
      </c>
      <c r="DJ19" s="1">
        <v>1.3605646941517099E-3</v>
      </c>
      <c r="DK19" s="1">
        <v>1.3968464193291501E-2</v>
      </c>
      <c r="DL19" s="1">
        <v>9.5239528590611404E-3</v>
      </c>
      <c r="DM19" s="1">
        <v>4.9842019962424697E-2</v>
      </c>
      <c r="DN19" s="2">
        <v>8.6169097296325795E-4</v>
      </c>
      <c r="DO19" s="1">
        <v>6.8572460585246506E-2</v>
      </c>
      <c r="DP19" s="1">
        <v>5.8504281848517498E-3</v>
      </c>
      <c r="DQ19" s="1">
        <v>1.9492233130779298E-2</v>
      </c>
    </row>
    <row r="20" spans="1:121" x14ac:dyDescent="0.25">
      <c r="A20" s="1" t="s">
        <v>51</v>
      </c>
      <c r="B20" s="1">
        <v>2</v>
      </c>
      <c r="C20" s="1" t="s">
        <v>29</v>
      </c>
      <c r="D20" s="1" t="s">
        <v>52</v>
      </c>
      <c r="E20" s="1">
        <v>11.8541666666666</v>
      </c>
      <c r="F20" s="1">
        <v>5.4716333333333297E-2</v>
      </c>
      <c r="G20" s="1">
        <v>0.29499999999999998</v>
      </c>
      <c r="H20" s="1">
        <v>20.9</v>
      </c>
      <c r="I20" s="1">
        <v>8.27</v>
      </c>
      <c r="J20" s="1">
        <v>-216.333333333333</v>
      </c>
      <c r="K20" s="1">
        <v>437.53333333333302</v>
      </c>
      <c r="L20" s="1">
        <v>1.0041580220927999</v>
      </c>
      <c r="M20" s="1">
        <v>1.9346238731770701E-2</v>
      </c>
      <c r="N20" s="1">
        <v>0.112205169221386</v>
      </c>
      <c r="O20" s="1">
        <v>0.21908902300206701</v>
      </c>
      <c r="P20" s="1">
        <v>0.199749843554382</v>
      </c>
      <c r="Q20" s="1">
        <v>63.5688865195335</v>
      </c>
      <c r="R20" s="1">
        <v>22.961779838099002</v>
      </c>
      <c r="S20" s="1">
        <v>5.0000000000000001E-3</v>
      </c>
      <c r="T20" s="1">
        <v>0</v>
      </c>
      <c r="U20" s="2">
        <v>8.38799297012302E-4</v>
      </c>
      <c r="V20" s="1">
        <v>1.16520332482425E-3</v>
      </c>
      <c r="W20" s="2">
        <v>5.1239526920035202E-4</v>
      </c>
      <c r="X20" s="1" t="s">
        <v>32</v>
      </c>
      <c r="Y20" s="1">
        <v>15.583333333333201</v>
      </c>
      <c r="Z20" s="1">
        <v>0.3</v>
      </c>
      <c r="AA20" s="1" t="s">
        <v>39</v>
      </c>
      <c r="AB20" s="1">
        <v>7</v>
      </c>
      <c r="AC20" s="1">
        <v>3</v>
      </c>
      <c r="AD20" s="1">
        <v>0</v>
      </c>
      <c r="AE20" s="1">
        <v>0</v>
      </c>
      <c r="AF20" s="1">
        <v>10</v>
      </c>
      <c r="AG20" s="1">
        <v>2004</v>
      </c>
      <c r="AH20" s="1">
        <v>2006</v>
      </c>
      <c r="AI20" s="1">
        <v>2004</v>
      </c>
      <c r="AJ20" s="1">
        <v>2019.5833333333301</v>
      </c>
      <c r="AK20" s="1">
        <v>0.41169198380312799</v>
      </c>
      <c r="AL20" s="1">
        <v>0.460341229598901</v>
      </c>
      <c r="AM20" s="1">
        <v>0.39976246843962798</v>
      </c>
      <c r="AN20" s="1">
        <v>1148.13022540564</v>
      </c>
      <c r="AO20" s="1">
        <v>609.40770866944899</v>
      </c>
      <c r="AP20" s="1">
        <v>538.72251673619303</v>
      </c>
      <c r="AQ20" s="1">
        <v>0.14368950938824801</v>
      </c>
      <c r="AR20" s="1">
        <v>618.819500146937</v>
      </c>
      <c r="AS20" s="1">
        <v>1234.0234512014299</v>
      </c>
      <c r="AT20" s="1">
        <v>6249.59434842049</v>
      </c>
      <c r="AU20" s="1">
        <v>332.79610024556501</v>
      </c>
      <c r="AV20" s="1">
        <v>0.13769728204517101</v>
      </c>
      <c r="AW20" s="1">
        <v>429.61480137186697</v>
      </c>
      <c r="AX20" s="1">
        <v>3.7949999999999999</v>
      </c>
      <c r="AY20" s="1">
        <v>77.454999999999998</v>
      </c>
      <c r="AZ20" s="1">
        <v>18.75</v>
      </c>
      <c r="BA20" s="1">
        <v>96.204999999999998</v>
      </c>
      <c r="BB20" s="1">
        <v>2438.2380565888302</v>
      </c>
      <c r="BC20" s="1">
        <v>0.27539001769117699</v>
      </c>
      <c r="BD20" s="1">
        <v>0.21473000960969499</v>
      </c>
      <c r="BE20" s="1">
        <v>0.23313446276540101</v>
      </c>
      <c r="BF20" s="1">
        <v>0.43333697654188302</v>
      </c>
      <c r="BG20" s="1">
        <v>0.52257561761525995</v>
      </c>
      <c r="BH20" s="1">
        <v>0.14088970910065801</v>
      </c>
      <c r="BI20" s="1">
        <v>2.7821317960566101</v>
      </c>
      <c r="BJ20" s="1">
        <v>8.64296953670374</v>
      </c>
      <c r="BK20" s="1">
        <v>95.631239898280995</v>
      </c>
      <c r="BL20" s="1">
        <v>302.33520181809803</v>
      </c>
      <c r="BM20" s="1">
        <v>2109.8514423439701</v>
      </c>
      <c r="BN20" s="1">
        <v>34.106971652426701</v>
      </c>
      <c r="BO20" s="1">
        <v>0.30988576263902801</v>
      </c>
      <c r="BP20" s="1">
        <v>1.71086291516683</v>
      </c>
      <c r="BQ20" s="1">
        <v>96.023994923255998</v>
      </c>
      <c r="BR20" s="1">
        <v>51.8211599319512</v>
      </c>
      <c r="BS20" s="1">
        <v>104.32038671430701</v>
      </c>
      <c r="BT20" s="1">
        <v>41.7117251956521</v>
      </c>
      <c r="BU20" s="1">
        <v>3.4959642479271902</v>
      </c>
      <c r="BV20" s="1">
        <v>0.53496831405654199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5.11615558366037E-2</v>
      </c>
      <c r="CG20" s="1">
        <v>3.5433260481058902E-2</v>
      </c>
      <c r="CH20" s="1">
        <v>0.108172215862624</v>
      </c>
      <c r="CI20" s="1">
        <v>97.3135622114943</v>
      </c>
      <c r="CJ20" s="1">
        <v>68.083455249514401</v>
      </c>
      <c r="CK20" s="1">
        <v>143.854979649591</v>
      </c>
      <c r="CL20" s="1">
        <v>1.9235110086295599E-2</v>
      </c>
      <c r="CM20" s="1">
        <v>132.188289093723</v>
      </c>
      <c r="CN20" s="1">
        <v>162.23270103994699</v>
      </c>
      <c r="CO20" s="1">
        <v>3358.6208937144302</v>
      </c>
      <c r="CP20" s="1">
        <v>236.730250667983</v>
      </c>
      <c r="CQ20" s="1">
        <v>2.6392867811864298E-2</v>
      </c>
      <c r="CR20" s="1">
        <v>311.70837487323899</v>
      </c>
      <c r="CS20" s="1">
        <v>0</v>
      </c>
      <c r="CT20" s="1">
        <v>0</v>
      </c>
      <c r="CU20" s="1">
        <v>0</v>
      </c>
      <c r="CV20" s="1">
        <v>0</v>
      </c>
      <c r="CW20" s="1">
        <v>1020.79980607164</v>
      </c>
      <c r="CX20" s="1">
        <v>5.2779925092631297E-2</v>
      </c>
      <c r="CY20" s="1">
        <v>6.7327357211133407E-2</v>
      </c>
      <c r="CZ20" s="1">
        <v>2.13689718667496E-2</v>
      </c>
      <c r="DA20" s="1">
        <v>5.1845871127381503E-2</v>
      </c>
      <c r="DB20" s="1">
        <v>0.21261608253450701</v>
      </c>
      <c r="DC20" s="1">
        <v>4.6176830368343601E-2</v>
      </c>
      <c r="DD20" s="1">
        <v>1.4714542862355001E-2</v>
      </c>
      <c r="DE20" s="2">
        <v>5.1629974955654499E-4</v>
      </c>
      <c r="DF20" s="1">
        <v>0.30100275399134002</v>
      </c>
      <c r="DG20" s="1">
        <v>2.1320598157928701</v>
      </c>
      <c r="DH20" s="1">
        <v>14.584951625216201</v>
      </c>
      <c r="DI20" s="1">
        <v>0.372381194367502</v>
      </c>
      <c r="DJ20" s="1">
        <v>1.93612406083622E-3</v>
      </c>
      <c r="DK20" s="1">
        <v>2.3233488730033101E-3</v>
      </c>
      <c r="DL20" s="1">
        <v>0.813430255426002</v>
      </c>
      <c r="DM20" s="1">
        <v>0.60742665535301699</v>
      </c>
      <c r="DN20" s="1">
        <v>0.53579006510207905</v>
      </c>
      <c r="DO20" s="1">
        <v>5.5502223077303403E-2</v>
      </c>
      <c r="DP20" s="1">
        <v>1.75541914849148E-2</v>
      </c>
      <c r="DQ20" s="1">
        <v>9.2815820871024302E-2</v>
      </c>
    </row>
    <row r="21" spans="1:121" x14ac:dyDescent="0.25">
      <c r="A21" s="1" t="s">
        <v>51</v>
      </c>
      <c r="B21" s="1">
        <v>2</v>
      </c>
      <c r="C21" s="1" t="s">
        <v>34</v>
      </c>
      <c r="D21" s="1" t="s">
        <v>52</v>
      </c>
      <c r="E21" s="1">
        <v>12.0375</v>
      </c>
      <c r="F21" s="1">
        <v>3.1295040000000003E-2</v>
      </c>
      <c r="G21" s="1">
        <v>5.4560000000000004</v>
      </c>
      <c r="H21" s="1">
        <v>20.94</v>
      </c>
      <c r="I21" s="1">
        <v>7.94</v>
      </c>
      <c r="J21" s="1">
        <v>278.39999999999998</v>
      </c>
      <c r="K21" s="1">
        <v>487.23333333333301</v>
      </c>
      <c r="L21" s="1">
        <v>1.0041580220927999</v>
      </c>
      <c r="M21" s="1">
        <v>1.35637109637444E-2</v>
      </c>
      <c r="N21" s="1">
        <v>0.80927745551201402</v>
      </c>
      <c r="O21" s="1">
        <v>0.21908902300206701</v>
      </c>
      <c r="P21" s="1">
        <v>0.240208242989286</v>
      </c>
      <c r="Q21" s="1">
        <v>15.1059590890482</v>
      </c>
      <c r="R21" s="1">
        <v>103.620766901878</v>
      </c>
      <c r="S21" s="1">
        <v>5.0000000000000001E-3</v>
      </c>
      <c r="T21" s="1">
        <v>0</v>
      </c>
      <c r="U21" s="2">
        <v>4.3688539979231501E-4</v>
      </c>
      <c r="V21" s="2">
        <v>6.6224300666657297E-4</v>
      </c>
      <c r="W21" s="2">
        <v>2.1152779291805699E-4</v>
      </c>
      <c r="X21" s="1" t="s">
        <v>32</v>
      </c>
      <c r="Y21" s="1">
        <v>15.583333333333201</v>
      </c>
      <c r="Z21" s="1">
        <v>0.3</v>
      </c>
      <c r="AA21" s="1" t="s">
        <v>39</v>
      </c>
      <c r="AB21" s="1">
        <v>7</v>
      </c>
      <c r="AC21" s="1">
        <v>3</v>
      </c>
      <c r="AD21" s="1">
        <v>0</v>
      </c>
      <c r="AE21" s="1">
        <v>0</v>
      </c>
      <c r="AF21" s="1">
        <v>10</v>
      </c>
      <c r="AG21" s="1">
        <v>2004</v>
      </c>
      <c r="AH21" s="1">
        <v>2006</v>
      </c>
      <c r="AI21" s="1">
        <v>2004</v>
      </c>
      <c r="AJ21" s="1">
        <v>2019.5833333333301</v>
      </c>
      <c r="AK21" s="1">
        <v>0.41169198380312799</v>
      </c>
      <c r="AL21" s="1">
        <v>0.460341229598901</v>
      </c>
      <c r="AM21" s="1">
        <v>0.39976246843962798</v>
      </c>
      <c r="AN21" s="1">
        <v>1148.13022540564</v>
      </c>
      <c r="AO21" s="1">
        <v>609.40770866944899</v>
      </c>
      <c r="AP21" s="1">
        <v>538.72251673619303</v>
      </c>
      <c r="AQ21" s="1">
        <v>0.14368950938824801</v>
      </c>
      <c r="AR21" s="1">
        <v>618.819500146937</v>
      </c>
      <c r="AS21" s="1">
        <v>1234.0234512014299</v>
      </c>
      <c r="AT21" s="1">
        <v>6249.59434842049</v>
      </c>
      <c r="AU21" s="1">
        <v>332.79610024556501</v>
      </c>
      <c r="AV21" s="1">
        <v>0.13769728204517101</v>
      </c>
      <c r="AW21" s="1">
        <v>429.61480137186697</v>
      </c>
      <c r="AX21" s="1">
        <v>3.7949999999999999</v>
      </c>
      <c r="AY21" s="1">
        <v>77.454999999999998</v>
      </c>
      <c r="AZ21" s="1">
        <v>18.75</v>
      </c>
      <c r="BA21" s="1">
        <v>96.204999999999998</v>
      </c>
      <c r="BB21" s="1">
        <v>2438.2380565888302</v>
      </c>
      <c r="BC21" s="1">
        <v>0.27539001769117699</v>
      </c>
      <c r="BD21" s="1">
        <v>0.21473000960969499</v>
      </c>
      <c r="BE21" s="1">
        <v>0.23313446276540101</v>
      </c>
      <c r="BF21" s="1">
        <v>0.43333697654188302</v>
      </c>
      <c r="BG21" s="1">
        <v>0.52257561761525995</v>
      </c>
      <c r="BH21" s="1">
        <v>0.14088970910065801</v>
      </c>
      <c r="BI21" s="1">
        <v>2.7821317960566101</v>
      </c>
      <c r="BJ21" s="1">
        <v>8.64296953670374</v>
      </c>
      <c r="BK21" s="1">
        <v>95.631239898280995</v>
      </c>
      <c r="BL21" s="1">
        <v>302.33520181809803</v>
      </c>
      <c r="BM21" s="1">
        <v>2109.8514423439701</v>
      </c>
      <c r="BN21" s="1">
        <v>34.106971652426701</v>
      </c>
      <c r="BO21" s="1">
        <v>0.30988576263902801</v>
      </c>
      <c r="BP21" s="1">
        <v>1.71086291516683</v>
      </c>
      <c r="BQ21" s="1">
        <v>96.023994923255998</v>
      </c>
      <c r="BR21" s="1">
        <v>51.8211599319512</v>
      </c>
      <c r="BS21" s="1">
        <v>104.32038671430701</v>
      </c>
      <c r="BT21" s="1">
        <v>41.7117251956521</v>
      </c>
      <c r="BU21" s="1">
        <v>3.4959642479271902</v>
      </c>
      <c r="BV21" s="1">
        <v>0.53496831405654199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5.11615558366037E-2</v>
      </c>
      <c r="CG21" s="1">
        <v>3.5433260481058902E-2</v>
      </c>
      <c r="CH21" s="1">
        <v>0.108172215862624</v>
      </c>
      <c r="CI21" s="1">
        <v>97.3135622114943</v>
      </c>
      <c r="CJ21" s="1">
        <v>68.083455249514401</v>
      </c>
      <c r="CK21" s="1">
        <v>143.854979649591</v>
      </c>
      <c r="CL21" s="1">
        <v>1.9235110086295599E-2</v>
      </c>
      <c r="CM21" s="1">
        <v>132.188289093723</v>
      </c>
      <c r="CN21" s="1">
        <v>162.23270103994699</v>
      </c>
      <c r="CO21" s="1">
        <v>3358.6208937144302</v>
      </c>
      <c r="CP21" s="1">
        <v>236.730250667983</v>
      </c>
      <c r="CQ21" s="1">
        <v>2.6392867811864298E-2</v>
      </c>
      <c r="CR21" s="1">
        <v>311.70837487323899</v>
      </c>
      <c r="CS21" s="1">
        <v>0</v>
      </c>
      <c r="CT21" s="1">
        <v>0</v>
      </c>
      <c r="CU21" s="1">
        <v>0</v>
      </c>
      <c r="CV21" s="1">
        <v>0</v>
      </c>
      <c r="CW21" s="1">
        <v>1020.79980607164</v>
      </c>
      <c r="CX21" s="1">
        <v>5.2779925092631297E-2</v>
      </c>
      <c r="CY21" s="1">
        <v>6.7327357211133407E-2</v>
      </c>
      <c r="CZ21" s="1">
        <v>2.13689718667496E-2</v>
      </c>
      <c r="DA21" s="1">
        <v>5.1845871127381503E-2</v>
      </c>
      <c r="DB21" s="1">
        <v>0.21261608253450701</v>
      </c>
      <c r="DC21" s="1">
        <v>4.6176830368343601E-2</v>
      </c>
      <c r="DD21" s="1">
        <v>1.4714542862355001E-2</v>
      </c>
      <c r="DE21" s="2">
        <v>5.1629974955654499E-4</v>
      </c>
      <c r="DF21" s="1">
        <v>0.30100275399134002</v>
      </c>
      <c r="DG21" s="1">
        <v>2.1320598157928701</v>
      </c>
      <c r="DH21" s="1">
        <v>14.584951625216201</v>
      </c>
      <c r="DI21" s="1">
        <v>0.372381194367502</v>
      </c>
      <c r="DJ21" s="1">
        <v>1.93612406083622E-3</v>
      </c>
      <c r="DK21" s="1">
        <v>2.3233488730033101E-3</v>
      </c>
      <c r="DL21" s="1">
        <v>0.813430255426002</v>
      </c>
      <c r="DM21" s="1">
        <v>0.60742665535301699</v>
      </c>
      <c r="DN21" s="1">
        <v>0.53579006510207905</v>
      </c>
      <c r="DO21" s="1">
        <v>5.5502223077303403E-2</v>
      </c>
      <c r="DP21" s="1">
        <v>1.75541914849148E-2</v>
      </c>
      <c r="DQ21" s="1">
        <v>9.2815820871024302E-2</v>
      </c>
    </row>
    <row r="22" spans="1:121" x14ac:dyDescent="0.25">
      <c r="A22" s="1" t="s">
        <v>53</v>
      </c>
      <c r="B22" s="1">
        <v>0</v>
      </c>
      <c r="C22" s="1" t="s">
        <v>29</v>
      </c>
      <c r="D22" s="1" t="s">
        <v>54</v>
      </c>
      <c r="E22" s="1">
        <v>12.1197916666666</v>
      </c>
      <c r="F22" s="1">
        <v>5.4714833333333303E-2</v>
      </c>
      <c r="G22" s="1">
        <v>1.1566666666666601</v>
      </c>
      <c r="H22" s="1">
        <v>17.899999999999999</v>
      </c>
      <c r="I22" s="1" t="s">
        <v>31</v>
      </c>
      <c r="J22" s="1" t="s">
        <v>31</v>
      </c>
      <c r="K22" s="1" t="s">
        <v>31</v>
      </c>
      <c r="L22" s="1">
        <v>1.04212584576388</v>
      </c>
      <c r="M22" s="1">
        <v>2.6266694500254401E-2</v>
      </c>
      <c r="N22" s="1">
        <v>0.62357230875209901</v>
      </c>
      <c r="O22" s="1">
        <v>0.12792042981336599</v>
      </c>
      <c r="P22" s="1" t="s">
        <v>31</v>
      </c>
      <c r="Q22" s="1" t="s">
        <v>31</v>
      </c>
      <c r="R22" s="1" t="s">
        <v>31</v>
      </c>
      <c r="S22" s="1">
        <v>5.0000000000000001E-3</v>
      </c>
      <c r="T22" s="1">
        <v>0</v>
      </c>
      <c r="U22" s="2">
        <v>8.2039088955736998E-4</v>
      </c>
      <c r="V22" s="1">
        <v>1.2538421438804299E-3</v>
      </c>
      <c r="W22" s="2">
        <v>3.8693963523430498E-4</v>
      </c>
      <c r="X22" s="1" t="s">
        <v>55</v>
      </c>
      <c r="Y22" s="1">
        <v>26.5194444444443</v>
      </c>
      <c r="Z22" s="1">
        <v>0</v>
      </c>
      <c r="AA22" s="1" t="s">
        <v>46</v>
      </c>
      <c r="AB22" s="1">
        <v>9</v>
      </c>
      <c r="AC22" s="1">
        <v>0</v>
      </c>
      <c r="AD22" s="1">
        <v>0</v>
      </c>
      <c r="AE22" s="1">
        <v>0</v>
      </c>
      <c r="AF22" s="1">
        <v>9</v>
      </c>
      <c r="AG22" s="1" t="s">
        <v>31</v>
      </c>
      <c r="AH22" s="1">
        <v>1993</v>
      </c>
      <c r="AI22" s="1">
        <v>1993</v>
      </c>
      <c r="AJ22" s="1">
        <v>2019.5194444444401</v>
      </c>
      <c r="AK22" s="1">
        <v>0.33312301727064703</v>
      </c>
      <c r="AL22" s="1">
        <v>0.65647601171929204</v>
      </c>
      <c r="AM22" s="1">
        <v>0.52501613296945404</v>
      </c>
      <c r="AN22" s="1">
        <v>1114.6395567427801</v>
      </c>
      <c r="AO22" s="1">
        <v>502.08128396822099</v>
      </c>
      <c r="AP22" s="1">
        <v>612.55827277457104</v>
      </c>
      <c r="AQ22" s="1">
        <v>0.30302184014062</v>
      </c>
      <c r="AR22" s="1">
        <v>644.48084991326198</v>
      </c>
      <c r="AS22" s="1">
        <v>2282.8628813185801</v>
      </c>
      <c r="AT22" s="1">
        <v>4484.0396334296902</v>
      </c>
      <c r="AU22" s="1">
        <v>150.51923196222299</v>
      </c>
      <c r="AV22" s="1">
        <v>0.12636902230536501</v>
      </c>
      <c r="AW22" s="1">
        <v>452.72886837853002</v>
      </c>
      <c r="AX22" s="1">
        <v>6.4499999999999602</v>
      </c>
      <c r="AY22" s="1">
        <v>78.55</v>
      </c>
      <c r="AZ22" s="1">
        <v>15</v>
      </c>
      <c r="BA22" s="1">
        <v>93.55</v>
      </c>
      <c r="BB22" s="1">
        <v>2551.6505076553299</v>
      </c>
      <c r="BC22" s="1">
        <v>0.25273804461072902</v>
      </c>
      <c r="BD22" s="1">
        <v>0.26075716200360499</v>
      </c>
      <c r="BE22" s="1">
        <v>0.26908011943057702</v>
      </c>
      <c r="BF22" s="1">
        <v>0.245886592930047</v>
      </c>
      <c r="BG22" s="1">
        <v>1.0632221339921499</v>
      </c>
      <c r="BH22" s="1">
        <v>9.8090106792645404E-2</v>
      </c>
      <c r="BI22" s="1">
        <v>5.1831100204022897</v>
      </c>
      <c r="BJ22" s="1">
        <v>12.2211486399189</v>
      </c>
      <c r="BK22" s="1">
        <v>91.716234636173397</v>
      </c>
      <c r="BL22" s="1">
        <v>288.80940094387699</v>
      </c>
      <c r="BM22" s="1">
        <v>1726.7250360057001</v>
      </c>
      <c r="BN22" s="1">
        <v>71.663477616410702</v>
      </c>
      <c r="BO22" s="1">
        <v>0.27081274056447802</v>
      </c>
      <c r="BP22" s="1">
        <v>1.3742046446780001</v>
      </c>
      <c r="BQ22" s="1">
        <v>178.134821653957</v>
      </c>
      <c r="BR22" s="1">
        <v>42.3306708687509</v>
      </c>
      <c r="BS22" s="1">
        <v>51.875211412783301</v>
      </c>
      <c r="BT22" s="1">
        <v>80.954908991912703</v>
      </c>
      <c r="BU22" s="1">
        <v>10.479752886773699</v>
      </c>
      <c r="BV22" s="1">
        <v>0.45296003898299098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 t="s">
        <v>31</v>
      </c>
      <c r="CC22" s="1">
        <v>0</v>
      </c>
      <c r="CD22" s="1">
        <v>0</v>
      </c>
      <c r="CE22" s="1">
        <v>0</v>
      </c>
      <c r="CF22" s="2">
        <v>5.9555986953038797E-4</v>
      </c>
      <c r="CG22" s="1">
        <v>2.5609953845408201E-3</v>
      </c>
      <c r="CH22" s="1">
        <v>8.0074928810165105E-2</v>
      </c>
      <c r="CI22" s="1">
        <v>230.53851905272799</v>
      </c>
      <c r="CJ22" s="1">
        <v>77.292095483086399</v>
      </c>
      <c r="CK22" s="1">
        <v>153.246423569646</v>
      </c>
      <c r="CL22" s="1">
        <v>0.153130290058243</v>
      </c>
      <c r="CM22" s="1">
        <v>78.620307589162095</v>
      </c>
      <c r="CN22" s="1">
        <v>150.21450532470101</v>
      </c>
      <c r="CO22" s="1">
        <v>145.97279645251299</v>
      </c>
      <c r="CP22" s="1">
        <v>16.294994429770099</v>
      </c>
      <c r="CQ22" s="1">
        <v>8.7690613348932796E-3</v>
      </c>
      <c r="CR22" s="1">
        <v>24.166209339820998</v>
      </c>
      <c r="CS22" s="1">
        <v>0</v>
      </c>
      <c r="CT22" s="1">
        <v>0</v>
      </c>
      <c r="CU22" s="1">
        <v>0</v>
      </c>
      <c r="CV22" s="1">
        <v>0</v>
      </c>
      <c r="CW22" s="1">
        <v>126.637437789164</v>
      </c>
      <c r="CX22" s="1">
        <v>1.7538122669787E-2</v>
      </c>
      <c r="CY22" s="1">
        <v>2.0648691460486701E-2</v>
      </c>
      <c r="CZ22" s="1">
        <v>8.7031844863233697E-3</v>
      </c>
      <c r="DA22" s="1">
        <v>1.4471354263372401E-2</v>
      </c>
      <c r="DB22" s="1">
        <v>2.6508804067318301E-2</v>
      </c>
      <c r="DC22" s="1">
        <v>1.03657892899201E-2</v>
      </c>
      <c r="DD22" s="1">
        <v>2.20778604773894E-2</v>
      </c>
      <c r="DE22" s="1">
        <v>1.0585275571350399E-2</v>
      </c>
      <c r="DF22" s="1">
        <v>9.7233317033992003E-2</v>
      </c>
      <c r="DG22" s="1">
        <v>6.5802609498194196</v>
      </c>
      <c r="DH22" s="1">
        <v>19.5437455056089</v>
      </c>
      <c r="DI22" s="1">
        <v>0.94874312763799795</v>
      </c>
      <c r="DJ22" s="2">
        <v>9.0730933468727705E-4</v>
      </c>
      <c r="DK22" s="1">
        <v>1.3912076465204599E-2</v>
      </c>
      <c r="DL22" s="1">
        <v>4.9549674949496501</v>
      </c>
      <c r="DM22" s="1">
        <v>2.3438824479427502E-2</v>
      </c>
      <c r="DN22" s="1">
        <v>2.7672934707971698E-2</v>
      </c>
      <c r="DO22" s="1">
        <v>1.5032603493543499</v>
      </c>
      <c r="DP22" s="1">
        <v>1.08877120162443E-2</v>
      </c>
      <c r="DQ22" s="1">
        <v>2.4342076261321399E-2</v>
      </c>
    </row>
    <row r="23" spans="1:121" x14ac:dyDescent="0.25">
      <c r="A23" s="1" t="s">
        <v>53</v>
      </c>
      <c r="B23" s="1">
        <v>0</v>
      </c>
      <c r="C23" s="1" t="s">
        <v>34</v>
      </c>
      <c r="D23" s="1" t="s">
        <v>54</v>
      </c>
      <c r="E23" s="1">
        <v>12.1197916666666</v>
      </c>
      <c r="F23" s="1">
        <v>2.6090916666666599E-2</v>
      </c>
      <c r="G23" s="1">
        <v>6.4974999999999996</v>
      </c>
      <c r="H23" s="1">
        <v>17.899999999999999</v>
      </c>
      <c r="I23" s="1" t="s">
        <v>31</v>
      </c>
      <c r="J23" s="1" t="s">
        <v>31</v>
      </c>
      <c r="K23" s="1" t="s">
        <v>31</v>
      </c>
      <c r="L23" s="1">
        <v>1.04212584576388</v>
      </c>
      <c r="M23" s="1">
        <v>1.2001582633956899E-2</v>
      </c>
      <c r="N23" s="1">
        <v>0.84156915126663001</v>
      </c>
      <c r="O23" s="1">
        <v>0.12792042981336599</v>
      </c>
      <c r="P23" s="1" t="s">
        <v>31</v>
      </c>
      <c r="Q23" s="1" t="s">
        <v>31</v>
      </c>
      <c r="R23" s="1" t="s">
        <v>31</v>
      </c>
      <c r="S23" s="1">
        <v>5.0000000000000001E-3</v>
      </c>
      <c r="T23" s="1">
        <v>0</v>
      </c>
      <c r="U23" s="2">
        <v>3.4804091104426198E-4</v>
      </c>
      <c r="V23" s="2">
        <v>5.4609023340951703E-4</v>
      </c>
      <c r="W23" s="2">
        <v>1.49991588679008E-4</v>
      </c>
      <c r="X23" s="1" t="s">
        <v>55</v>
      </c>
      <c r="Y23" s="1">
        <v>26.5194444444443</v>
      </c>
      <c r="Z23" s="1">
        <v>0</v>
      </c>
      <c r="AA23" s="1" t="s">
        <v>46</v>
      </c>
      <c r="AB23" s="1">
        <v>9</v>
      </c>
      <c r="AC23" s="1">
        <v>0</v>
      </c>
      <c r="AD23" s="1">
        <v>0</v>
      </c>
      <c r="AE23" s="1">
        <v>0</v>
      </c>
      <c r="AF23" s="1">
        <v>9</v>
      </c>
      <c r="AG23" s="1" t="s">
        <v>31</v>
      </c>
      <c r="AH23" s="1">
        <v>1993</v>
      </c>
      <c r="AI23" s="1">
        <v>1993</v>
      </c>
      <c r="AJ23" s="1">
        <v>2019.5194444444401</v>
      </c>
      <c r="AK23" s="1">
        <v>0.33312301727064703</v>
      </c>
      <c r="AL23" s="1">
        <v>0.65647601171929204</v>
      </c>
      <c r="AM23" s="1">
        <v>0.52501613296945404</v>
      </c>
      <c r="AN23" s="1">
        <v>1114.6395567427801</v>
      </c>
      <c r="AO23" s="1">
        <v>502.08128396822099</v>
      </c>
      <c r="AP23" s="1">
        <v>612.55827277457104</v>
      </c>
      <c r="AQ23" s="1">
        <v>0.30302184014062</v>
      </c>
      <c r="AR23" s="1">
        <v>644.48084991326198</v>
      </c>
      <c r="AS23" s="1">
        <v>2282.8628813185801</v>
      </c>
      <c r="AT23" s="1">
        <v>4484.0396334296902</v>
      </c>
      <c r="AU23" s="1">
        <v>150.51923196222299</v>
      </c>
      <c r="AV23" s="1">
        <v>0.12636902230536501</v>
      </c>
      <c r="AW23" s="1">
        <v>452.72886837853002</v>
      </c>
      <c r="AX23" s="1">
        <v>6.4499999999999602</v>
      </c>
      <c r="AY23" s="1">
        <v>78.55</v>
      </c>
      <c r="AZ23" s="1">
        <v>15</v>
      </c>
      <c r="BA23" s="1">
        <v>93.55</v>
      </c>
      <c r="BB23" s="1">
        <v>2551.6505076553299</v>
      </c>
      <c r="BC23" s="1">
        <v>0.25273804461072902</v>
      </c>
      <c r="BD23" s="1">
        <v>0.26075716200360499</v>
      </c>
      <c r="BE23" s="1">
        <v>0.26908011943057702</v>
      </c>
      <c r="BF23" s="1">
        <v>0.245886592930047</v>
      </c>
      <c r="BG23" s="1">
        <v>1.0632221339921499</v>
      </c>
      <c r="BH23" s="1">
        <v>9.8090106792645404E-2</v>
      </c>
      <c r="BI23" s="1">
        <v>5.1831100204022897</v>
      </c>
      <c r="BJ23" s="1">
        <v>12.2211486399189</v>
      </c>
      <c r="BK23" s="1">
        <v>91.716234636173397</v>
      </c>
      <c r="BL23" s="1">
        <v>288.80940094387699</v>
      </c>
      <c r="BM23" s="1">
        <v>1726.7250360057001</v>
      </c>
      <c r="BN23" s="1">
        <v>71.663477616410702</v>
      </c>
      <c r="BO23" s="1">
        <v>0.27081274056447802</v>
      </c>
      <c r="BP23" s="1">
        <v>1.3742046446780001</v>
      </c>
      <c r="BQ23" s="1">
        <v>178.134821653957</v>
      </c>
      <c r="BR23" s="1">
        <v>42.3306708687509</v>
      </c>
      <c r="BS23" s="1">
        <v>51.875211412783301</v>
      </c>
      <c r="BT23" s="1">
        <v>80.954908991912703</v>
      </c>
      <c r="BU23" s="1">
        <v>10.479752886773699</v>
      </c>
      <c r="BV23" s="1">
        <v>0.45296003898299098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 t="s">
        <v>31</v>
      </c>
      <c r="CC23" s="1">
        <v>0</v>
      </c>
      <c r="CD23" s="1">
        <v>0</v>
      </c>
      <c r="CE23" s="1">
        <v>0</v>
      </c>
      <c r="CF23" s="2">
        <v>5.9555986953038797E-4</v>
      </c>
      <c r="CG23" s="1">
        <v>2.5609953845408201E-3</v>
      </c>
      <c r="CH23" s="1">
        <v>8.0074928810165105E-2</v>
      </c>
      <c r="CI23" s="1">
        <v>230.53851905272799</v>
      </c>
      <c r="CJ23" s="1">
        <v>77.292095483086399</v>
      </c>
      <c r="CK23" s="1">
        <v>153.246423569646</v>
      </c>
      <c r="CL23" s="1">
        <v>0.153130290058243</v>
      </c>
      <c r="CM23" s="1">
        <v>78.620307589162095</v>
      </c>
      <c r="CN23" s="1">
        <v>150.21450532470101</v>
      </c>
      <c r="CO23" s="1">
        <v>145.97279645251299</v>
      </c>
      <c r="CP23" s="1">
        <v>16.294994429770099</v>
      </c>
      <c r="CQ23" s="1">
        <v>8.7690613348932796E-3</v>
      </c>
      <c r="CR23" s="1">
        <v>24.166209339820998</v>
      </c>
      <c r="CS23" s="1">
        <v>0</v>
      </c>
      <c r="CT23" s="1">
        <v>0</v>
      </c>
      <c r="CU23" s="1">
        <v>0</v>
      </c>
      <c r="CV23" s="1">
        <v>0</v>
      </c>
      <c r="CW23" s="1">
        <v>126.637437789164</v>
      </c>
      <c r="CX23" s="1">
        <v>1.7538122669787E-2</v>
      </c>
      <c r="CY23" s="1">
        <v>2.0648691460486701E-2</v>
      </c>
      <c r="CZ23" s="1">
        <v>8.7031844863233697E-3</v>
      </c>
      <c r="DA23" s="1">
        <v>1.4471354263372401E-2</v>
      </c>
      <c r="DB23" s="1">
        <v>2.6508804067318301E-2</v>
      </c>
      <c r="DC23" s="1">
        <v>1.03657892899201E-2</v>
      </c>
      <c r="DD23" s="1">
        <v>2.20778604773894E-2</v>
      </c>
      <c r="DE23" s="1">
        <v>1.0585275571350399E-2</v>
      </c>
      <c r="DF23" s="1">
        <v>9.7233317033992003E-2</v>
      </c>
      <c r="DG23" s="1">
        <v>6.5802609498194196</v>
      </c>
      <c r="DH23" s="1">
        <v>19.5437455056089</v>
      </c>
      <c r="DI23" s="1">
        <v>0.94874312763799795</v>
      </c>
      <c r="DJ23" s="2">
        <v>9.0730933468727705E-4</v>
      </c>
      <c r="DK23" s="1">
        <v>1.3912076465204599E-2</v>
      </c>
      <c r="DL23" s="1">
        <v>4.9549674949496501</v>
      </c>
      <c r="DM23" s="1">
        <v>2.3438824479427502E-2</v>
      </c>
      <c r="DN23" s="1">
        <v>2.7672934707971698E-2</v>
      </c>
      <c r="DO23" s="1">
        <v>1.5032603493543499</v>
      </c>
      <c r="DP23" s="1">
        <v>1.08877120162443E-2</v>
      </c>
      <c r="DQ23" s="1">
        <v>2.4342076261321399E-2</v>
      </c>
    </row>
    <row r="24" spans="1:121" x14ac:dyDescent="0.25">
      <c r="A24" s="1" t="s">
        <v>53</v>
      </c>
      <c r="B24" s="1">
        <v>2</v>
      </c>
      <c r="C24" s="1" t="s">
        <v>29</v>
      </c>
      <c r="D24" s="1" t="s">
        <v>56</v>
      </c>
      <c r="E24" s="1">
        <v>11.7708333333333</v>
      </c>
      <c r="F24" s="1">
        <v>6.5570000000000003E-2</v>
      </c>
      <c r="G24" s="1">
        <v>0.43666666666666598</v>
      </c>
      <c r="H24" s="1">
        <v>22</v>
      </c>
      <c r="I24" s="1">
        <v>7.8483333333333301</v>
      </c>
      <c r="J24" s="1">
        <v>-172.5</v>
      </c>
      <c r="K24" s="1">
        <v>332.55</v>
      </c>
      <c r="L24" s="1">
        <v>0.992747135478113</v>
      </c>
      <c r="M24" s="1">
        <v>3.1894877958694202E-2</v>
      </c>
      <c r="N24" s="1">
        <v>0.25835376263307303</v>
      </c>
      <c r="O24" s="1">
        <v>0.42426406871192801</v>
      </c>
      <c r="P24" s="1">
        <v>0.17837226989267799</v>
      </c>
      <c r="Q24" s="1">
        <v>52.388472014365902</v>
      </c>
      <c r="R24" s="1">
        <v>31.332267712376002</v>
      </c>
      <c r="S24" s="1">
        <v>5.0000000000000001E-3</v>
      </c>
      <c r="T24" s="1">
        <v>0</v>
      </c>
      <c r="U24" s="1">
        <v>1.0291539823008801E-3</v>
      </c>
      <c r="V24" s="1">
        <v>1.5710846520415301E-3</v>
      </c>
      <c r="W24" s="2">
        <v>4.8722331256023898E-4</v>
      </c>
      <c r="X24" s="1" t="s">
        <v>55</v>
      </c>
      <c r="Y24" s="1">
        <v>26.5194444444443</v>
      </c>
      <c r="Z24" s="1">
        <v>0</v>
      </c>
      <c r="AA24" s="1" t="s">
        <v>46</v>
      </c>
      <c r="AB24" s="1">
        <v>9</v>
      </c>
      <c r="AC24" s="1">
        <v>0</v>
      </c>
      <c r="AD24" s="1">
        <v>0</v>
      </c>
      <c r="AE24" s="1">
        <v>0</v>
      </c>
      <c r="AF24" s="1">
        <v>9</v>
      </c>
      <c r="AG24" s="1" t="s">
        <v>31</v>
      </c>
      <c r="AH24" s="1">
        <v>1993</v>
      </c>
      <c r="AI24" s="1">
        <v>1993</v>
      </c>
      <c r="AJ24" s="1">
        <v>2019.5194444444401</v>
      </c>
      <c r="AK24" s="1">
        <v>0.47284390966879403</v>
      </c>
      <c r="AL24" s="1">
        <v>0.54379696664868704</v>
      </c>
      <c r="AM24" s="1">
        <v>0.203529966317747</v>
      </c>
      <c r="AN24" s="1">
        <v>1124.7627898767701</v>
      </c>
      <c r="AO24" s="1">
        <v>319.06536980308198</v>
      </c>
      <c r="AP24" s="1">
        <v>805.69742007369302</v>
      </c>
      <c r="AQ24" s="1">
        <v>0.18842595944789201</v>
      </c>
      <c r="AR24" s="1">
        <v>628.38136114431904</v>
      </c>
      <c r="AS24" s="1">
        <v>1876.2518450289299</v>
      </c>
      <c r="AT24" s="1">
        <v>5504.8570685315399</v>
      </c>
      <c r="AU24" s="1">
        <v>251.57924664585801</v>
      </c>
      <c r="AV24" s="1">
        <v>0.12152131348389</v>
      </c>
      <c r="AW24" s="1">
        <v>489.95117351585998</v>
      </c>
      <c r="AX24" s="1">
        <v>6.2550000000000203</v>
      </c>
      <c r="AY24" s="1">
        <v>83.744999999999905</v>
      </c>
      <c r="AZ24" s="1">
        <v>10</v>
      </c>
      <c r="BA24" s="1">
        <v>93.744999999999905</v>
      </c>
      <c r="BB24" s="1">
        <v>2600.7733364190199</v>
      </c>
      <c r="BC24" s="1">
        <v>0.24304262696778001</v>
      </c>
      <c r="BD24" s="1">
        <v>0.20934665656757701</v>
      </c>
      <c r="BE24" s="1">
        <v>0.32741199388191999</v>
      </c>
      <c r="BF24" s="1">
        <v>0.29172216053198702</v>
      </c>
      <c r="BG24" s="1">
        <v>0.71405662278584003</v>
      </c>
      <c r="BH24" s="1">
        <v>6.2335354267258503E-2</v>
      </c>
      <c r="BI24" s="1">
        <v>5.2198101878999497</v>
      </c>
      <c r="BJ24" s="1">
        <v>13.601632980240399</v>
      </c>
      <c r="BK24" s="1">
        <v>102.55628505271601</v>
      </c>
      <c r="BL24" s="1">
        <v>191.40379623987201</v>
      </c>
      <c r="BM24" s="1">
        <v>1520.7974000546999</v>
      </c>
      <c r="BN24" s="1">
        <v>51.599732249488802</v>
      </c>
      <c r="BO24" s="1">
        <v>0.154529385440733</v>
      </c>
      <c r="BP24" s="1">
        <v>1.3350238663586</v>
      </c>
      <c r="BQ24" s="1">
        <v>158.08743809709699</v>
      </c>
      <c r="BR24" s="1">
        <v>59.587034978752698</v>
      </c>
      <c r="BS24" s="1">
        <v>35.1396714648235</v>
      </c>
      <c r="BT24" s="1">
        <v>31.230254698562899</v>
      </c>
      <c r="BU24" s="1">
        <v>4.25763387525555</v>
      </c>
      <c r="BV24" s="1">
        <v>0.28378285616759902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 t="s">
        <v>31</v>
      </c>
      <c r="CC24" s="1">
        <v>0</v>
      </c>
      <c r="CD24" s="1">
        <v>0</v>
      </c>
      <c r="CE24" s="1">
        <v>0</v>
      </c>
      <c r="CF24" s="1">
        <v>1.8699374886488401E-2</v>
      </c>
      <c r="CG24" s="1">
        <v>1.9331131614821001E-2</v>
      </c>
      <c r="CH24" s="1">
        <v>3.7506975316254999E-2</v>
      </c>
      <c r="CI24" s="1">
        <v>92.437311405105206</v>
      </c>
      <c r="CJ24" s="1">
        <v>31.270564969390701</v>
      </c>
      <c r="CK24" s="1">
        <v>70.706102089412994</v>
      </c>
      <c r="CL24" s="1">
        <v>6.9673932908379602E-2</v>
      </c>
      <c r="CM24" s="1">
        <v>60.766904347572002</v>
      </c>
      <c r="CN24" s="1">
        <v>157.389384516549</v>
      </c>
      <c r="CO24" s="1">
        <v>565.815340063191</v>
      </c>
      <c r="CP24" s="1">
        <v>68.614603051017298</v>
      </c>
      <c r="CQ24" s="1">
        <v>1.4063252994677099E-2</v>
      </c>
      <c r="CR24" s="1">
        <v>100.20456400027901</v>
      </c>
      <c r="CS24" s="1">
        <v>0</v>
      </c>
      <c r="CT24" s="1">
        <v>0</v>
      </c>
      <c r="CU24" s="1">
        <v>0</v>
      </c>
      <c r="CV24" s="1">
        <v>0</v>
      </c>
      <c r="CW24" s="1">
        <v>198.28011734645099</v>
      </c>
      <c r="CX24" s="1">
        <v>2.8126505989354501E-2</v>
      </c>
      <c r="CY24" s="1">
        <v>3.2363675347579599E-2</v>
      </c>
      <c r="CZ24" s="1">
        <v>1.1610274298572899E-2</v>
      </c>
      <c r="DA24" s="1">
        <v>1.6879897156679501E-2</v>
      </c>
      <c r="DB24" s="1">
        <v>7.7312317230872299E-2</v>
      </c>
      <c r="DC24" s="1">
        <v>1.06229958737505E-2</v>
      </c>
      <c r="DD24" s="1">
        <v>8.0577589407042502E-2</v>
      </c>
      <c r="DE24" s="1">
        <v>0.118243240548899</v>
      </c>
      <c r="DF24" s="1">
        <v>1.66562890156594</v>
      </c>
      <c r="DG24" s="1">
        <v>1.99574142978781</v>
      </c>
      <c r="DH24" s="1">
        <v>8.4139683843600093</v>
      </c>
      <c r="DI24" s="1">
        <v>0.14501275689614701</v>
      </c>
      <c r="DJ24" s="1">
        <v>1.3452018264948501E-3</v>
      </c>
      <c r="DK24" s="1">
        <v>1.7218583379134299E-2</v>
      </c>
      <c r="DL24" s="1">
        <v>0.74443469078223701</v>
      </c>
      <c r="DM24" s="1">
        <v>0.61731311817849399</v>
      </c>
      <c r="DN24" s="1">
        <v>4.4795220822279901E-2</v>
      </c>
      <c r="DO24" s="1">
        <v>0.21079312621174001</v>
      </c>
      <c r="DP24" s="1">
        <v>7.2506378448073006E-2</v>
      </c>
      <c r="DQ24" s="1">
        <v>1.6762223280280399E-2</v>
      </c>
    </row>
    <row r="25" spans="1:121" x14ac:dyDescent="0.25">
      <c r="A25" s="1" t="s">
        <v>53</v>
      </c>
      <c r="B25" s="1">
        <v>2</v>
      </c>
      <c r="C25" s="1" t="s">
        <v>34</v>
      </c>
      <c r="D25" s="1" t="s">
        <v>56</v>
      </c>
      <c r="E25" s="1">
        <v>11.7708333333333</v>
      </c>
      <c r="F25" s="1">
        <v>1.88066666666666E-2</v>
      </c>
      <c r="G25" s="1">
        <v>5.4349999999999996</v>
      </c>
      <c r="H25" s="1">
        <v>22.066666666666599</v>
      </c>
      <c r="I25" s="1">
        <v>7.57666666666666</v>
      </c>
      <c r="J25" s="1">
        <v>43</v>
      </c>
      <c r="K25" s="1">
        <v>288.46666666666601</v>
      </c>
      <c r="L25" s="1">
        <v>0.992747135478113</v>
      </c>
      <c r="M25" s="1">
        <v>6.0025483477158803E-3</v>
      </c>
      <c r="N25" s="1">
        <v>0.49090732322913999</v>
      </c>
      <c r="O25" s="1">
        <v>0.47609522856952202</v>
      </c>
      <c r="P25" s="1">
        <v>5.3913510984415297E-2</v>
      </c>
      <c r="Q25" s="1">
        <v>63.661259805316398</v>
      </c>
      <c r="R25" s="1">
        <v>11.9822646718667</v>
      </c>
      <c r="S25" s="1">
        <v>5.0000000000000001E-3</v>
      </c>
      <c r="T25" s="1">
        <v>0</v>
      </c>
      <c r="U25" s="2">
        <v>2.34591150442477E-4</v>
      </c>
      <c r="V25" s="2">
        <v>3.3658135245676502E-4</v>
      </c>
      <c r="W25" s="2">
        <v>1.3260094842819001E-4</v>
      </c>
      <c r="X25" s="1" t="s">
        <v>55</v>
      </c>
      <c r="Y25" s="1">
        <v>26.5194444444443</v>
      </c>
      <c r="Z25" s="1">
        <v>0</v>
      </c>
      <c r="AA25" s="1" t="s">
        <v>46</v>
      </c>
      <c r="AB25" s="1">
        <v>9</v>
      </c>
      <c r="AC25" s="1">
        <v>0</v>
      </c>
      <c r="AD25" s="1">
        <v>0</v>
      </c>
      <c r="AE25" s="1">
        <v>0</v>
      </c>
      <c r="AF25" s="1">
        <v>9</v>
      </c>
      <c r="AG25" s="1" t="s">
        <v>31</v>
      </c>
      <c r="AH25" s="1">
        <v>1993</v>
      </c>
      <c r="AI25" s="1">
        <v>1993</v>
      </c>
      <c r="AJ25" s="1">
        <v>2019.5194444444401</v>
      </c>
      <c r="AK25" s="1">
        <v>0.47284390966879403</v>
      </c>
      <c r="AL25" s="1">
        <v>0.54379696664868704</v>
      </c>
      <c r="AM25" s="1">
        <v>0.203529966317747</v>
      </c>
      <c r="AN25" s="1">
        <v>1124.7627898767701</v>
      </c>
      <c r="AO25" s="1">
        <v>319.06536980308198</v>
      </c>
      <c r="AP25" s="1">
        <v>805.69742007369302</v>
      </c>
      <c r="AQ25" s="1">
        <v>0.18842595944789201</v>
      </c>
      <c r="AR25" s="1">
        <v>628.38136114431904</v>
      </c>
      <c r="AS25" s="1">
        <v>1876.2518450289299</v>
      </c>
      <c r="AT25" s="1">
        <v>5504.8570685315399</v>
      </c>
      <c r="AU25" s="1">
        <v>251.57924664585801</v>
      </c>
      <c r="AV25" s="1">
        <v>0.12152131348389</v>
      </c>
      <c r="AW25" s="1">
        <v>489.95117351585998</v>
      </c>
      <c r="AX25" s="1">
        <v>6.2550000000000203</v>
      </c>
      <c r="AY25" s="1">
        <v>83.744999999999905</v>
      </c>
      <c r="AZ25" s="1">
        <v>10</v>
      </c>
      <c r="BA25" s="1">
        <v>93.744999999999905</v>
      </c>
      <c r="BB25" s="1">
        <v>2600.7733364190199</v>
      </c>
      <c r="BC25" s="1">
        <v>0.24304262696778001</v>
      </c>
      <c r="BD25" s="1">
        <v>0.20934665656757701</v>
      </c>
      <c r="BE25" s="1">
        <v>0.32741199388191999</v>
      </c>
      <c r="BF25" s="1">
        <v>0.29172216053198702</v>
      </c>
      <c r="BG25" s="1">
        <v>0.71405662278584003</v>
      </c>
      <c r="BH25" s="1">
        <v>6.2335354267258503E-2</v>
      </c>
      <c r="BI25" s="1">
        <v>5.2198101878999497</v>
      </c>
      <c r="BJ25" s="1">
        <v>13.601632980240399</v>
      </c>
      <c r="BK25" s="1">
        <v>102.55628505271601</v>
      </c>
      <c r="BL25" s="1">
        <v>191.40379623987201</v>
      </c>
      <c r="BM25" s="1">
        <v>1520.7974000546999</v>
      </c>
      <c r="BN25" s="1">
        <v>51.599732249488802</v>
      </c>
      <c r="BO25" s="1">
        <v>0.154529385440733</v>
      </c>
      <c r="BP25" s="1">
        <v>1.3350238663586</v>
      </c>
      <c r="BQ25" s="1">
        <v>158.08743809709699</v>
      </c>
      <c r="BR25" s="1">
        <v>59.587034978752698</v>
      </c>
      <c r="BS25" s="1">
        <v>35.1396714648235</v>
      </c>
      <c r="BT25" s="1">
        <v>31.230254698562899</v>
      </c>
      <c r="BU25" s="1">
        <v>4.25763387525555</v>
      </c>
      <c r="BV25" s="1">
        <v>0.28378285616759902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 t="s">
        <v>31</v>
      </c>
      <c r="CC25" s="1">
        <v>0</v>
      </c>
      <c r="CD25" s="1">
        <v>0</v>
      </c>
      <c r="CE25" s="1">
        <v>0</v>
      </c>
      <c r="CF25" s="1">
        <v>1.8699374886488401E-2</v>
      </c>
      <c r="CG25" s="1">
        <v>1.9331131614821001E-2</v>
      </c>
      <c r="CH25" s="1">
        <v>3.7506975316254999E-2</v>
      </c>
      <c r="CI25" s="1">
        <v>92.437311405105206</v>
      </c>
      <c r="CJ25" s="1">
        <v>31.270564969390701</v>
      </c>
      <c r="CK25" s="1">
        <v>70.706102089412994</v>
      </c>
      <c r="CL25" s="1">
        <v>6.9673932908379602E-2</v>
      </c>
      <c r="CM25" s="1">
        <v>60.766904347572002</v>
      </c>
      <c r="CN25" s="1">
        <v>157.389384516549</v>
      </c>
      <c r="CO25" s="1">
        <v>565.815340063191</v>
      </c>
      <c r="CP25" s="1">
        <v>68.614603051017298</v>
      </c>
      <c r="CQ25" s="1">
        <v>1.4063252994677099E-2</v>
      </c>
      <c r="CR25" s="1">
        <v>100.20456400027901</v>
      </c>
      <c r="CS25" s="1">
        <v>0</v>
      </c>
      <c r="CT25" s="1">
        <v>0</v>
      </c>
      <c r="CU25" s="1">
        <v>0</v>
      </c>
      <c r="CV25" s="1">
        <v>0</v>
      </c>
      <c r="CW25" s="1">
        <v>198.28011734645099</v>
      </c>
      <c r="CX25" s="1">
        <v>2.8126505989354501E-2</v>
      </c>
      <c r="CY25" s="1">
        <v>3.2363675347579599E-2</v>
      </c>
      <c r="CZ25" s="1">
        <v>1.1610274298572899E-2</v>
      </c>
      <c r="DA25" s="1">
        <v>1.6879897156679501E-2</v>
      </c>
      <c r="DB25" s="1">
        <v>7.7312317230872299E-2</v>
      </c>
      <c r="DC25" s="1">
        <v>1.06229958737505E-2</v>
      </c>
      <c r="DD25" s="1">
        <v>8.0577589407042502E-2</v>
      </c>
      <c r="DE25" s="1">
        <v>0.118243240548899</v>
      </c>
      <c r="DF25" s="1">
        <v>1.66562890156594</v>
      </c>
      <c r="DG25" s="1">
        <v>1.99574142978781</v>
      </c>
      <c r="DH25" s="1">
        <v>8.4139683843600093</v>
      </c>
      <c r="DI25" s="1">
        <v>0.14501275689614701</v>
      </c>
      <c r="DJ25" s="1">
        <v>1.3452018264948501E-3</v>
      </c>
      <c r="DK25" s="1">
        <v>1.7218583379134299E-2</v>
      </c>
      <c r="DL25" s="1">
        <v>0.74443469078223701</v>
      </c>
      <c r="DM25" s="1">
        <v>0.61731311817849399</v>
      </c>
      <c r="DN25" s="1">
        <v>4.4795220822279901E-2</v>
      </c>
      <c r="DO25" s="1">
        <v>0.21079312621174001</v>
      </c>
      <c r="DP25" s="1">
        <v>7.2506378448073006E-2</v>
      </c>
      <c r="DQ25" s="1">
        <v>1.6762223280280399E-2</v>
      </c>
    </row>
    <row r="26" spans="1:121" x14ac:dyDescent="0.25">
      <c r="A26" s="1" t="s">
        <v>53</v>
      </c>
      <c r="B26" s="1">
        <v>4</v>
      </c>
      <c r="C26" s="1" t="s">
        <v>29</v>
      </c>
      <c r="D26" s="1" t="s">
        <v>57</v>
      </c>
      <c r="E26" s="1">
        <v>12.1197916666666</v>
      </c>
      <c r="F26" s="1">
        <v>6.0130666666666603E-2</v>
      </c>
      <c r="G26" s="1">
        <v>0.99166666666666603</v>
      </c>
      <c r="H26" s="1">
        <v>17.899999999999999</v>
      </c>
      <c r="I26" s="1" t="s">
        <v>31</v>
      </c>
      <c r="J26" s="1" t="s">
        <v>31</v>
      </c>
      <c r="K26" s="1" t="s">
        <v>31</v>
      </c>
      <c r="L26" s="1">
        <v>1.04212584576388</v>
      </c>
      <c r="M26" s="1">
        <v>1.80524161230231E-2</v>
      </c>
      <c r="N26" s="1">
        <v>0.55856688918783004</v>
      </c>
      <c r="O26" s="1">
        <v>0.12792042981336599</v>
      </c>
      <c r="P26" s="1" t="s">
        <v>31</v>
      </c>
      <c r="Q26" s="1" t="s">
        <v>31</v>
      </c>
      <c r="R26" s="1" t="s">
        <v>31</v>
      </c>
      <c r="S26" s="1">
        <v>5.0000000000000001E-3</v>
      </c>
      <c r="T26" s="1">
        <v>0</v>
      </c>
      <c r="U26" s="2">
        <v>9.09762612806188E-4</v>
      </c>
      <c r="V26" s="1">
        <v>1.20766238896608E-3</v>
      </c>
      <c r="W26" s="2">
        <v>6.1186283664628601E-4</v>
      </c>
      <c r="X26" s="1" t="s">
        <v>55</v>
      </c>
      <c r="Y26" s="1">
        <v>26.5194444444443</v>
      </c>
      <c r="Z26" s="1">
        <v>0</v>
      </c>
      <c r="AA26" s="1" t="s">
        <v>46</v>
      </c>
      <c r="AB26" s="1">
        <v>9</v>
      </c>
      <c r="AC26" s="1">
        <v>0</v>
      </c>
      <c r="AD26" s="1">
        <v>0</v>
      </c>
      <c r="AE26" s="1">
        <v>0</v>
      </c>
      <c r="AF26" s="1">
        <v>9</v>
      </c>
      <c r="AG26" s="1" t="s">
        <v>31</v>
      </c>
      <c r="AH26" s="1">
        <v>1993</v>
      </c>
      <c r="AI26" s="1">
        <v>1993</v>
      </c>
      <c r="AJ26" s="1">
        <v>2019.5194444444401</v>
      </c>
      <c r="AK26" s="1">
        <v>0.59431958810368402</v>
      </c>
      <c r="AL26" s="1">
        <v>0.413627733844882</v>
      </c>
      <c r="AM26" s="1">
        <v>0.138822827405715</v>
      </c>
      <c r="AN26" s="1">
        <v>943.75135985731799</v>
      </c>
      <c r="AO26" s="1">
        <v>259.754963013907</v>
      </c>
      <c r="AP26" s="1">
        <v>683.99639684341196</v>
      </c>
      <c r="AQ26" s="1">
        <v>0.18059922159706801</v>
      </c>
      <c r="AR26" s="1">
        <v>465.33438524518499</v>
      </c>
      <c r="AS26" s="1">
        <v>1751.8427429657199</v>
      </c>
      <c r="AT26" s="1">
        <v>5406.8132160123796</v>
      </c>
      <c r="AU26" s="1">
        <v>347.76991194175599</v>
      </c>
      <c r="AV26" s="1">
        <v>9.29082874792765E-2</v>
      </c>
      <c r="AW26" s="1">
        <v>610.61856295060602</v>
      </c>
      <c r="AX26" s="1">
        <v>15.989999999999901</v>
      </c>
      <c r="AY26" s="1">
        <v>75.260000000000005</v>
      </c>
      <c r="AZ26" s="1">
        <v>8.75</v>
      </c>
      <c r="BA26" s="1">
        <v>84.010000000000105</v>
      </c>
      <c r="BB26" s="1">
        <v>2502.2161585948602</v>
      </c>
      <c r="BC26" s="1">
        <v>0.185816574958552</v>
      </c>
      <c r="BD26" s="1">
        <v>0.15593862720573001</v>
      </c>
      <c r="BE26" s="1">
        <v>0.32237982773053397</v>
      </c>
      <c r="BF26" s="1">
        <v>0.23059508656810701</v>
      </c>
      <c r="BG26" s="1">
        <v>0.67292471591054204</v>
      </c>
      <c r="BH26" s="1">
        <v>5.1861053127169002E-2</v>
      </c>
      <c r="BI26" s="1">
        <v>3.4466178634137998</v>
      </c>
      <c r="BJ26" s="1">
        <v>8.9545252898724605</v>
      </c>
      <c r="BK26" s="1">
        <v>75.080368592446007</v>
      </c>
      <c r="BL26" s="1">
        <v>257.38838741191699</v>
      </c>
      <c r="BM26" s="1">
        <v>1925.69640124225</v>
      </c>
      <c r="BN26" s="1">
        <v>31.834045768519601</v>
      </c>
      <c r="BO26" s="1">
        <v>9.0458195713213493E-2</v>
      </c>
      <c r="BP26" s="1">
        <v>0.44266650938652902</v>
      </c>
      <c r="BQ26" s="1">
        <v>11.498467160680899</v>
      </c>
      <c r="BR26" s="1">
        <v>52.988597195256901</v>
      </c>
      <c r="BS26" s="1">
        <v>24.872106775164099</v>
      </c>
      <c r="BT26" s="1">
        <v>13.9556424455256</v>
      </c>
      <c r="BU26" s="1">
        <v>1.2716225818179001</v>
      </c>
      <c r="BV26" s="1">
        <v>0.27179772432126797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 t="s">
        <v>31</v>
      </c>
      <c r="CC26" s="1">
        <v>0</v>
      </c>
      <c r="CD26" s="1">
        <v>0</v>
      </c>
      <c r="CE26" s="1">
        <v>0</v>
      </c>
      <c r="CF26" s="1">
        <v>5.2366185697412998E-2</v>
      </c>
      <c r="CG26" s="1">
        <v>2.95893373184704E-2</v>
      </c>
      <c r="CH26" s="1">
        <v>2.4740546720106199E-2</v>
      </c>
      <c r="CI26" s="1">
        <v>195.48557730124799</v>
      </c>
      <c r="CJ26" s="1">
        <v>84.469236835007095</v>
      </c>
      <c r="CK26" s="1">
        <v>111.016340466244</v>
      </c>
      <c r="CL26" s="1">
        <v>9.1992407245965205E-2</v>
      </c>
      <c r="CM26" s="1">
        <v>80.734555081149495</v>
      </c>
      <c r="CN26" s="1">
        <v>133.06064171302799</v>
      </c>
      <c r="CO26" s="1">
        <v>149.681084286355</v>
      </c>
      <c r="CP26" s="1">
        <v>16.035473444585499</v>
      </c>
      <c r="CQ26" s="1">
        <v>1.48384997574793E-2</v>
      </c>
      <c r="CR26" s="1">
        <v>65.703011172274202</v>
      </c>
      <c r="CS26" s="1">
        <v>0</v>
      </c>
      <c r="CT26" s="1">
        <v>0</v>
      </c>
      <c r="CU26" s="1">
        <v>0</v>
      </c>
      <c r="CV26" s="1">
        <v>0</v>
      </c>
      <c r="CW26" s="1">
        <v>34.957078857850803</v>
      </c>
      <c r="CX26" s="1">
        <v>2.9676999514958498E-2</v>
      </c>
      <c r="CY26" s="1">
        <v>3.1272258743976697E-2</v>
      </c>
      <c r="CZ26" s="1">
        <v>2.2643508644453501E-2</v>
      </c>
      <c r="DA26" s="1">
        <v>2.2706379311009901E-2</v>
      </c>
      <c r="DB26" s="1">
        <v>6.9536229985433795E-2</v>
      </c>
      <c r="DC26" s="1">
        <v>1.6278690848393999E-2</v>
      </c>
      <c r="DD26" s="1">
        <v>8.5523325391383007E-2</v>
      </c>
      <c r="DE26" s="1">
        <v>0.19625600565019799</v>
      </c>
      <c r="DF26" s="1">
        <v>1.57476007414875</v>
      </c>
      <c r="DG26" s="1">
        <v>5.8431514959550501</v>
      </c>
      <c r="DH26" s="1">
        <v>32.640931321483102</v>
      </c>
      <c r="DI26" s="1">
        <v>0.54848016945216704</v>
      </c>
      <c r="DJ26" s="1">
        <v>1.64921013151422E-3</v>
      </c>
      <c r="DK26" s="1">
        <v>1.8848115788733799E-3</v>
      </c>
      <c r="DL26" s="1">
        <v>0.10578504986427199</v>
      </c>
      <c r="DM26" s="1">
        <v>1.33185498192145</v>
      </c>
      <c r="DN26" s="1">
        <v>0.21840254170196299</v>
      </c>
      <c r="DO26" s="1">
        <v>0.29026098314651</v>
      </c>
      <c r="DP26" s="1">
        <v>2.8978978025179299E-2</v>
      </c>
      <c r="DQ26" s="1">
        <v>3.3204404380022402E-2</v>
      </c>
    </row>
    <row r="27" spans="1:121" x14ac:dyDescent="0.25">
      <c r="A27" s="1" t="s">
        <v>53</v>
      </c>
      <c r="B27" s="1">
        <v>4</v>
      </c>
      <c r="C27" s="1" t="s">
        <v>34</v>
      </c>
      <c r="D27" s="1" t="s">
        <v>57</v>
      </c>
      <c r="E27" s="1">
        <v>12.1197916666666</v>
      </c>
      <c r="F27" s="1">
        <v>2.2963916666666601E-2</v>
      </c>
      <c r="G27" s="1">
        <v>7.2925000000000004</v>
      </c>
      <c r="H27" s="1">
        <v>17.899999999999999</v>
      </c>
      <c r="I27" s="1" t="s">
        <v>31</v>
      </c>
      <c r="J27" s="1" t="s">
        <v>31</v>
      </c>
      <c r="K27" s="1" t="s">
        <v>31</v>
      </c>
      <c r="L27" s="1">
        <v>1.04212584576388</v>
      </c>
      <c r="M27" s="1">
        <v>5.7500183945687301E-3</v>
      </c>
      <c r="N27" s="1">
        <v>0.56053748556833605</v>
      </c>
      <c r="O27" s="1">
        <v>0.12792042981336599</v>
      </c>
      <c r="P27" s="1" t="s">
        <v>31</v>
      </c>
      <c r="Q27" s="1" t="s">
        <v>31</v>
      </c>
      <c r="R27" s="1" t="s">
        <v>31</v>
      </c>
      <c r="S27" s="1">
        <v>5.0000000000000001E-3</v>
      </c>
      <c r="T27" s="1">
        <v>0</v>
      </c>
      <c r="U27" s="2">
        <v>2.96439363987967E-4</v>
      </c>
      <c r="V27" s="2">
        <v>3.9132578700104797E-4</v>
      </c>
      <c r="W27" s="2">
        <v>2.0155294097488601E-4</v>
      </c>
      <c r="X27" s="1" t="s">
        <v>55</v>
      </c>
      <c r="Y27" s="1">
        <v>26.5194444444443</v>
      </c>
      <c r="Z27" s="1">
        <v>0</v>
      </c>
      <c r="AA27" s="1" t="s">
        <v>46</v>
      </c>
      <c r="AB27" s="1">
        <v>9</v>
      </c>
      <c r="AC27" s="1">
        <v>0</v>
      </c>
      <c r="AD27" s="1">
        <v>0</v>
      </c>
      <c r="AE27" s="1">
        <v>0</v>
      </c>
      <c r="AF27" s="1">
        <v>9</v>
      </c>
      <c r="AG27" s="1" t="s">
        <v>31</v>
      </c>
      <c r="AH27" s="1">
        <v>1993</v>
      </c>
      <c r="AI27" s="1">
        <v>1993</v>
      </c>
      <c r="AJ27" s="1">
        <v>2019.5194444444401</v>
      </c>
      <c r="AK27" s="1">
        <v>0.59431958810368402</v>
      </c>
      <c r="AL27" s="1">
        <v>0.413627733844882</v>
      </c>
      <c r="AM27" s="1">
        <v>0.138822827405715</v>
      </c>
      <c r="AN27" s="1">
        <v>943.75135985731799</v>
      </c>
      <c r="AO27" s="1">
        <v>259.754963013907</v>
      </c>
      <c r="AP27" s="1">
        <v>683.99639684341196</v>
      </c>
      <c r="AQ27" s="1">
        <v>0.18059922159706801</v>
      </c>
      <c r="AR27" s="1">
        <v>465.33438524518499</v>
      </c>
      <c r="AS27" s="1">
        <v>1751.8427429657199</v>
      </c>
      <c r="AT27" s="1">
        <v>5406.8132160123796</v>
      </c>
      <c r="AU27" s="1">
        <v>347.76991194175599</v>
      </c>
      <c r="AV27" s="1">
        <v>9.29082874792765E-2</v>
      </c>
      <c r="AW27" s="1">
        <v>610.61856295060602</v>
      </c>
      <c r="AX27" s="1">
        <v>15.989999999999901</v>
      </c>
      <c r="AY27" s="1">
        <v>75.260000000000005</v>
      </c>
      <c r="AZ27" s="1">
        <v>8.75</v>
      </c>
      <c r="BA27" s="1">
        <v>84.010000000000105</v>
      </c>
      <c r="BB27" s="1">
        <v>2502.2161585948602</v>
      </c>
      <c r="BC27" s="1">
        <v>0.185816574958552</v>
      </c>
      <c r="BD27" s="1">
        <v>0.15593862720573001</v>
      </c>
      <c r="BE27" s="1">
        <v>0.32237982773053397</v>
      </c>
      <c r="BF27" s="1">
        <v>0.23059508656810701</v>
      </c>
      <c r="BG27" s="1">
        <v>0.67292471591054204</v>
      </c>
      <c r="BH27" s="1">
        <v>5.1861053127169002E-2</v>
      </c>
      <c r="BI27" s="1">
        <v>3.4466178634137998</v>
      </c>
      <c r="BJ27" s="1">
        <v>8.9545252898724605</v>
      </c>
      <c r="BK27" s="1">
        <v>75.080368592446007</v>
      </c>
      <c r="BL27" s="1">
        <v>257.38838741191699</v>
      </c>
      <c r="BM27" s="1">
        <v>1925.69640124225</v>
      </c>
      <c r="BN27" s="1">
        <v>31.834045768519601</v>
      </c>
      <c r="BO27" s="1">
        <v>9.0458195713213493E-2</v>
      </c>
      <c r="BP27" s="1">
        <v>0.44266650938652902</v>
      </c>
      <c r="BQ27" s="1">
        <v>11.498467160680899</v>
      </c>
      <c r="BR27" s="1">
        <v>52.988597195256901</v>
      </c>
      <c r="BS27" s="1">
        <v>24.872106775164099</v>
      </c>
      <c r="BT27" s="1">
        <v>13.9556424455256</v>
      </c>
      <c r="BU27" s="1">
        <v>1.2716225818179001</v>
      </c>
      <c r="BV27" s="1">
        <v>0.27179772432126797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 t="s">
        <v>31</v>
      </c>
      <c r="CC27" s="1">
        <v>0</v>
      </c>
      <c r="CD27" s="1">
        <v>0</v>
      </c>
      <c r="CE27" s="1">
        <v>0</v>
      </c>
      <c r="CF27" s="1">
        <v>5.2366185697412998E-2</v>
      </c>
      <c r="CG27" s="1">
        <v>2.95893373184704E-2</v>
      </c>
      <c r="CH27" s="1">
        <v>2.4740546720106199E-2</v>
      </c>
      <c r="CI27" s="1">
        <v>195.48557730124799</v>
      </c>
      <c r="CJ27" s="1">
        <v>84.469236835007095</v>
      </c>
      <c r="CK27" s="1">
        <v>111.016340466244</v>
      </c>
      <c r="CL27" s="1">
        <v>9.1992407245965205E-2</v>
      </c>
      <c r="CM27" s="1">
        <v>80.734555081149495</v>
      </c>
      <c r="CN27" s="1">
        <v>133.06064171302799</v>
      </c>
      <c r="CO27" s="1">
        <v>149.681084286355</v>
      </c>
      <c r="CP27" s="1">
        <v>16.035473444585499</v>
      </c>
      <c r="CQ27" s="1">
        <v>1.48384997574793E-2</v>
      </c>
      <c r="CR27" s="1">
        <v>65.703011172274202</v>
      </c>
      <c r="CS27" s="1">
        <v>0</v>
      </c>
      <c r="CT27" s="1">
        <v>0</v>
      </c>
      <c r="CU27" s="1">
        <v>0</v>
      </c>
      <c r="CV27" s="1">
        <v>0</v>
      </c>
      <c r="CW27" s="1">
        <v>34.957078857850803</v>
      </c>
      <c r="CX27" s="1">
        <v>2.9676999514958498E-2</v>
      </c>
      <c r="CY27" s="1">
        <v>3.1272258743976697E-2</v>
      </c>
      <c r="CZ27" s="1">
        <v>2.2643508644453501E-2</v>
      </c>
      <c r="DA27" s="1">
        <v>2.2706379311009901E-2</v>
      </c>
      <c r="DB27" s="1">
        <v>6.9536229985433795E-2</v>
      </c>
      <c r="DC27" s="1">
        <v>1.6278690848393999E-2</v>
      </c>
      <c r="DD27" s="1">
        <v>8.5523325391383007E-2</v>
      </c>
      <c r="DE27" s="1">
        <v>0.19625600565019799</v>
      </c>
      <c r="DF27" s="1">
        <v>1.57476007414875</v>
      </c>
      <c r="DG27" s="1">
        <v>5.8431514959550501</v>
      </c>
      <c r="DH27" s="1">
        <v>32.640931321483102</v>
      </c>
      <c r="DI27" s="1">
        <v>0.54848016945216704</v>
      </c>
      <c r="DJ27" s="1">
        <v>1.64921013151422E-3</v>
      </c>
      <c r="DK27" s="1">
        <v>1.8848115788733799E-3</v>
      </c>
      <c r="DL27" s="1">
        <v>0.10578504986427199</v>
      </c>
      <c r="DM27" s="1">
        <v>1.33185498192145</v>
      </c>
      <c r="DN27" s="1">
        <v>0.21840254170196299</v>
      </c>
      <c r="DO27" s="1">
        <v>0.29026098314651</v>
      </c>
      <c r="DP27" s="1">
        <v>2.8978978025179299E-2</v>
      </c>
      <c r="DQ27" s="1">
        <v>3.3204404380022402E-2</v>
      </c>
    </row>
    <row r="28" spans="1:121" x14ac:dyDescent="0.25">
      <c r="A28" s="1" t="s">
        <v>53</v>
      </c>
      <c r="B28" s="1" t="s">
        <v>58</v>
      </c>
      <c r="C28" s="1" t="s">
        <v>29</v>
      </c>
      <c r="D28" s="1" t="s">
        <v>59</v>
      </c>
      <c r="E28" s="1">
        <v>11.2552083333333</v>
      </c>
      <c r="F28" s="1">
        <v>0.42969616666666599</v>
      </c>
      <c r="G28" s="1">
        <v>1.24</v>
      </c>
      <c r="H28" s="1">
        <v>19.05</v>
      </c>
      <c r="I28" s="1">
        <v>7.7566666666666597</v>
      </c>
      <c r="J28" s="1" t="s">
        <v>31</v>
      </c>
      <c r="K28" s="1" t="s">
        <v>31</v>
      </c>
      <c r="L28" s="1">
        <v>0.57624977404189304</v>
      </c>
      <c r="M28" s="1">
        <v>0.275736950199581</v>
      </c>
      <c r="N28" s="1">
        <v>0.89603571357396194</v>
      </c>
      <c r="O28" s="1">
        <v>5.47722557505173E-2</v>
      </c>
      <c r="P28" s="1">
        <v>5.7735026918962297E-2</v>
      </c>
      <c r="Q28" s="1" t="s">
        <v>31</v>
      </c>
      <c r="R28" s="1" t="s">
        <v>31</v>
      </c>
      <c r="S28" s="1">
        <v>5.0000000000000001E-3</v>
      </c>
      <c r="T28" s="1">
        <v>0</v>
      </c>
      <c r="U28" s="1">
        <v>7.5466602498843096E-3</v>
      </c>
      <c r="V28" s="1">
        <v>1.2446382085915701E-2</v>
      </c>
      <c r="W28" s="1">
        <v>2.6469384138528701E-3</v>
      </c>
      <c r="X28" s="1" t="s">
        <v>32</v>
      </c>
      <c r="Y28" s="1">
        <v>1.5250000000000901</v>
      </c>
      <c r="Z28" s="1">
        <v>0.77777777777777701</v>
      </c>
      <c r="AA28" s="1" t="s">
        <v>33</v>
      </c>
      <c r="AB28" s="1">
        <v>2</v>
      </c>
      <c r="AC28" s="1">
        <v>7</v>
      </c>
      <c r="AD28" s="1">
        <v>0</v>
      </c>
      <c r="AE28" s="1">
        <v>0</v>
      </c>
      <c r="AF28" s="1">
        <v>9</v>
      </c>
      <c r="AG28" s="1">
        <v>2020</v>
      </c>
      <c r="AH28" s="1">
        <v>2003</v>
      </c>
      <c r="AI28" s="1">
        <v>2020</v>
      </c>
      <c r="AJ28" s="1">
        <v>2021.5250000000001</v>
      </c>
      <c r="AK28" s="1">
        <v>0.89328194559999996</v>
      </c>
      <c r="AL28" s="1">
        <v>0.32516383160930601</v>
      </c>
      <c r="AM28" s="1">
        <v>1.9349446529643399</v>
      </c>
      <c r="AN28" s="1">
        <v>862.75380592789895</v>
      </c>
      <c r="AO28" s="1">
        <v>461.127522810431</v>
      </c>
      <c r="AP28" s="1">
        <v>401.62628311747</v>
      </c>
      <c r="AQ28" s="1">
        <v>7.1362740775622199E-2</v>
      </c>
      <c r="AR28" s="1">
        <v>343.24721965868002</v>
      </c>
      <c r="AS28" s="1">
        <v>1048.6418898346301</v>
      </c>
      <c r="AT28" s="1">
        <v>2783.3674996530199</v>
      </c>
      <c r="AU28" s="1">
        <v>65.206931417916195</v>
      </c>
      <c r="AV28" s="1">
        <v>0.124212205514316</v>
      </c>
      <c r="AW28" s="1">
        <v>246.882408226199</v>
      </c>
      <c r="AX28" s="1">
        <v>30.066666666666599</v>
      </c>
      <c r="AY28" s="1">
        <v>62.433333333333302</v>
      </c>
      <c r="AZ28" s="1">
        <v>7.5</v>
      </c>
      <c r="BA28" s="1">
        <v>69.933333333333294</v>
      </c>
      <c r="BB28" s="1">
        <v>1372.3944834532001</v>
      </c>
      <c r="BC28" s="1">
        <v>0.248424411028631</v>
      </c>
      <c r="BD28" s="1">
        <v>0.22238999248574701</v>
      </c>
      <c r="BE28" s="1">
        <v>0.48022110608883001</v>
      </c>
      <c r="BF28" s="1">
        <v>0.28190110452329997</v>
      </c>
      <c r="BG28" s="1">
        <v>0.78257678795149199</v>
      </c>
      <c r="BH28" s="1">
        <v>0.16727018896228099</v>
      </c>
      <c r="BI28" s="1">
        <v>3.8613185094476701</v>
      </c>
      <c r="BJ28" s="1">
        <v>6.6742942120209099</v>
      </c>
      <c r="BK28" s="1">
        <v>44.958209975673498</v>
      </c>
      <c r="BL28" s="1">
        <v>104.02148721726201</v>
      </c>
      <c r="BM28" s="1">
        <v>1212.2644015015601</v>
      </c>
      <c r="BN28" s="1">
        <v>24.970849149968501</v>
      </c>
      <c r="BO28" s="1">
        <v>0.15146867894920399</v>
      </c>
      <c r="BP28" s="1">
        <v>0.65092398122606099</v>
      </c>
      <c r="BQ28" s="1">
        <v>24.752699985908301</v>
      </c>
      <c r="BR28" s="1">
        <v>5.4276086378133899</v>
      </c>
      <c r="BS28" s="1">
        <v>19.446783227591101</v>
      </c>
      <c r="BT28" s="1">
        <v>8.63337876099982</v>
      </c>
      <c r="BU28" s="1">
        <v>2.1055717108656</v>
      </c>
      <c r="BV28" s="1">
        <v>0.53334798562680097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5.0491775652686602E-2</v>
      </c>
      <c r="CG28" s="1">
        <v>2.1821789033451399E-2</v>
      </c>
      <c r="CH28" s="1">
        <v>0.10831717274128901</v>
      </c>
      <c r="CI28" s="1">
        <v>55.484117717976403</v>
      </c>
      <c r="CJ28" s="1">
        <v>67.772542690092706</v>
      </c>
      <c r="CK28" s="1">
        <v>42.357458881857497</v>
      </c>
      <c r="CL28" s="1">
        <v>5.1506192285910796E-3</v>
      </c>
      <c r="CM28" s="1">
        <v>17.7642896917888</v>
      </c>
      <c r="CN28" s="1">
        <v>32.204105857101702</v>
      </c>
      <c r="CO28" s="1">
        <v>52.474808597452402</v>
      </c>
      <c r="CP28" s="1">
        <v>17.345159859742601</v>
      </c>
      <c r="CQ28" s="1">
        <v>6.66940694295698E-3</v>
      </c>
      <c r="CR28" s="1">
        <v>20.450008178427801</v>
      </c>
      <c r="CS28" s="1">
        <v>4.5390894828515203</v>
      </c>
      <c r="CT28" s="1">
        <v>4.5390894828515203</v>
      </c>
      <c r="CU28" s="1">
        <v>0</v>
      </c>
      <c r="CV28" s="1">
        <v>4.5390894828515203</v>
      </c>
      <c r="CW28" s="1">
        <v>13.206742511236801</v>
      </c>
      <c r="CX28" s="1">
        <v>1.33388138859137E-2</v>
      </c>
      <c r="CY28" s="1">
        <v>1.28704577728812E-2</v>
      </c>
      <c r="CZ28" s="1">
        <v>2.06623586245843E-2</v>
      </c>
      <c r="DA28" s="1">
        <v>1.4104816199425401E-2</v>
      </c>
      <c r="DB28" s="1">
        <v>3.48163582430231E-2</v>
      </c>
      <c r="DC28" s="1">
        <v>2.58519602566392E-2</v>
      </c>
      <c r="DD28" s="1">
        <v>0.400009211049216</v>
      </c>
      <c r="DE28" s="1">
        <v>0.53783998559461599</v>
      </c>
      <c r="DF28" s="1">
        <v>6.4935732532379502</v>
      </c>
      <c r="DG28" s="1">
        <v>3.6646396603629201</v>
      </c>
      <c r="DH28" s="1">
        <v>178.19652873560301</v>
      </c>
      <c r="DI28" s="1">
        <v>3.5398617183674999</v>
      </c>
      <c r="DJ28" s="1">
        <v>1.9101725448385901E-2</v>
      </c>
      <c r="DK28" s="1">
        <v>0.10698617310056401</v>
      </c>
      <c r="DL28" s="1">
        <v>4.08225614782768</v>
      </c>
      <c r="DM28" s="1">
        <v>0.168596434061106</v>
      </c>
      <c r="DN28" s="1">
        <v>4.3606072722193101</v>
      </c>
      <c r="DO28" s="1">
        <v>1.2417919495682701</v>
      </c>
      <c r="DP28" s="1">
        <v>0.16284849337205301</v>
      </c>
      <c r="DQ28" s="1">
        <v>5.4031690884456599E-2</v>
      </c>
    </row>
    <row r="29" spans="1:121" x14ac:dyDescent="0.25">
      <c r="A29" s="1" t="s">
        <v>53</v>
      </c>
      <c r="B29" s="1" t="s">
        <v>58</v>
      </c>
      <c r="C29" s="1" t="s">
        <v>34</v>
      </c>
      <c r="D29" s="1" t="s">
        <v>59</v>
      </c>
      <c r="E29" s="1">
        <v>11.2552083333333</v>
      </c>
      <c r="F29" s="1">
        <v>0.32922950000000001</v>
      </c>
      <c r="G29" s="1">
        <v>5.3783333333333303</v>
      </c>
      <c r="H29" s="1">
        <v>19.05</v>
      </c>
      <c r="I29" s="1">
        <v>7.39333333333333</v>
      </c>
      <c r="J29" s="1" t="s">
        <v>31</v>
      </c>
      <c r="K29" s="1" t="s">
        <v>31</v>
      </c>
      <c r="L29" s="1">
        <v>0.57624977404189304</v>
      </c>
      <c r="M29" s="1">
        <v>0.29898559301996402</v>
      </c>
      <c r="N29" s="1">
        <v>1.8592623985512799</v>
      </c>
      <c r="O29" s="1">
        <v>5.47722557505173E-2</v>
      </c>
      <c r="P29" s="1">
        <v>0.345880518869353</v>
      </c>
      <c r="Q29" s="1" t="s">
        <v>31</v>
      </c>
      <c r="R29" s="1" t="s">
        <v>31</v>
      </c>
      <c r="S29" s="1">
        <v>5.0000000000000001E-3</v>
      </c>
      <c r="T29" s="1">
        <v>0</v>
      </c>
      <c r="U29" s="1">
        <v>5.7614126793151298E-3</v>
      </c>
      <c r="V29" s="1">
        <v>1.10742524627332E-2</v>
      </c>
      <c r="W29" s="2">
        <v>4.4857289589697E-4</v>
      </c>
      <c r="X29" s="1" t="s">
        <v>32</v>
      </c>
      <c r="Y29" s="1">
        <v>1.5250000000000901</v>
      </c>
      <c r="Z29" s="1">
        <v>0.77777777777777701</v>
      </c>
      <c r="AA29" s="1" t="s">
        <v>33</v>
      </c>
      <c r="AB29" s="1">
        <v>2</v>
      </c>
      <c r="AC29" s="1">
        <v>7</v>
      </c>
      <c r="AD29" s="1">
        <v>0</v>
      </c>
      <c r="AE29" s="1">
        <v>0</v>
      </c>
      <c r="AF29" s="1">
        <v>9</v>
      </c>
      <c r="AG29" s="1">
        <v>2020</v>
      </c>
      <c r="AH29" s="1">
        <v>2003</v>
      </c>
      <c r="AI29" s="1">
        <v>2020</v>
      </c>
      <c r="AJ29" s="1">
        <v>2021.5250000000001</v>
      </c>
      <c r="AK29" s="1">
        <v>0.89328194559999996</v>
      </c>
      <c r="AL29" s="1">
        <v>0.32516383160930601</v>
      </c>
      <c r="AM29" s="1">
        <v>1.9349446529643399</v>
      </c>
      <c r="AN29" s="1">
        <v>862.75380592789895</v>
      </c>
      <c r="AO29" s="1">
        <v>461.127522810431</v>
      </c>
      <c r="AP29" s="1">
        <v>401.62628311747</v>
      </c>
      <c r="AQ29" s="1">
        <v>7.1362740775622199E-2</v>
      </c>
      <c r="AR29" s="1">
        <v>343.24721965868002</v>
      </c>
      <c r="AS29" s="1">
        <v>1048.6418898346301</v>
      </c>
      <c r="AT29" s="1">
        <v>2783.3674996530199</v>
      </c>
      <c r="AU29" s="1">
        <v>65.206931417916195</v>
      </c>
      <c r="AV29" s="1">
        <v>0.124212205514316</v>
      </c>
      <c r="AW29" s="1">
        <v>246.882408226199</v>
      </c>
      <c r="AX29" s="1">
        <v>30.066666666666599</v>
      </c>
      <c r="AY29" s="1">
        <v>62.433333333333302</v>
      </c>
      <c r="AZ29" s="1">
        <v>7.5</v>
      </c>
      <c r="BA29" s="1">
        <v>69.933333333333294</v>
      </c>
      <c r="BB29" s="1">
        <v>1372.3944834532001</v>
      </c>
      <c r="BC29" s="1">
        <v>0.248424411028631</v>
      </c>
      <c r="BD29" s="1">
        <v>0.22238999248574701</v>
      </c>
      <c r="BE29" s="1">
        <v>0.48022110608883001</v>
      </c>
      <c r="BF29" s="1">
        <v>0.28190110452329997</v>
      </c>
      <c r="BG29" s="1">
        <v>0.78257678795149199</v>
      </c>
      <c r="BH29" s="1">
        <v>0.16727018896228099</v>
      </c>
      <c r="BI29" s="1">
        <v>3.8613185094476701</v>
      </c>
      <c r="BJ29" s="1">
        <v>6.6742942120209099</v>
      </c>
      <c r="BK29" s="1">
        <v>44.958209975673498</v>
      </c>
      <c r="BL29" s="1">
        <v>104.02148721726201</v>
      </c>
      <c r="BM29" s="1">
        <v>1212.2644015015601</v>
      </c>
      <c r="BN29" s="1">
        <v>24.970849149968501</v>
      </c>
      <c r="BO29" s="1">
        <v>0.15146867894920399</v>
      </c>
      <c r="BP29" s="1">
        <v>0.65092398122606099</v>
      </c>
      <c r="BQ29" s="1">
        <v>24.752699985908301</v>
      </c>
      <c r="BR29" s="1">
        <v>5.4276086378133899</v>
      </c>
      <c r="BS29" s="1">
        <v>19.446783227591101</v>
      </c>
      <c r="BT29" s="1">
        <v>8.63337876099982</v>
      </c>
      <c r="BU29" s="1">
        <v>2.1055717108656</v>
      </c>
      <c r="BV29" s="1">
        <v>0.53334798562680097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5.0491775652686602E-2</v>
      </c>
      <c r="CG29" s="1">
        <v>2.1821789033451399E-2</v>
      </c>
      <c r="CH29" s="1">
        <v>0.10831717274128901</v>
      </c>
      <c r="CI29" s="1">
        <v>55.484117717976403</v>
      </c>
      <c r="CJ29" s="1">
        <v>67.772542690092706</v>
      </c>
      <c r="CK29" s="1">
        <v>42.357458881857497</v>
      </c>
      <c r="CL29" s="1">
        <v>5.1506192285910796E-3</v>
      </c>
      <c r="CM29" s="1">
        <v>17.7642896917888</v>
      </c>
      <c r="CN29" s="1">
        <v>32.204105857101702</v>
      </c>
      <c r="CO29" s="1">
        <v>52.474808597452402</v>
      </c>
      <c r="CP29" s="1">
        <v>17.345159859742601</v>
      </c>
      <c r="CQ29" s="1">
        <v>6.66940694295698E-3</v>
      </c>
      <c r="CR29" s="1">
        <v>20.450008178427801</v>
      </c>
      <c r="CS29" s="1">
        <v>4.5390894828515203</v>
      </c>
      <c r="CT29" s="1">
        <v>4.5390894828515203</v>
      </c>
      <c r="CU29" s="1">
        <v>0</v>
      </c>
      <c r="CV29" s="1">
        <v>4.5390894828515203</v>
      </c>
      <c r="CW29" s="1">
        <v>13.206742511236801</v>
      </c>
      <c r="CX29" s="1">
        <v>1.33388138859137E-2</v>
      </c>
      <c r="CY29" s="1">
        <v>1.28704577728812E-2</v>
      </c>
      <c r="CZ29" s="1">
        <v>2.06623586245843E-2</v>
      </c>
      <c r="DA29" s="1">
        <v>1.4104816199425401E-2</v>
      </c>
      <c r="DB29" s="1">
        <v>3.48163582430231E-2</v>
      </c>
      <c r="DC29" s="1">
        <v>2.58519602566392E-2</v>
      </c>
      <c r="DD29" s="1">
        <v>0.400009211049216</v>
      </c>
      <c r="DE29" s="1">
        <v>0.53783998559461599</v>
      </c>
      <c r="DF29" s="1">
        <v>6.4935732532379502</v>
      </c>
      <c r="DG29" s="1">
        <v>3.6646396603629201</v>
      </c>
      <c r="DH29" s="1">
        <v>178.19652873560301</v>
      </c>
      <c r="DI29" s="1">
        <v>3.5398617183674999</v>
      </c>
      <c r="DJ29" s="1">
        <v>1.9101725448385901E-2</v>
      </c>
      <c r="DK29" s="1">
        <v>0.10698617310056401</v>
      </c>
      <c r="DL29" s="1">
        <v>4.08225614782768</v>
      </c>
      <c r="DM29" s="1">
        <v>0.168596434061106</v>
      </c>
      <c r="DN29" s="1">
        <v>4.3606072722193101</v>
      </c>
      <c r="DO29" s="1">
        <v>1.2417919495682701</v>
      </c>
      <c r="DP29" s="1">
        <v>0.16284849337205301</v>
      </c>
      <c r="DQ29" s="1">
        <v>5.4031690884456599E-2</v>
      </c>
    </row>
    <row r="30" spans="1:121" x14ac:dyDescent="0.25">
      <c r="A30" s="1" t="s">
        <v>53</v>
      </c>
      <c r="B30" s="1" t="s">
        <v>60</v>
      </c>
      <c r="C30" s="1" t="s">
        <v>29</v>
      </c>
      <c r="D30" s="1" t="s">
        <v>61</v>
      </c>
      <c r="E30" s="1">
        <v>11.2552083333333</v>
      </c>
      <c r="F30" s="1">
        <v>0.71520966666666597</v>
      </c>
      <c r="G30" s="1">
        <v>0.41166666666666601</v>
      </c>
      <c r="H30" s="1">
        <v>19.05</v>
      </c>
      <c r="I30" s="1">
        <v>7.4833333333333298</v>
      </c>
      <c r="J30" s="1" t="s">
        <v>31</v>
      </c>
      <c r="K30" s="1" t="s">
        <v>31</v>
      </c>
      <c r="L30" s="1">
        <v>0.57624977404189304</v>
      </c>
      <c r="M30" s="1">
        <v>0.24447438187071099</v>
      </c>
      <c r="N30" s="1">
        <v>0.129833226358535</v>
      </c>
      <c r="O30" s="1">
        <v>5.47722557505173E-2</v>
      </c>
      <c r="P30" s="1">
        <v>6.6583281184793494E-2</v>
      </c>
      <c r="Q30" s="1" t="s">
        <v>31</v>
      </c>
      <c r="R30" s="1" t="s">
        <v>31</v>
      </c>
      <c r="S30" s="1">
        <v>5.0000000000000001E-3</v>
      </c>
      <c r="T30" s="1">
        <v>0</v>
      </c>
      <c r="U30" s="1">
        <v>1.2620106987505699E-2</v>
      </c>
      <c r="V30" s="1">
        <v>1.6964307017045498E-2</v>
      </c>
      <c r="W30" s="1">
        <v>8.2759069579660602E-3</v>
      </c>
      <c r="X30" s="1" t="s">
        <v>32</v>
      </c>
      <c r="Y30" s="1">
        <v>5.5250000000000901</v>
      </c>
      <c r="Z30" s="1">
        <v>0.55555555555555503</v>
      </c>
      <c r="AA30" s="1" t="s">
        <v>39</v>
      </c>
      <c r="AB30" s="1">
        <v>4</v>
      </c>
      <c r="AC30" s="1">
        <v>5</v>
      </c>
      <c r="AD30" s="1">
        <v>0</v>
      </c>
      <c r="AE30" s="1">
        <v>0</v>
      </c>
      <c r="AF30" s="1">
        <v>9</v>
      </c>
      <c r="AG30" s="1">
        <v>2016</v>
      </c>
      <c r="AH30" s="1">
        <v>2003</v>
      </c>
      <c r="AI30" s="1">
        <v>2016</v>
      </c>
      <c r="AJ30" s="1">
        <v>2021.5250000000001</v>
      </c>
      <c r="AK30" s="1">
        <v>0.92230202558333296</v>
      </c>
      <c r="AL30" s="1">
        <v>0.298136534599105</v>
      </c>
      <c r="AM30" s="1">
        <v>2.5412732072770701</v>
      </c>
      <c r="AN30" s="1">
        <v>1023.29111747548</v>
      </c>
      <c r="AO30" s="1">
        <v>706.84274174270899</v>
      </c>
      <c r="AP30" s="1">
        <v>316.44837573277601</v>
      </c>
      <c r="AQ30" s="1">
        <v>5.2967151213186701E-2</v>
      </c>
      <c r="AR30" s="1">
        <v>548.03490252379402</v>
      </c>
      <c r="AS30" s="1">
        <v>1021.31996501504</v>
      </c>
      <c r="AT30" s="1">
        <v>3121.1058182710899</v>
      </c>
      <c r="AU30" s="1">
        <v>88.965879661242397</v>
      </c>
      <c r="AV30" s="1">
        <v>0.19028631707386701</v>
      </c>
      <c r="AW30" s="1">
        <v>75.547148580167402</v>
      </c>
      <c r="AX30" s="1">
        <v>27.066666666666599</v>
      </c>
      <c r="AY30" s="1">
        <v>65.433333333333294</v>
      </c>
      <c r="AZ30" s="1">
        <v>7.5</v>
      </c>
      <c r="BA30" s="1">
        <v>72.933333333333294</v>
      </c>
      <c r="BB30" s="1">
        <v>1450.1908165208299</v>
      </c>
      <c r="BC30" s="1">
        <v>0.38057263414773401</v>
      </c>
      <c r="BD30" s="1">
        <v>0.32394458305540502</v>
      </c>
      <c r="BE30" s="1">
        <v>0.43795742763722301</v>
      </c>
      <c r="BF30" s="1">
        <v>0.46668266449401302</v>
      </c>
      <c r="BG30" s="1">
        <v>0.69057550157206105</v>
      </c>
      <c r="BH30" s="1">
        <v>0.245339904774284</v>
      </c>
      <c r="BI30" s="1">
        <v>8.2403694855644893</v>
      </c>
      <c r="BJ30" s="1">
        <v>11.564061203016699</v>
      </c>
      <c r="BK30" s="1">
        <v>91.069035014278896</v>
      </c>
      <c r="BL30" s="1">
        <v>111.437967941656</v>
      </c>
      <c r="BM30" s="1">
        <v>600.32821025290195</v>
      </c>
      <c r="BN30" s="1">
        <v>41.967549225129702</v>
      </c>
      <c r="BO30" s="1">
        <v>0.108996751660212</v>
      </c>
      <c r="BP30" s="1">
        <v>1.5964167178587301</v>
      </c>
      <c r="BQ30" s="1">
        <v>76.769496266439702</v>
      </c>
      <c r="BR30" s="1">
        <v>7.0666161502264702</v>
      </c>
      <c r="BS30" s="1">
        <v>13.372025800745901</v>
      </c>
      <c r="BT30" s="1">
        <v>7.4634385681538999</v>
      </c>
      <c r="BU30" s="1">
        <v>2.7998181706704299</v>
      </c>
      <c r="BV30" s="1">
        <v>0.69047620369140605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2.2565381213596299E-2</v>
      </c>
      <c r="CG30" s="1">
        <v>9.9503486919185497E-3</v>
      </c>
      <c r="CH30" s="1">
        <v>0.45941524568339398</v>
      </c>
      <c r="CI30" s="1">
        <v>21.266061921319299</v>
      </c>
      <c r="CJ30" s="1">
        <v>40.859576893893902</v>
      </c>
      <c r="CK30" s="1">
        <v>24.811084894678</v>
      </c>
      <c r="CL30" s="1">
        <v>3.9581906959328204E-3</v>
      </c>
      <c r="CM30" s="1">
        <v>18.0382553166178</v>
      </c>
      <c r="CN30" s="1">
        <v>13.2855252088012</v>
      </c>
      <c r="CO30" s="1">
        <v>274.50547988331101</v>
      </c>
      <c r="CP30" s="1">
        <v>33.107100465640002</v>
      </c>
      <c r="CQ30" s="1">
        <v>9.4505813832901908E-3</v>
      </c>
      <c r="CR30" s="1">
        <v>31.7056316491526</v>
      </c>
      <c r="CS30" s="1">
        <v>2.0502032419575702</v>
      </c>
      <c r="CT30" s="1">
        <v>2.05020324195756</v>
      </c>
      <c r="CU30" s="1">
        <v>0</v>
      </c>
      <c r="CV30" s="1">
        <v>2.05020324195756</v>
      </c>
      <c r="CW30" s="1">
        <v>79.301289004118104</v>
      </c>
      <c r="CX30" s="1">
        <v>1.89011627665805E-2</v>
      </c>
      <c r="CY30" s="1">
        <v>2.52277326572517E-2</v>
      </c>
      <c r="CZ30" s="1">
        <v>1.06993439075714E-2</v>
      </c>
      <c r="DA30" s="1">
        <v>9.6811417530287894E-3</v>
      </c>
      <c r="DB30" s="1">
        <v>5.2634537089806401E-2</v>
      </c>
      <c r="DC30" s="1">
        <v>2.6221049838131699E-2</v>
      </c>
      <c r="DD30" s="1">
        <v>2.74129782071895</v>
      </c>
      <c r="DE30" s="1">
        <v>2.7806363672723702</v>
      </c>
      <c r="DF30" s="1">
        <v>4.4809623515590298</v>
      </c>
      <c r="DG30" s="1">
        <v>11.890197116340399</v>
      </c>
      <c r="DH30" s="1">
        <v>13.9230858005941</v>
      </c>
      <c r="DI30" s="1">
        <v>2.8868593834310801</v>
      </c>
      <c r="DJ30" s="1">
        <v>7.2879320275442703E-3</v>
      </c>
      <c r="DK30" s="1">
        <v>0.47341775851586998</v>
      </c>
      <c r="DL30" s="1">
        <v>14.032454217771701</v>
      </c>
      <c r="DM30" s="1">
        <v>1.2556230590981801</v>
      </c>
      <c r="DN30" s="1">
        <v>0.83517156066674503</v>
      </c>
      <c r="DO30" s="1">
        <v>0.97142846198155797</v>
      </c>
      <c r="DP30" s="1">
        <v>0.827202781952456</v>
      </c>
      <c r="DQ30" s="1">
        <v>2.8080674043036699E-2</v>
      </c>
    </row>
    <row r="31" spans="1:121" x14ac:dyDescent="0.25">
      <c r="A31" s="1" t="s">
        <v>53</v>
      </c>
      <c r="B31" s="1" t="s">
        <v>60</v>
      </c>
      <c r="C31" s="1" t="s">
        <v>34</v>
      </c>
      <c r="D31" s="1" t="s">
        <v>61</v>
      </c>
      <c r="E31" s="1">
        <v>11.2552083333333</v>
      </c>
      <c r="F31" s="1">
        <v>0.33264783333333298</v>
      </c>
      <c r="G31" s="1">
        <v>6.94</v>
      </c>
      <c r="H31" s="1">
        <v>19.05</v>
      </c>
      <c r="I31" s="1">
        <v>7.34</v>
      </c>
      <c r="J31" s="1" t="s">
        <v>31</v>
      </c>
      <c r="K31" s="1" t="s">
        <v>31</v>
      </c>
      <c r="L31" s="1">
        <v>0.57624977404189304</v>
      </c>
      <c r="M31" s="1">
        <v>0.23829296967591501</v>
      </c>
      <c r="N31" s="1">
        <v>0.75583066886704098</v>
      </c>
      <c r="O31" s="1">
        <v>5.47722557505173E-2</v>
      </c>
      <c r="P31" s="1">
        <v>0.13076696830622001</v>
      </c>
      <c r="Q31" s="1" t="s">
        <v>31</v>
      </c>
      <c r="R31" s="1" t="s">
        <v>31</v>
      </c>
      <c r="S31" s="1">
        <v>5.0000000000000001E-3</v>
      </c>
      <c r="T31" s="1">
        <v>0</v>
      </c>
      <c r="U31" s="1">
        <v>5.8221549282739399E-3</v>
      </c>
      <c r="V31" s="1">
        <v>1.00565140377395E-2</v>
      </c>
      <c r="W31" s="1">
        <v>1.58779581880835E-3</v>
      </c>
      <c r="X31" s="1" t="s">
        <v>32</v>
      </c>
      <c r="Y31" s="1">
        <v>5.5250000000000901</v>
      </c>
      <c r="Z31" s="1">
        <v>0.55555555555555503</v>
      </c>
      <c r="AA31" s="1" t="s">
        <v>39</v>
      </c>
      <c r="AB31" s="1">
        <v>4</v>
      </c>
      <c r="AC31" s="1">
        <v>5</v>
      </c>
      <c r="AD31" s="1">
        <v>0</v>
      </c>
      <c r="AE31" s="1">
        <v>0</v>
      </c>
      <c r="AF31" s="1">
        <v>9</v>
      </c>
      <c r="AG31" s="1">
        <v>2016</v>
      </c>
      <c r="AH31" s="1">
        <v>2003</v>
      </c>
      <c r="AI31" s="1">
        <v>2016</v>
      </c>
      <c r="AJ31" s="1">
        <v>2021.5250000000001</v>
      </c>
      <c r="AK31" s="1">
        <v>0.92230202558333296</v>
      </c>
      <c r="AL31" s="1">
        <v>0.298136534599105</v>
      </c>
      <c r="AM31" s="1">
        <v>2.5412732072770701</v>
      </c>
      <c r="AN31" s="1">
        <v>1023.29111747548</v>
      </c>
      <c r="AO31" s="1">
        <v>706.84274174270899</v>
      </c>
      <c r="AP31" s="1">
        <v>316.44837573277601</v>
      </c>
      <c r="AQ31" s="1">
        <v>5.2967151213186701E-2</v>
      </c>
      <c r="AR31" s="1">
        <v>548.03490252379402</v>
      </c>
      <c r="AS31" s="1">
        <v>1021.31996501504</v>
      </c>
      <c r="AT31" s="1">
        <v>3121.1058182710899</v>
      </c>
      <c r="AU31" s="1">
        <v>88.965879661242397</v>
      </c>
      <c r="AV31" s="1">
        <v>0.19028631707386701</v>
      </c>
      <c r="AW31" s="1">
        <v>75.547148580167402</v>
      </c>
      <c r="AX31" s="1">
        <v>27.066666666666599</v>
      </c>
      <c r="AY31" s="1">
        <v>65.433333333333294</v>
      </c>
      <c r="AZ31" s="1">
        <v>7.5</v>
      </c>
      <c r="BA31" s="1">
        <v>72.933333333333294</v>
      </c>
      <c r="BB31" s="1">
        <v>1450.1908165208299</v>
      </c>
      <c r="BC31" s="1">
        <v>0.38057263414773401</v>
      </c>
      <c r="BD31" s="1">
        <v>0.32394458305540502</v>
      </c>
      <c r="BE31" s="1">
        <v>0.43795742763722301</v>
      </c>
      <c r="BF31" s="1">
        <v>0.46668266449401302</v>
      </c>
      <c r="BG31" s="1">
        <v>0.69057550157206105</v>
      </c>
      <c r="BH31" s="1">
        <v>0.245339904774284</v>
      </c>
      <c r="BI31" s="1">
        <v>8.2403694855644893</v>
      </c>
      <c r="BJ31" s="1">
        <v>11.564061203016699</v>
      </c>
      <c r="BK31" s="1">
        <v>91.069035014278896</v>
      </c>
      <c r="BL31" s="1">
        <v>111.437967941656</v>
      </c>
      <c r="BM31" s="1">
        <v>600.32821025290195</v>
      </c>
      <c r="BN31" s="1">
        <v>41.967549225129702</v>
      </c>
      <c r="BO31" s="1">
        <v>0.108996751660212</v>
      </c>
      <c r="BP31" s="1">
        <v>1.5964167178587301</v>
      </c>
      <c r="BQ31" s="1">
        <v>76.769496266439702</v>
      </c>
      <c r="BR31" s="1">
        <v>7.0666161502264702</v>
      </c>
      <c r="BS31" s="1">
        <v>13.372025800745901</v>
      </c>
      <c r="BT31" s="1">
        <v>7.4634385681538999</v>
      </c>
      <c r="BU31" s="1">
        <v>2.7998181706704299</v>
      </c>
      <c r="BV31" s="1">
        <v>0.69047620369140605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2.2565381213596299E-2</v>
      </c>
      <c r="CG31" s="1">
        <v>9.9503486919185497E-3</v>
      </c>
      <c r="CH31" s="1">
        <v>0.45941524568339398</v>
      </c>
      <c r="CI31" s="1">
        <v>21.266061921319299</v>
      </c>
      <c r="CJ31" s="1">
        <v>40.859576893893902</v>
      </c>
      <c r="CK31" s="1">
        <v>24.811084894678</v>
      </c>
      <c r="CL31" s="1">
        <v>3.9581906959328204E-3</v>
      </c>
      <c r="CM31" s="1">
        <v>18.0382553166178</v>
      </c>
      <c r="CN31" s="1">
        <v>13.2855252088012</v>
      </c>
      <c r="CO31" s="1">
        <v>274.50547988331101</v>
      </c>
      <c r="CP31" s="1">
        <v>33.107100465640002</v>
      </c>
      <c r="CQ31" s="1">
        <v>9.4505813832901908E-3</v>
      </c>
      <c r="CR31" s="1">
        <v>31.7056316491526</v>
      </c>
      <c r="CS31" s="1">
        <v>2.0502032419575702</v>
      </c>
      <c r="CT31" s="1">
        <v>2.05020324195756</v>
      </c>
      <c r="CU31" s="1">
        <v>0</v>
      </c>
      <c r="CV31" s="1">
        <v>2.05020324195756</v>
      </c>
      <c r="CW31" s="1">
        <v>79.301289004118104</v>
      </c>
      <c r="CX31" s="1">
        <v>1.89011627665805E-2</v>
      </c>
      <c r="CY31" s="1">
        <v>2.52277326572517E-2</v>
      </c>
      <c r="CZ31" s="1">
        <v>1.06993439075714E-2</v>
      </c>
      <c r="DA31" s="1">
        <v>9.6811417530287894E-3</v>
      </c>
      <c r="DB31" s="1">
        <v>5.2634537089806401E-2</v>
      </c>
      <c r="DC31" s="1">
        <v>2.6221049838131699E-2</v>
      </c>
      <c r="DD31" s="1">
        <v>2.74129782071895</v>
      </c>
      <c r="DE31" s="1">
        <v>2.7806363672723702</v>
      </c>
      <c r="DF31" s="1">
        <v>4.4809623515590298</v>
      </c>
      <c r="DG31" s="1">
        <v>11.890197116340399</v>
      </c>
      <c r="DH31" s="1">
        <v>13.9230858005941</v>
      </c>
      <c r="DI31" s="1">
        <v>2.8868593834310801</v>
      </c>
      <c r="DJ31" s="1">
        <v>7.2879320275442703E-3</v>
      </c>
      <c r="DK31" s="1">
        <v>0.47341775851586998</v>
      </c>
      <c r="DL31" s="1">
        <v>14.032454217771701</v>
      </c>
      <c r="DM31" s="1">
        <v>1.2556230590981801</v>
      </c>
      <c r="DN31" s="1">
        <v>0.83517156066674503</v>
      </c>
      <c r="DO31" s="1">
        <v>0.97142846198155797</v>
      </c>
      <c r="DP31" s="1">
        <v>0.827202781952456</v>
      </c>
      <c r="DQ31" s="1">
        <v>2.8080674043036699E-2</v>
      </c>
    </row>
    <row r="32" spans="1:121" x14ac:dyDescent="0.25">
      <c r="A32" s="1" t="s">
        <v>62</v>
      </c>
      <c r="B32" s="1">
        <v>0</v>
      </c>
      <c r="C32" s="1" t="s">
        <v>29</v>
      </c>
      <c r="D32" s="1" t="s">
        <v>63</v>
      </c>
      <c r="E32" s="1">
        <v>12.1197916666666</v>
      </c>
      <c r="F32" s="1">
        <v>0.22923774999999999</v>
      </c>
      <c r="G32" s="1">
        <v>0.63416666666666599</v>
      </c>
      <c r="H32" s="1">
        <v>17.899999999999999</v>
      </c>
      <c r="I32" s="1" t="s">
        <v>31</v>
      </c>
      <c r="J32" s="1" t="s">
        <v>31</v>
      </c>
      <c r="K32" s="1" t="s">
        <v>31</v>
      </c>
      <c r="L32" s="1">
        <v>1.04212584576388</v>
      </c>
      <c r="M32" s="1">
        <v>0.14749388096036301</v>
      </c>
      <c r="N32" s="1">
        <v>0.30826371040314599</v>
      </c>
      <c r="O32" s="1">
        <v>0.12792042981336599</v>
      </c>
      <c r="P32" s="1" t="s">
        <v>31</v>
      </c>
      <c r="Q32" s="1" t="s">
        <v>31</v>
      </c>
      <c r="R32" s="1" t="s">
        <v>31</v>
      </c>
      <c r="S32" s="1">
        <v>5.0000000000000001E-3</v>
      </c>
      <c r="T32" s="1">
        <v>0</v>
      </c>
      <c r="U32" s="1">
        <v>3.7003565105285701E-3</v>
      </c>
      <c r="V32" s="1">
        <v>6.1342907730459698E-3</v>
      </c>
      <c r="W32" s="1">
        <v>1.2664222480111801E-3</v>
      </c>
      <c r="X32" s="1" t="s">
        <v>32</v>
      </c>
      <c r="Y32" s="1">
        <v>24.5194444444443</v>
      </c>
      <c r="Z32" s="1">
        <v>0.11111111111111099</v>
      </c>
      <c r="AA32" s="1" t="s">
        <v>46</v>
      </c>
      <c r="AB32" s="1">
        <v>8</v>
      </c>
      <c r="AC32" s="1">
        <v>1</v>
      </c>
      <c r="AD32" s="1">
        <v>0</v>
      </c>
      <c r="AE32" s="1">
        <v>0</v>
      </c>
      <c r="AF32" s="1">
        <v>9</v>
      </c>
      <c r="AG32" s="1">
        <v>1995</v>
      </c>
      <c r="AH32" s="1">
        <v>2003</v>
      </c>
      <c r="AI32" s="1">
        <v>1995</v>
      </c>
      <c r="AJ32" s="1">
        <v>2019.5194444444401</v>
      </c>
      <c r="AK32" s="1">
        <v>0.27047592054380798</v>
      </c>
      <c r="AL32" s="1">
        <v>0.64717912661341903</v>
      </c>
      <c r="AM32" s="1">
        <v>0.58157565965082303</v>
      </c>
      <c r="AN32" s="1">
        <v>1242.1097226449499</v>
      </c>
      <c r="AO32" s="1">
        <v>305.08535211814899</v>
      </c>
      <c r="AP32" s="1">
        <v>937.02437052680398</v>
      </c>
      <c r="AQ32" s="1">
        <v>0.32709633171386598</v>
      </c>
      <c r="AR32" s="1">
        <v>543.65797472317297</v>
      </c>
      <c r="AS32" s="1">
        <v>2051.2022291256799</v>
      </c>
      <c r="AT32" s="1">
        <v>1738.9262235138899</v>
      </c>
      <c r="AU32" s="1">
        <v>47.257351325836197</v>
      </c>
      <c r="AV32" s="1">
        <v>0.163217065738644</v>
      </c>
      <c r="AW32" s="1">
        <v>169.64836691129199</v>
      </c>
      <c r="AX32" s="1">
        <v>1.4549999999999801</v>
      </c>
      <c r="AY32" s="1">
        <v>87.295000000000002</v>
      </c>
      <c r="AZ32" s="1">
        <v>11.25</v>
      </c>
      <c r="BA32" s="1">
        <v>98.045000000000002</v>
      </c>
      <c r="BB32" s="1">
        <v>1658.85195728945</v>
      </c>
      <c r="BC32" s="1">
        <v>0.326434131477288</v>
      </c>
      <c r="BD32" s="1">
        <v>0.59894811135373904</v>
      </c>
      <c r="BE32" s="1">
        <v>0.25253495682655902</v>
      </c>
      <c r="BF32" s="1">
        <v>0.22870726550166401</v>
      </c>
      <c r="BG32" s="1">
        <v>2.62847018258176</v>
      </c>
      <c r="BH32" s="1">
        <v>9.6544771812381497E-2</v>
      </c>
      <c r="BI32" s="1">
        <v>6.6456183035764997</v>
      </c>
      <c r="BJ32" s="1">
        <v>16.3495465114074</v>
      </c>
      <c r="BK32" s="1">
        <v>126.91381964883099</v>
      </c>
      <c r="BL32" s="1">
        <v>280.26996103438898</v>
      </c>
      <c r="BM32" s="1">
        <v>2778.1988778047698</v>
      </c>
      <c r="BN32" s="1">
        <v>44.351737160544303</v>
      </c>
      <c r="BO32" s="1">
        <v>0.271573761783377</v>
      </c>
      <c r="BP32" s="1">
        <v>0.41431188126131102</v>
      </c>
      <c r="BQ32" s="1">
        <v>39.867173313364802</v>
      </c>
      <c r="BR32" s="1">
        <v>22.169675710698801</v>
      </c>
      <c r="BS32" s="1">
        <v>59.423900913100297</v>
      </c>
      <c r="BT32" s="1">
        <v>65.541403384358702</v>
      </c>
      <c r="BU32" s="1">
        <v>3.1611247436335801</v>
      </c>
      <c r="BV32" s="1">
        <v>0.24548713890509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9.4058296486090306E-2</v>
      </c>
      <c r="CG32" s="1">
        <v>9.1664161803858099E-2</v>
      </c>
      <c r="CH32" s="1">
        <v>3.0351463935271002E-2</v>
      </c>
      <c r="CI32" s="1">
        <v>22.137618828352799</v>
      </c>
      <c r="CJ32" s="1">
        <v>23.7696643204869</v>
      </c>
      <c r="CK32" s="1">
        <v>1.6320454921327501</v>
      </c>
      <c r="CL32" s="1">
        <v>0.160768366063579</v>
      </c>
      <c r="CM32" s="1">
        <v>172.63236201366999</v>
      </c>
      <c r="CN32" s="1">
        <v>534.36365873647401</v>
      </c>
      <c r="CO32" s="1">
        <v>233.99263640984901</v>
      </c>
      <c r="CP32" s="1">
        <v>4.5781302200965399</v>
      </c>
      <c r="CQ32" s="1">
        <v>1.4093881736470901E-2</v>
      </c>
      <c r="CR32" s="1">
        <v>12.874401119533101</v>
      </c>
      <c r="CS32" s="1">
        <v>0</v>
      </c>
      <c r="CT32" s="1">
        <v>0</v>
      </c>
      <c r="CU32" s="1">
        <v>0</v>
      </c>
      <c r="CV32" s="1">
        <v>0.70710678118655701</v>
      </c>
      <c r="CW32" s="1">
        <v>371.53014161427302</v>
      </c>
      <c r="CX32" s="1">
        <v>2.8187763472942599E-2</v>
      </c>
      <c r="CY32" s="1">
        <v>6.5686742473313506E-2</v>
      </c>
      <c r="CZ32" s="1">
        <v>6.4662077338374702E-2</v>
      </c>
      <c r="DA32" s="1">
        <v>1.39914988269295E-2</v>
      </c>
      <c r="DB32" s="1">
        <v>0.103408821223021</v>
      </c>
      <c r="DC32" s="1">
        <v>3.0436320431082801E-2</v>
      </c>
      <c r="DD32" s="1">
        <v>4.6396465852425503E-2</v>
      </c>
      <c r="DE32" s="1">
        <v>8.1366745194537501E-2</v>
      </c>
      <c r="DF32" s="1">
        <v>0.53605723439876396</v>
      </c>
      <c r="DG32" s="1">
        <v>1.23121002536499</v>
      </c>
      <c r="DH32" s="1">
        <v>6.6441737402350096</v>
      </c>
      <c r="DI32" s="1">
        <v>0.111418128101717</v>
      </c>
      <c r="DJ32" s="1">
        <v>2.0751594334879001E-3</v>
      </c>
      <c r="DK32" s="2">
        <v>2.5619252265289202E-4</v>
      </c>
      <c r="DL32" s="1">
        <v>0.16114509674862701</v>
      </c>
      <c r="DM32" s="1">
        <v>0.111571843615308</v>
      </c>
      <c r="DN32" s="1">
        <v>0.269514533830779</v>
      </c>
      <c r="DO32" s="1">
        <v>0.28347702631534499</v>
      </c>
      <c r="DP32" s="1">
        <v>3.0948056736463201E-2</v>
      </c>
      <c r="DQ32" s="1">
        <v>1.4761307538193999E-2</v>
      </c>
    </row>
    <row r="33" spans="1:121" x14ac:dyDescent="0.25">
      <c r="A33" s="1" t="s">
        <v>62</v>
      </c>
      <c r="B33" s="1">
        <v>0</v>
      </c>
      <c r="C33" s="1" t="s">
        <v>34</v>
      </c>
      <c r="D33" s="1" t="s">
        <v>63</v>
      </c>
      <c r="E33" s="1">
        <v>12.1197916666666</v>
      </c>
      <c r="F33" s="1">
        <v>0.11172225</v>
      </c>
      <c r="G33" s="1">
        <v>6.5166666666666604</v>
      </c>
      <c r="H33" s="1">
        <v>17.899999999999999</v>
      </c>
      <c r="I33" s="1" t="s">
        <v>31</v>
      </c>
      <c r="J33" s="1" t="s">
        <v>31</v>
      </c>
      <c r="K33" s="1" t="s">
        <v>31</v>
      </c>
      <c r="L33" s="1">
        <v>1.04212584576388</v>
      </c>
      <c r="M33" s="1">
        <v>8.7647463110229695E-2</v>
      </c>
      <c r="N33" s="1">
        <v>0.53510123652756902</v>
      </c>
      <c r="O33" s="1">
        <v>0.12792042981336599</v>
      </c>
      <c r="P33" s="1" t="s">
        <v>31</v>
      </c>
      <c r="Q33" s="1" t="s">
        <v>31</v>
      </c>
      <c r="R33" s="1" t="s">
        <v>31</v>
      </c>
      <c r="S33" s="1">
        <v>5.0000000000000001E-3</v>
      </c>
      <c r="T33" s="1">
        <v>0</v>
      </c>
      <c r="U33" s="1">
        <v>1.7611235066609301E-3</v>
      </c>
      <c r="V33" s="1">
        <v>3.2074761424292302E-3</v>
      </c>
      <c r="W33" s="2">
        <v>3.1477087089264101E-4</v>
      </c>
      <c r="X33" s="1" t="s">
        <v>32</v>
      </c>
      <c r="Y33" s="1">
        <v>24.5194444444443</v>
      </c>
      <c r="Z33" s="1">
        <v>0.11111111111111099</v>
      </c>
      <c r="AA33" s="1" t="s">
        <v>46</v>
      </c>
      <c r="AB33" s="1">
        <v>8</v>
      </c>
      <c r="AC33" s="1">
        <v>1</v>
      </c>
      <c r="AD33" s="1">
        <v>0</v>
      </c>
      <c r="AE33" s="1">
        <v>0</v>
      </c>
      <c r="AF33" s="1">
        <v>9</v>
      </c>
      <c r="AG33" s="1">
        <v>1995</v>
      </c>
      <c r="AH33" s="1">
        <v>2003</v>
      </c>
      <c r="AI33" s="1">
        <v>1995</v>
      </c>
      <c r="AJ33" s="1">
        <v>2019.5194444444401</v>
      </c>
      <c r="AK33" s="1">
        <v>0.27047592054380798</v>
      </c>
      <c r="AL33" s="1">
        <v>0.64717912661341903</v>
      </c>
      <c r="AM33" s="1">
        <v>0.58157565965082303</v>
      </c>
      <c r="AN33" s="1">
        <v>1242.1097226449499</v>
      </c>
      <c r="AO33" s="1">
        <v>305.08535211814899</v>
      </c>
      <c r="AP33" s="1">
        <v>937.02437052680398</v>
      </c>
      <c r="AQ33" s="1">
        <v>0.32709633171386598</v>
      </c>
      <c r="AR33" s="1">
        <v>543.65797472317297</v>
      </c>
      <c r="AS33" s="1">
        <v>2051.2022291256799</v>
      </c>
      <c r="AT33" s="1">
        <v>1738.9262235138899</v>
      </c>
      <c r="AU33" s="1">
        <v>47.257351325836197</v>
      </c>
      <c r="AV33" s="1">
        <v>0.163217065738644</v>
      </c>
      <c r="AW33" s="1">
        <v>169.64836691129199</v>
      </c>
      <c r="AX33" s="1">
        <v>1.4549999999999801</v>
      </c>
      <c r="AY33" s="1">
        <v>87.295000000000002</v>
      </c>
      <c r="AZ33" s="1">
        <v>11.25</v>
      </c>
      <c r="BA33" s="1">
        <v>98.045000000000002</v>
      </c>
      <c r="BB33" s="1">
        <v>1658.85195728945</v>
      </c>
      <c r="BC33" s="1">
        <v>0.326434131477288</v>
      </c>
      <c r="BD33" s="1">
        <v>0.59894811135373904</v>
      </c>
      <c r="BE33" s="1">
        <v>0.25253495682655902</v>
      </c>
      <c r="BF33" s="1">
        <v>0.22870726550166401</v>
      </c>
      <c r="BG33" s="1">
        <v>2.62847018258176</v>
      </c>
      <c r="BH33" s="1">
        <v>9.6544771812381497E-2</v>
      </c>
      <c r="BI33" s="1">
        <v>6.6456183035764997</v>
      </c>
      <c r="BJ33" s="1">
        <v>16.3495465114074</v>
      </c>
      <c r="BK33" s="1">
        <v>126.91381964883099</v>
      </c>
      <c r="BL33" s="1">
        <v>280.26996103438898</v>
      </c>
      <c r="BM33" s="1">
        <v>2778.1988778047698</v>
      </c>
      <c r="BN33" s="1">
        <v>44.351737160544303</v>
      </c>
      <c r="BO33" s="1">
        <v>0.271573761783377</v>
      </c>
      <c r="BP33" s="1">
        <v>0.41431188126131102</v>
      </c>
      <c r="BQ33" s="1">
        <v>39.867173313364802</v>
      </c>
      <c r="BR33" s="1">
        <v>22.169675710698801</v>
      </c>
      <c r="BS33" s="1">
        <v>59.423900913100297</v>
      </c>
      <c r="BT33" s="1">
        <v>65.541403384358702</v>
      </c>
      <c r="BU33" s="1">
        <v>3.1611247436335801</v>
      </c>
      <c r="BV33" s="1">
        <v>0.24548713890509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9.4058296486090306E-2</v>
      </c>
      <c r="CG33" s="1">
        <v>9.1664161803858099E-2</v>
      </c>
      <c r="CH33" s="1">
        <v>3.0351463935271002E-2</v>
      </c>
      <c r="CI33" s="1">
        <v>22.137618828352799</v>
      </c>
      <c r="CJ33" s="1">
        <v>23.7696643204869</v>
      </c>
      <c r="CK33" s="1">
        <v>1.6320454921327501</v>
      </c>
      <c r="CL33" s="1">
        <v>0.160768366063579</v>
      </c>
      <c r="CM33" s="1">
        <v>172.63236201366999</v>
      </c>
      <c r="CN33" s="1">
        <v>534.36365873647401</v>
      </c>
      <c r="CO33" s="1">
        <v>233.99263640984901</v>
      </c>
      <c r="CP33" s="1">
        <v>4.5781302200965399</v>
      </c>
      <c r="CQ33" s="1">
        <v>1.4093881736470901E-2</v>
      </c>
      <c r="CR33" s="1">
        <v>12.874401119533101</v>
      </c>
      <c r="CS33" s="1">
        <v>0</v>
      </c>
      <c r="CT33" s="1">
        <v>0</v>
      </c>
      <c r="CU33" s="1">
        <v>0</v>
      </c>
      <c r="CV33" s="1">
        <v>0.70710678118655701</v>
      </c>
      <c r="CW33" s="1">
        <v>371.53014161427302</v>
      </c>
      <c r="CX33" s="1">
        <v>2.8187763472942599E-2</v>
      </c>
      <c r="CY33" s="1">
        <v>6.5686742473313506E-2</v>
      </c>
      <c r="CZ33" s="1">
        <v>6.4662077338374702E-2</v>
      </c>
      <c r="DA33" s="1">
        <v>1.39914988269295E-2</v>
      </c>
      <c r="DB33" s="1">
        <v>0.103408821223021</v>
      </c>
      <c r="DC33" s="1">
        <v>3.0436320431082801E-2</v>
      </c>
      <c r="DD33" s="1">
        <v>4.6396465852425503E-2</v>
      </c>
      <c r="DE33" s="1">
        <v>8.1366745194537501E-2</v>
      </c>
      <c r="DF33" s="1">
        <v>0.53605723439876396</v>
      </c>
      <c r="DG33" s="1">
        <v>1.23121002536499</v>
      </c>
      <c r="DH33" s="1">
        <v>6.6441737402350096</v>
      </c>
      <c r="DI33" s="1">
        <v>0.111418128101717</v>
      </c>
      <c r="DJ33" s="1">
        <v>2.0751594334879001E-3</v>
      </c>
      <c r="DK33" s="2">
        <v>2.5619252265289202E-4</v>
      </c>
      <c r="DL33" s="1">
        <v>0.16114509674862701</v>
      </c>
      <c r="DM33" s="1">
        <v>0.111571843615308</v>
      </c>
      <c r="DN33" s="1">
        <v>0.269514533830779</v>
      </c>
      <c r="DO33" s="1">
        <v>0.28347702631534499</v>
      </c>
      <c r="DP33" s="1">
        <v>3.0948056736463201E-2</v>
      </c>
      <c r="DQ33" s="1">
        <v>1.4761307538193999E-2</v>
      </c>
    </row>
    <row r="34" spans="1:121" x14ac:dyDescent="0.25">
      <c r="A34" s="1" t="s">
        <v>62</v>
      </c>
      <c r="B34" s="1">
        <v>2</v>
      </c>
      <c r="C34" s="1" t="s">
        <v>29</v>
      </c>
      <c r="D34" s="1" t="s">
        <v>64</v>
      </c>
      <c r="E34" s="1">
        <v>11.5895833333333</v>
      </c>
      <c r="F34" s="1">
        <v>0.40854600000000002</v>
      </c>
      <c r="G34" s="1">
        <v>0.42199999999999999</v>
      </c>
      <c r="H34" s="1">
        <v>21.82</v>
      </c>
      <c r="I34" s="1">
        <v>8.1359999999999992</v>
      </c>
      <c r="J34" s="1">
        <v>-106.96</v>
      </c>
      <c r="K34" s="1">
        <v>292.7</v>
      </c>
      <c r="L34" s="1">
        <v>0.992747135478113</v>
      </c>
      <c r="M34" s="1">
        <v>0.191528954547347</v>
      </c>
      <c r="N34" s="1">
        <v>0.138455769110571</v>
      </c>
      <c r="O34" s="1">
        <v>0.44384682042344298</v>
      </c>
      <c r="P34" s="1">
        <v>0.12660963628413099</v>
      </c>
      <c r="Q34" s="1">
        <v>152.35610588355101</v>
      </c>
      <c r="R34" s="1">
        <v>45.867145104093801</v>
      </c>
      <c r="S34" s="1">
        <v>5.0000000000000001E-3</v>
      </c>
      <c r="T34" s="1">
        <v>0</v>
      </c>
      <c r="U34" s="1">
        <v>6.9639431961172E-3</v>
      </c>
      <c r="V34" s="1">
        <v>1.0269134574248599E-2</v>
      </c>
      <c r="W34" s="1">
        <v>3.6587518179857299E-3</v>
      </c>
      <c r="X34" s="1" t="s">
        <v>32</v>
      </c>
      <c r="Y34" s="1">
        <v>24.5194444444443</v>
      </c>
      <c r="Z34" s="1">
        <v>0.11111111111111099</v>
      </c>
      <c r="AA34" s="1" t="s">
        <v>46</v>
      </c>
      <c r="AB34" s="1">
        <v>8</v>
      </c>
      <c r="AC34" s="1">
        <v>1</v>
      </c>
      <c r="AD34" s="1">
        <v>0</v>
      </c>
      <c r="AE34" s="1">
        <v>0</v>
      </c>
      <c r="AF34" s="1">
        <v>9</v>
      </c>
      <c r="AG34" s="1">
        <v>1995</v>
      </c>
      <c r="AH34" s="1">
        <v>2003</v>
      </c>
      <c r="AI34" s="1">
        <v>1995</v>
      </c>
      <c r="AJ34" s="1">
        <v>2019.5194444444401</v>
      </c>
      <c r="AK34" s="1">
        <v>0.45644743224393503</v>
      </c>
      <c r="AL34" s="1">
        <v>0.53870668865301097</v>
      </c>
      <c r="AM34" s="1">
        <v>0.97853149213206903</v>
      </c>
      <c r="AN34" s="1">
        <v>1247.49871099491</v>
      </c>
      <c r="AO34" s="1">
        <v>381.04146601614502</v>
      </c>
      <c r="AP34" s="1">
        <v>866.45724497876301</v>
      </c>
      <c r="AQ34" s="1">
        <v>0.20461676055729</v>
      </c>
      <c r="AR34" s="1">
        <v>751.91126606140097</v>
      </c>
      <c r="AS34" s="1">
        <v>2450.7341212871602</v>
      </c>
      <c r="AT34" s="1">
        <v>2252.1975113679</v>
      </c>
      <c r="AU34" s="1">
        <v>47.7678473615264</v>
      </c>
      <c r="AV34" s="1">
        <v>0.184991182957184</v>
      </c>
      <c r="AW34" s="1">
        <v>121.10871184034001</v>
      </c>
      <c r="AX34" s="1">
        <v>2.9650000000000101</v>
      </c>
      <c r="AY34" s="1">
        <v>82.034999999999897</v>
      </c>
      <c r="AZ34" s="1">
        <v>15</v>
      </c>
      <c r="BA34" s="1">
        <v>97.034999999999997</v>
      </c>
      <c r="BB34" s="1">
        <v>2030.2790183761399</v>
      </c>
      <c r="BC34" s="1">
        <v>0.36998236591436801</v>
      </c>
      <c r="BD34" s="1">
        <v>0.60529705583392401</v>
      </c>
      <c r="BE34" s="1">
        <v>0.33493663470519602</v>
      </c>
      <c r="BF34" s="1">
        <v>0.26861681373658097</v>
      </c>
      <c r="BG34" s="1">
        <v>2.2970093299478598</v>
      </c>
      <c r="BH34" s="1">
        <v>9.0452349302538995E-2</v>
      </c>
      <c r="BI34" s="1">
        <v>5.6581459535301404</v>
      </c>
      <c r="BJ34" s="1">
        <v>14.1886228943704</v>
      </c>
      <c r="BK34" s="1">
        <v>105.079155179897</v>
      </c>
      <c r="BL34" s="1">
        <v>174.996782524671</v>
      </c>
      <c r="BM34" s="1">
        <v>2078.0962526726098</v>
      </c>
      <c r="BN34" s="1">
        <v>56.875845524932103</v>
      </c>
      <c r="BO34" s="1">
        <v>0.19300819597855801</v>
      </c>
      <c r="BP34" s="1">
        <v>0.69941725317246595</v>
      </c>
      <c r="BQ34" s="1">
        <v>88.149146134761807</v>
      </c>
      <c r="BR34" s="1">
        <v>21.551418320465501</v>
      </c>
      <c r="BS34" s="1">
        <v>37.492965135211001</v>
      </c>
      <c r="BT34" s="1">
        <v>54.581160408939802</v>
      </c>
      <c r="BU34" s="1">
        <v>3.1757341643433898</v>
      </c>
      <c r="BV34" s="1">
        <v>0.30788771376326801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2.2600360841931202E-2</v>
      </c>
      <c r="CG34" s="1">
        <v>2.6407000554662E-2</v>
      </c>
      <c r="CH34" s="1">
        <v>0.23630170251504601</v>
      </c>
      <c r="CI34" s="1">
        <v>185.91797669714501</v>
      </c>
      <c r="CJ34" s="1">
        <v>27.132223861201901</v>
      </c>
      <c r="CK34" s="1">
        <v>158.795251887608</v>
      </c>
      <c r="CL34" s="1">
        <v>4.9906568969360299E-2</v>
      </c>
      <c r="CM34" s="1">
        <v>67.132915016994005</v>
      </c>
      <c r="CN34" s="1">
        <v>54.0618587443509</v>
      </c>
      <c r="CO34" s="1">
        <v>91.261636561572999</v>
      </c>
      <c r="CP34" s="1">
        <v>2.30004738945992</v>
      </c>
      <c r="CQ34" s="1">
        <v>1.13375415833636E-2</v>
      </c>
      <c r="CR34" s="1">
        <v>42.925880648489198</v>
      </c>
      <c r="CS34" s="1">
        <v>0</v>
      </c>
      <c r="CT34" s="1">
        <v>0</v>
      </c>
      <c r="CU34" s="1">
        <v>0</v>
      </c>
      <c r="CV34" s="1">
        <v>0</v>
      </c>
      <c r="CW34" s="1">
        <v>56.2954287639648</v>
      </c>
      <c r="CX34" s="1">
        <v>2.2675083166726898E-2</v>
      </c>
      <c r="CY34" s="1">
        <v>2.5130355315454999E-2</v>
      </c>
      <c r="CZ34" s="1">
        <v>1.0158426129290099E-2</v>
      </c>
      <c r="DA34" s="1">
        <v>1.60610085838119E-2</v>
      </c>
      <c r="DB34" s="1">
        <v>8.7598395336175097E-2</v>
      </c>
      <c r="DC34" s="1">
        <v>2.23691681821377E-3</v>
      </c>
      <c r="DD34" s="1">
        <v>0.102971573451656</v>
      </c>
      <c r="DE34" s="1">
        <v>0.22208463679573301</v>
      </c>
      <c r="DF34" s="1">
        <v>2.1945468714946701</v>
      </c>
      <c r="DG34" s="1">
        <v>3.33502662285923</v>
      </c>
      <c r="DH34" s="1">
        <v>22.500958608485998</v>
      </c>
      <c r="DI34" s="1">
        <v>0.36067880863065899</v>
      </c>
      <c r="DJ34" s="1">
        <v>2.9221662736280498E-3</v>
      </c>
      <c r="DK34" s="1">
        <v>4.0353724731053298E-3</v>
      </c>
      <c r="DL34" s="1">
        <v>0.61003699731359495</v>
      </c>
      <c r="DM34" s="1">
        <v>0.40381554886041199</v>
      </c>
      <c r="DN34" s="1">
        <v>0.49690741729170701</v>
      </c>
      <c r="DO34" s="1">
        <v>1.58520562805575</v>
      </c>
      <c r="DP34" s="1">
        <v>0.108955056773845</v>
      </c>
      <c r="DQ34" s="1">
        <v>2.4730269824550202E-2</v>
      </c>
    </row>
    <row r="35" spans="1:121" x14ac:dyDescent="0.25">
      <c r="A35" s="1" t="s">
        <v>62</v>
      </c>
      <c r="B35" s="1">
        <v>2</v>
      </c>
      <c r="C35" s="1" t="s">
        <v>34</v>
      </c>
      <c r="D35" s="1" t="s">
        <v>64</v>
      </c>
      <c r="E35" s="1">
        <v>11.7708333333333</v>
      </c>
      <c r="F35" s="1">
        <v>0.15793333333333301</v>
      </c>
      <c r="G35" s="1">
        <v>5.0466666666666598</v>
      </c>
      <c r="H35" s="1">
        <v>22.066666666666599</v>
      </c>
      <c r="I35" s="1">
        <v>7.3449999999999998</v>
      </c>
      <c r="J35" s="1">
        <v>55.6</v>
      </c>
      <c r="K35" s="1">
        <v>268.7</v>
      </c>
      <c r="L35" s="1">
        <v>0.992747135478113</v>
      </c>
      <c r="M35" s="1">
        <v>0.103897560638672</v>
      </c>
      <c r="N35" s="1">
        <v>0.82011381323976396</v>
      </c>
      <c r="O35" s="1">
        <v>0.47609522856952202</v>
      </c>
      <c r="P35" s="1">
        <v>0.10821275340735</v>
      </c>
      <c r="Q35" s="1">
        <v>80.804801837514503</v>
      </c>
      <c r="R35" s="1">
        <v>28.850788550748401</v>
      </c>
      <c r="S35" s="1">
        <v>5.0000000000000001E-3</v>
      </c>
      <c r="T35" s="1">
        <v>0</v>
      </c>
      <c r="U35" s="1">
        <v>2.59851327433628E-3</v>
      </c>
      <c r="V35" s="1">
        <v>4.3638523577544299E-3</v>
      </c>
      <c r="W35" s="2">
        <v>8.3317419091812799E-4</v>
      </c>
      <c r="X35" s="1" t="s">
        <v>32</v>
      </c>
      <c r="Y35" s="1">
        <v>24.5194444444443</v>
      </c>
      <c r="Z35" s="1">
        <v>0.11111111111111099</v>
      </c>
      <c r="AA35" s="1" t="s">
        <v>46</v>
      </c>
      <c r="AB35" s="1">
        <v>8</v>
      </c>
      <c r="AC35" s="1">
        <v>1</v>
      </c>
      <c r="AD35" s="1">
        <v>0</v>
      </c>
      <c r="AE35" s="1">
        <v>0</v>
      </c>
      <c r="AF35" s="1">
        <v>9</v>
      </c>
      <c r="AG35" s="1">
        <v>1995</v>
      </c>
      <c r="AH35" s="1">
        <v>2003</v>
      </c>
      <c r="AI35" s="1">
        <v>1995</v>
      </c>
      <c r="AJ35" s="1">
        <v>2019.5194444444401</v>
      </c>
      <c r="AK35" s="1">
        <v>0.45644743224393503</v>
      </c>
      <c r="AL35" s="1">
        <v>0.53870668865301097</v>
      </c>
      <c r="AM35" s="1">
        <v>0.97853149213206903</v>
      </c>
      <c r="AN35" s="1">
        <v>1247.49871099491</v>
      </c>
      <c r="AO35" s="1">
        <v>381.04146601614502</v>
      </c>
      <c r="AP35" s="1">
        <v>866.45724497876301</v>
      </c>
      <c r="AQ35" s="1">
        <v>0.20461676055729</v>
      </c>
      <c r="AR35" s="1">
        <v>751.91126606140097</v>
      </c>
      <c r="AS35" s="1">
        <v>2450.7341212871602</v>
      </c>
      <c r="AT35" s="1">
        <v>2252.1975113679</v>
      </c>
      <c r="AU35" s="1">
        <v>47.7678473615264</v>
      </c>
      <c r="AV35" s="1">
        <v>0.184991182957184</v>
      </c>
      <c r="AW35" s="1">
        <v>121.10871184034001</v>
      </c>
      <c r="AX35" s="1">
        <v>2.9650000000000101</v>
      </c>
      <c r="AY35" s="1">
        <v>82.034999999999897</v>
      </c>
      <c r="AZ35" s="1">
        <v>15</v>
      </c>
      <c r="BA35" s="1">
        <v>97.034999999999997</v>
      </c>
      <c r="BB35" s="1">
        <v>2030.2790183761399</v>
      </c>
      <c r="BC35" s="1">
        <v>0.36998236591436801</v>
      </c>
      <c r="BD35" s="1">
        <v>0.60529705583392401</v>
      </c>
      <c r="BE35" s="1">
        <v>0.33493663470519602</v>
      </c>
      <c r="BF35" s="1">
        <v>0.26861681373658097</v>
      </c>
      <c r="BG35" s="1">
        <v>2.2970093299478598</v>
      </c>
      <c r="BH35" s="1">
        <v>9.0452349302538995E-2</v>
      </c>
      <c r="BI35" s="1">
        <v>5.6581459535301404</v>
      </c>
      <c r="BJ35" s="1">
        <v>14.1886228943704</v>
      </c>
      <c r="BK35" s="1">
        <v>105.079155179897</v>
      </c>
      <c r="BL35" s="1">
        <v>174.996782524671</v>
      </c>
      <c r="BM35" s="1">
        <v>2078.0962526726098</v>
      </c>
      <c r="BN35" s="1">
        <v>56.875845524932103</v>
      </c>
      <c r="BO35" s="1">
        <v>0.19300819597855801</v>
      </c>
      <c r="BP35" s="1">
        <v>0.69941725317246595</v>
      </c>
      <c r="BQ35" s="1">
        <v>88.149146134761807</v>
      </c>
      <c r="BR35" s="1">
        <v>21.551418320465501</v>
      </c>
      <c r="BS35" s="1">
        <v>37.492965135211001</v>
      </c>
      <c r="BT35" s="1">
        <v>54.581160408939802</v>
      </c>
      <c r="BU35" s="1">
        <v>3.1757341643433898</v>
      </c>
      <c r="BV35" s="1">
        <v>0.30788771376326801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2.2600360841931202E-2</v>
      </c>
      <c r="CG35" s="1">
        <v>2.6407000554662E-2</v>
      </c>
      <c r="CH35" s="1">
        <v>0.23630170251504601</v>
      </c>
      <c r="CI35" s="1">
        <v>185.91797669714501</v>
      </c>
      <c r="CJ35" s="1">
        <v>27.132223861201901</v>
      </c>
      <c r="CK35" s="1">
        <v>158.795251887608</v>
      </c>
      <c r="CL35" s="1">
        <v>4.9906568969360299E-2</v>
      </c>
      <c r="CM35" s="1">
        <v>67.132915016994005</v>
      </c>
      <c r="CN35" s="1">
        <v>54.0618587443509</v>
      </c>
      <c r="CO35" s="1">
        <v>91.261636561572999</v>
      </c>
      <c r="CP35" s="1">
        <v>2.30004738945992</v>
      </c>
      <c r="CQ35" s="1">
        <v>1.13375415833636E-2</v>
      </c>
      <c r="CR35" s="1">
        <v>42.925880648489198</v>
      </c>
      <c r="CS35" s="1">
        <v>0</v>
      </c>
      <c r="CT35" s="1">
        <v>0</v>
      </c>
      <c r="CU35" s="1">
        <v>0</v>
      </c>
      <c r="CV35" s="1">
        <v>0</v>
      </c>
      <c r="CW35" s="1">
        <v>56.2954287639648</v>
      </c>
      <c r="CX35" s="1">
        <v>2.2675083166726898E-2</v>
      </c>
      <c r="CY35" s="1">
        <v>2.5130355315454999E-2</v>
      </c>
      <c r="CZ35" s="1">
        <v>1.0158426129290099E-2</v>
      </c>
      <c r="DA35" s="1">
        <v>1.60610085838119E-2</v>
      </c>
      <c r="DB35" s="1">
        <v>8.7598395336175097E-2</v>
      </c>
      <c r="DC35" s="1">
        <v>2.23691681821377E-3</v>
      </c>
      <c r="DD35" s="1">
        <v>0.102971573451656</v>
      </c>
      <c r="DE35" s="1">
        <v>0.22208463679573301</v>
      </c>
      <c r="DF35" s="1">
        <v>2.1945468714946701</v>
      </c>
      <c r="DG35" s="1">
        <v>3.33502662285923</v>
      </c>
      <c r="DH35" s="1">
        <v>22.500958608485998</v>
      </c>
      <c r="DI35" s="1">
        <v>0.36067880863065899</v>
      </c>
      <c r="DJ35" s="1">
        <v>2.9221662736280498E-3</v>
      </c>
      <c r="DK35" s="1">
        <v>4.0353724731053298E-3</v>
      </c>
      <c r="DL35" s="1">
        <v>0.61003699731359495</v>
      </c>
      <c r="DM35" s="1">
        <v>0.40381554886041199</v>
      </c>
      <c r="DN35" s="1">
        <v>0.49690741729170701</v>
      </c>
      <c r="DO35" s="1">
        <v>1.58520562805575</v>
      </c>
      <c r="DP35" s="1">
        <v>0.108955056773845</v>
      </c>
      <c r="DQ35" s="1">
        <v>2.4730269824550202E-2</v>
      </c>
    </row>
    <row r="36" spans="1:121" x14ac:dyDescent="0.25">
      <c r="A36" s="1" t="s">
        <v>62</v>
      </c>
      <c r="B36" s="1">
        <v>4</v>
      </c>
      <c r="C36" s="1" t="s">
        <v>29</v>
      </c>
      <c r="D36" s="1" t="s">
        <v>65</v>
      </c>
      <c r="E36" s="1">
        <v>12.2518939393939</v>
      </c>
      <c r="F36" s="1">
        <v>0.14547490909090899</v>
      </c>
      <c r="G36" s="1">
        <v>0.65818181818181798</v>
      </c>
      <c r="H36" s="1">
        <v>17.899999999999999</v>
      </c>
      <c r="I36" s="1" t="s">
        <v>31</v>
      </c>
      <c r="J36" s="1" t="s">
        <v>31</v>
      </c>
      <c r="K36" s="1" t="s">
        <v>31</v>
      </c>
      <c r="L36" s="1">
        <v>0.98197533990514096</v>
      </c>
      <c r="M36" s="1">
        <v>8.70951850235758E-2</v>
      </c>
      <c r="N36" s="1">
        <v>0.503047078946258</v>
      </c>
      <c r="O36" s="1">
        <v>0.134164078649987</v>
      </c>
      <c r="P36" s="1" t="s">
        <v>31</v>
      </c>
      <c r="Q36" s="1" t="s">
        <v>31</v>
      </c>
      <c r="R36" s="1" t="s">
        <v>31</v>
      </c>
      <c r="S36" s="1">
        <v>5.0000000000000001E-3</v>
      </c>
      <c r="T36" s="1">
        <v>0</v>
      </c>
      <c r="U36" s="1">
        <v>2.2931133714638998E-3</v>
      </c>
      <c r="V36" s="1">
        <v>3.7148557641814199E-3</v>
      </c>
      <c r="W36" s="2">
        <v>8.7137097874638895E-4</v>
      </c>
      <c r="X36" s="1" t="s">
        <v>32</v>
      </c>
      <c r="Y36" s="1">
        <v>24.5194444444443</v>
      </c>
      <c r="Z36" s="1">
        <v>0.11111111111111099</v>
      </c>
      <c r="AA36" s="1" t="s">
        <v>46</v>
      </c>
      <c r="AB36" s="1">
        <v>8</v>
      </c>
      <c r="AC36" s="1">
        <v>1</v>
      </c>
      <c r="AD36" s="1">
        <v>0</v>
      </c>
      <c r="AE36" s="1">
        <v>0</v>
      </c>
      <c r="AF36" s="1">
        <v>9</v>
      </c>
      <c r="AG36" s="1">
        <v>1995</v>
      </c>
      <c r="AH36" s="1">
        <v>2003</v>
      </c>
      <c r="AI36" s="1">
        <v>1995</v>
      </c>
      <c r="AJ36" s="1">
        <v>2019.5194444444401</v>
      </c>
      <c r="AK36" s="1">
        <v>0.720683304602866</v>
      </c>
      <c r="AL36" s="1">
        <v>0.29884991026422603</v>
      </c>
      <c r="AM36" s="1">
        <v>0.44714683380354198</v>
      </c>
      <c r="AN36" s="1">
        <v>906.24387051801705</v>
      </c>
      <c r="AO36" s="1">
        <v>390.78152264750901</v>
      </c>
      <c r="AP36" s="1">
        <v>515.46234787050696</v>
      </c>
      <c r="AQ36" s="1">
        <v>0.17104405728785901</v>
      </c>
      <c r="AR36" s="1">
        <v>501.90942102140099</v>
      </c>
      <c r="AS36" s="1">
        <v>1142.1259586460401</v>
      </c>
      <c r="AT36" s="1">
        <v>4452.5365429721896</v>
      </c>
      <c r="AU36" s="1">
        <v>206.84254516651899</v>
      </c>
      <c r="AV36" s="1">
        <v>0.13352646463204901</v>
      </c>
      <c r="AW36" s="1">
        <v>309.95784511326099</v>
      </c>
      <c r="AX36" s="1">
        <v>24.085000000000001</v>
      </c>
      <c r="AY36" s="1">
        <v>68.414999999999907</v>
      </c>
      <c r="AZ36" s="1">
        <v>7.5</v>
      </c>
      <c r="BA36" s="1">
        <v>75.914999999999907</v>
      </c>
      <c r="BB36" s="1">
        <v>1888.0634096154899</v>
      </c>
      <c r="BC36" s="1">
        <v>0.26705292926409702</v>
      </c>
      <c r="BD36" s="1">
        <v>0.205595797411082</v>
      </c>
      <c r="BE36" s="1">
        <v>0.30128155258195399</v>
      </c>
      <c r="BF36" s="1">
        <v>0.385690416158606</v>
      </c>
      <c r="BG36" s="1">
        <v>0.53720192488156504</v>
      </c>
      <c r="BH36" s="1">
        <v>0.10393037293433199</v>
      </c>
      <c r="BI36" s="1">
        <v>3.3944973134533898</v>
      </c>
      <c r="BJ36" s="1">
        <v>9.5217893910490297</v>
      </c>
      <c r="BK36" s="1">
        <v>50.193035750835101</v>
      </c>
      <c r="BL36" s="1">
        <v>130.57873057777201</v>
      </c>
      <c r="BM36" s="1">
        <v>1031.79190041164</v>
      </c>
      <c r="BN36" s="1">
        <v>39.105691023912797</v>
      </c>
      <c r="BO36" s="1">
        <v>7.1573507861925706E-2</v>
      </c>
      <c r="BP36" s="1">
        <v>0.55302959852997702</v>
      </c>
      <c r="BQ36" s="1">
        <v>73.555845756187907</v>
      </c>
      <c r="BR36" s="1">
        <v>33.785967470691901</v>
      </c>
      <c r="BS36" s="1">
        <v>15.679751099041701</v>
      </c>
      <c r="BT36" s="1">
        <v>13.1261576630531</v>
      </c>
      <c r="BU36" s="1">
        <v>1.6609699130069899</v>
      </c>
      <c r="BV36" s="1">
        <v>0.43402086236368398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2.31797437063293E-2</v>
      </c>
      <c r="CG36" s="1">
        <v>1.41531991813009E-2</v>
      </c>
      <c r="CH36" s="1">
        <v>0.29493136884147497</v>
      </c>
      <c r="CI36" s="1">
        <v>113.11045423895099</v>
      </c>
      <c r="CJ36" s="1">
        <v>8.2754556644305701</v>
      </c>
      <c r="CK36" s="1">
        <v>104.83499857452</v>
      </c>
      <c r="CL36" s="1">
        <v>0.12847847027488801</v>
      </c>
      <c r="CM36" s="1">
        <v>12.8345717658036</v>
      </c>
      <c r="CN36" s="1">
        <v>21.6942190159577</v>
      </c>
      <c r="CO36" s="1">
        <v>30.0436630085415</v>
      </c>
      <c r="CP36" s="1">
        <v>3.88219107615061</v>
      </c>
      <c r="CQ36" s="1">
        <v>2.78908786219903E-3</v>
      </c>
      <c r="CR36" s="1">
        <v>14.6140975123737</v>
      </c>
      <c r="CS36" s="1">
        <v>0</v>
      </c>
      <c r="CT36" s="1">
        <v>0</v>
      </c>
      <c r="CU36" s="1">
        <v>0</v>
      </c>
      <c r="CV36" s="1">
        <v>0</v>
      </c>
      <c r="CW36" s="1">
        <v>4.1384319687668203</v>
      </c>
      <c r="CX36" s="1">
        <v>5.5781757243985102E-3</v>
      </c>
      <c r="CY36" s="1">
        <v>1.6230886930994699E-3</v>
      </c>
      <c r="CZ36" s="1">
        <v>2.5383515836692599E-2</v>
      </c>
      <c r="DA36" s="1">
        <v>2.03961232500697E-2</v>
      </c>
      <c r="DB36" s="1">
        <v>1.7223481654015601E-2</v>
      </c>
      <c r="DC36" s="1">
        <v>2.8612422366358402E-3</v>
      </c>
      <c r="DD36" s="1">
        <v>1.7765013466757299E-2</v>
      </c>
      <c r="DE36" s="1">
        <v>3.12550236928507E-2</v>
      </c>
      <c r="DF36" s="1">
        <v>0.15257011565567599</v>
      </c>
      <c r="DG36" s="1">
        <v>0.61465046593537997</v>
      </c>
      <c r="DH36" s="1">
        <v>3.9648280055354999</v>
      </c>
      <c r="DI36" s="1">
        <v>9.6235072950934905E-2</v>
      </c>
      <c r="DJ36" s="2">
        <v>1.4250010802212799E-4</v>
      </c>
      <c r="DK36" s="1">
        <v>1.2350009361915899E-3</v>
      </c>
      <c r="DL36" s="1">
        <v>4.9732537699710998E-2</v>
      </c>
      <c r="DM36" s="1">
        <v>2.06150156271982E-2</v>
      </c>
      <c r="DN36" s="1">
        <v>7.2675055091264299E-3</v>
      </c>
      <c r="DO36" s="1">
        <v>2.71225205602099E-2</v>
      </c>
      <c r="DP36" s="1">
        <v>4.4650033846932802E-3</v>
      </c>
      <c r="DQ36" s="1">
        <v>4.5039577705916697E-2</v>
      </c>
    </row>
    <row r="37" spans="1:121" x14ac:dyDescent="0.25">
      <c r="A37" s="1" t="s">
        <v>62</v>
      </c>
      <c r="B37" s="1">
        <v>4</v>
      </c>
      <c r="C37" s="1" t="s">
        <v>34</v>
      </c>
      <c r="D37" s="1" t="s">
        <v>65</v>
      </c>
      <c r="E37" s="1">
        <v>12.1197916666666</v>
      </c>
      <c r="F37" s="1">
        <v>2.2903E-2</v>
      </c>
      <c r="G37" s="1">
        <v>7.6566666666666601</v>
      </c>
      <c r="H37" s="1">
        <v>17.899999999999999</v>
      </c>
      <c r="I37" s="1" t="s">
        <v>31</v>
      </c>
      <c r="J37" s="1" t="s">
        <v>31</v>
      </c>
      <c r="K37" s="1" t="s">
        <v>31</v>
      </c>
      <c r="L37" s="1">
        <v>1.04212584576388</v>
      </c>
      <c r="M37" s="1">
        <v>1.08808549797756E-2</v>
      </c>
      <c r="N37" s="1">
        <v>0.250720174817676</v>
      </c>
      <c r="O37" s="1">
        <v>0.12792042981336599</v>
      </c>
      <c r="P37" s="1" t="s">
        <v>31</v>
      </c>
      <c r="Q37" s="1" t="s">
        <v>31</v>
      </c>
      <c r="R37" s="1" t="s">
        <v>31</v>
      </c>
      <c r="S37" s="1">
        <v>5.0000000000000001E-3</v>
      </c>
      <c r="T37" s="1">
        <v>0</v>
      </c>
      <c r="U37" s="2">
        <v>2.95434121186076E-4</v>
      </c>
      <c r="V37" s="2">
        <v>4.7498926997137299E-4</v>
      </c>
      <c r="W37" s="2">
        <v>1.15878972400779E-4</v>
      </c>
      <c r="X37" s="1" t="s">
        <v>32</v>
      </c>
      <c r="Y37" s="1">
        <v>24.5194444444443</v>
      </c>
      <c r="Z37" s="1">
        <v>0.11111111111111099</v>
      </c>
      <c r="AA37" s="1" t="s">
        <v>46</v>
      </c>
      <c r="AB37" s="1">
        <v>8</v>
      </c>
      <c r="AC37" s="1">
        <v>1</v>
      </c>
      <c r="AD37" s="1">
        <v>0</v>
      </c>
      <c r="AE37" s="1">
        <v>0</v>
      </c>
      <c r="AF37" s="1">
        <v>9</v>
      </c>
      <c r="AG37" s="1">
        <v>1995</v>
      </c>
      <c r="AH37" s="1">
        <v>2003</v>
      </c>
      <c r="AI37" s="1">
        <v>1995</v>
      </c>
      <c r="AJ37" s="1">
        <v>2019.5194444444401</v>
      </c>
      <c r="AK37" s="1">
        <v>0.720683304602866</v>
      </c>
      <c r="AL37" s="1">
        <v>0.29884991026422603</v>
      </c>
      <c r="AM37" s="1">
        <v>0.44714683380354198</v>
      </c>
      <c r="AN37" s="1">
        <v>906.24387051801705</v>
      </c>
      <c r="AO37" s="1">
        <v>390.78152264750901</v>
      </c>
      <c r="AP37" s="1">
        <v>515.46234787050696</v>
      </c>
      <c r="AQ37" s="1">
        <v>0.17104405728785901</v>
      </c>
      <c r="AR37" s="1">
        <v>501.90942102140099</v>
      </c>
      <c r="AS37" s="1">
        <v>1142.1259586460401</v>
      </c>
      <c r="AT37" s="1">
        <v>4452.5365429721896</v>
      </c>
      <c r="AU37" s="1">
        <v>206.84254516651899</v>
      </c>
      <c r="AV37" s="1">
        <v>0.13352646463204901</v>
      </c>
      <c r="AW37" s="1">
        <v>309.95784511326099</v>
      </c>
      <c r="AX37" s="1">
        <v>24.085000000000001</v>
      </c>
      <c r="AY37" s="1">
        <v>68.414999999999907</v>
      </c>
      <c r="AZ37" s="1">
        <v>7.5</v>
      </c>
      <c r="BA37" s="1">
        <v>75.914999999999907</v>
      </c>
      <c r="BB37" s="1">
        <v>1888.0634096154899</v>
      </c>
      <c r="BC37" s="1">
        <v>0.26705292926409702</v>
      </c>
      <c r="BD37" s="1">
        <v>0.205595797411082</v>
      </c>
      <c r="BE37" s="1">
        <v>0.30128155258195399</v>
      </c>
      <c r="BF37" s="1">
        <v>0.385690416158606</v>
      </c>
      <c r="BG37" s="1">
        <v>0.53720192488156504</v>
      </c>
      <c r="BH37" s="1">
        <v>0.10393037293433199</v>
      </c>
      <c r="BI37" s="1">
        <v>3.3944973134533898</v>
      </c>
      <c r="BJ37" s="1">
        <v>9.5217893910490297</v>
      </c>
      <c r="BK37" s="1">
        <v>50.193035750835101</v>
      </c>
      <c r="BL37" s="1">
        <v>130.57873057777201</v>
      </c>
      <c r="BM37" s="1">
        <v>1031.79190041164</v>
      </c>
      <c r="BN37" s="1">
        <v>39.105691023912797</v>
      </c>
      <c r="BO37" s="1">
        <v>7.1573507861925706E-2</v>
      </c>
      <c r="BP37" s="1">
        <v>0.55302959852997702</v>
      </c>
      <c r="BQ37" s="1">
        <v>73.555845756187907</v>
      </c>
      <c r="BR37" s="1">
        <v>33.785967470691901</v>
      </c>
      <c r="BS37" s="1">
        <v>15.679751099041701</v>
      </c>
      <c r="BT37" s="1">
        <v>13.1261576630531</v>
      </c>
      <c r="BU37" s="1">
        <v>1.6609699130069899</v>
      </c>
      <c r="BV37" s="1">
        <v>0.43402086236368398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2.31797437063293E-2</v>
      </c>
      <c r="CG37" s="1">
        <v>1.41531991813009E-2</v>
      </c>
      <c r="CH37" s="1">
        <v>0.29493136884147497</v>
      </c>
      <c r="CI37" s="1">
        <v>113.11045423895099</v>
      </c>
      <c r="CJ37" s="1">
        <v>8.2754556644305701</v>
      </c>
      <c r="CK37" s="1">
        <v>104.83499857452</v>
      </c>
      <c r="CL37" s="1">
        <v>0.12847847027488801</v>
      </c>
      <c r="CM37" s="1">
        <v>12.8345717658036</v>
      </c>
      <c r="CN37" s="1">
        <v>21.6942190159577</v>
      </c>
      <c r="CO37" s="1">
        <v>30.0436630085415</v>
      </c>
      <c r="CP37" s="1">
        <v>3.88219107615061</v>
      </c>
      <c r="CQ37" s="1">
        <v>2.78908786219903E-3</v>
      </c>
      <c r="CR37" s="1">
        <v>14.6140975123737</v>
      </c>
      <c r="CS37" s="1">
        <v>0</v>
      </c>
      <c r="CT37" s="1">
        <v>0</v>
      </c>
      <c r="CU37" s="1">
        <v>0</v>
      </c>
      <c r="CV37" s="1">
        <v>0</v>
      </c>
      <c r="CW37" s="1">
        <v>4.1384319687668203</v>
      </c>
      <c r="CX37" s="1">
        <v>5.5781757243985102E-3</v>
      </c>
      <c r="CY37" s="1">
        <v>1.6230886930994699E-3</v>
      </c>
      <c r="CZ37" s="1">
        <v>2.5383515836692599E-2</v>
      </c>
      <c r="DA37" s="1">
        <v>2.03961232500697E-2</v>
      </c>
      <c r="DB37" s="1">
        <v>1.7223481654015601E-2</v>
      </c>
      <c r="DC37" s="1">
        <v>2.8612422366358402E-3</v>
      </c>
      <c r="DD37" s="1">
        <v>1.7765013466757299E-2</v>
      </c>
      <c r="DE37" s="1">
        <v>3.12550236928507E-2</v>
      </c>
      <c r="DF37" s="1">
        <v>0.15257011565567599</v>
      </c>
      <c r="DG37" s="1">
        <v>0.61465046593537997</v>
      </c>
      <c r="DH37" s="1">
        <v>3.9648280055354999</v>
      </c>
      <c r="DI37" s="1">
        <v>9.6235072950934905E-2</v>
      </c>
      <c r="DJ37" s="2">
        <v>1.4250010802212799E-4</v>
      </c>
      <c r="DK37" s="1">
        <v>1.2350009361915899E-3</v>
      </c>
      <c r="DL37" s="1">
        <v>4.9732537699710998E-2</v>
      </c>
      <c r="DM37" s="1">
        <v>2.06150156271982E-2</v>
      </c>
      <c r="DN37" s="1">
        <v>7.2675055091264299E-3</v>
      </c>
      <c r="DO37" s="1">
        <v>2.71225205602099E-2</v>
      </c>
      <c r="DP37" s="1">
        <v>4.4650033846932802E-3</v>
      </c>
      <c r="DQ37" s="1">
        <v>4.5039577705916697E-2</v>
      </c>
    </row>
    <row r="38" spans="1:121" x14ac:dyDescent="0.25">
      <c r="A38" s="1" t="s">
        <v>66</v>
      </c>
      <c r="B38" s="1">
        <v>2</v>
      </c>
      <c r="C38" s="1" t="s">
        <v>29</v>
      </c>
      <c r="D38" s="1" t="s">
        <v>67</v>
      </c>
      <c r="E38" s="1">
        <v>12.8680555555555</v>
      </c>
      <c r="F38" s="1">
        <v>0.89026836356883798</v>
      </c>
      <c r="G38" s="1">
        <v>0.206666666666666</v>
      </c>
      <c r="H38" s="1">
        <v>21.6</v>
      </c>
      <c r="I38" s="1" t="s">
        <v>31</v>
      </c>
      <c r="J38" s="1" t="s">
        <v>31</v>
      </c>
      <c r="K38" s="1" t="s">
        <v>31</v>
      </c>
      <c r="L38" s="1">
        <v>1.38888888888821E-3</v>
      </c>
      <c r="M38" s="1">
        <v>0.53235413461535896</v>
      </c>
      <c r="N38" s="1">
        <v>4.6188021535170001E-2</v>
      </c>
      <c r="O38" s="1">
        <v>0</v>
      </c>
      <c r="P38" s="1" t="s">
        <v>31</v>
      </c>
      <c r="Q38" s="1" t="s">
        <v>31</v>
      </c>
      <c r="R38" s="1" t="s">
        <v>31</v>
      </c>
      <c r="S38" s="1">
        <v>1.03E-2</v>
      </c>
      <c r="T38" s="1">
        <v>0</v>
      </c>
      <c r="U38" s="1">
        <v>1.3676788381426001E-2</v>
      </c>
      <c r="V38" s="1">
        <v>2.19508299771747E-2</v>
      </c>
      <c r="W38" s="1">
        <v>5.4027467856773799E-3</v>
      </c>
      <c r="X38" s="1" t="s">
        <v>32</v>
      </c>
      <c r="Y38" s="1">
        <v>9.5805555555555202</v>
      </c>
      <c r="Z38" s="1">
        <v>0.55555555555555503</v>
      </c>
      <c r="AA38" s="1" t="s">
        <v>39</v>
      </c>
      <c r="AB38" s="1">
        <v>4</v>
      </c>
      <c r="AC38" s="1">
        <v>5</v>
      </c>
      <c r="AD38" s="1">
        <v>0</v>
      </c>
      <c r="AE38" s="1">
        <v>0</v>
      </c>
      <c r="AF38" s="1">
        <v>9</v>
      </c>
      <c r="AG38" s="1">
        <v>2009</v>
      </c>
      <c r="AH38" s="1">
        <v>2011</v>
      </c>
      <c r="AI38" s="1">
        <v>2009</v>
      </c>
      <c r="AJ38" s="1">
        <v>2018.5805555555501</v>
      </c>
      <c r="AK38" s="1">
        <v>0.83619163140850095</v>
      </c>
      <c r="AL38" s="1">
        <v>0.25974466131806201</v>
      </c>
      <c r="AM38" s="1">
        <v>1.5382287032965001</v>
      </c>
      <c r="AN38" s="1">
        <v>1175</v>
      </c>
      <c r="AO38" s="1">
        <v>535.64516129032199</v>
      </c>
      <c r="AP38" s="1">
        <v>639.35483870967698</v>
      </c>
      <c r="AQ38" s="1">
        <v>0.212389380530974</v>
      </c>
      <c r="AR38" s="1">
        <v>742</v>
      </c>
      <c r="AS38" s="1">
        <v>2140</v>
      </c>
      <c r="AT38" s="1">
        <v>3540</v>
      </c>
      <c r="AU38" s="1">
        <v>206</v>
      </c>
      <c r="AV38" s="1">
        <v>0.167999496856852</v>
      </c>
      <c r="AW38" s="1">
        <v>207.58617724867699</v>
      </c>
      <c r="AX38" s="1" t="s">
        <v>31</v>
      </c>
      <c r="AY38" s="1" t="s">
        <v>31</v>
      </c>
      <c r="AZ38" s="1" t="s">
        <v>31</v>
      </c>
      <c r="BA38" s="1" t="s">
        <v>31</v>
      </c>
      <c r="BB38" s="1">
        <v>2208.3399470899399</v>
      </c>
      <c r="BC38" s="1">
        <v>0.33599899371370501</v>
      </c>
      <c r="BD38" s="1">
        <v>0.37864042281756799</v>
      </c>
      <c r="BE38" s="1">
        <v>0.31732692219549902</v>
      </c>
      <c r="BF38" s="1">
        <v>0.30198974977389198</v>
      </c>
      <c r="BG38" s="1">
        <v>1.25381879054195</v>
      </c>
      <c r="BH38" s="1">
        <v>0.12127778651021801</v>
      </c>
      <c r="BI38" s="1">
        <v>3.855</v>
      </c>
      <c r="BJ38" s="1" t="s">
        <v>31</v>
      </c>
      <c r="BK38" s="1" t="s">
        <v>31</v>
      </c>
      <c r="BL38" s="1" t="s">
        <v>31</v>
      </c>
      <c r="BM38" s="1" t="s">
        <v>31</v>
      </c>
      <c r="BN38" s="1" t="s">
        <v>31</v>
      </c>
      <c r="BO38" s="1" t="s">
        <v>31</v>
      </c>
      <c r="BP38" s="1" t="s">
        <v>31</v>
      </c>
      <c r="BQ38" s="1" t="s">
        <v>31</v>
      </c>
      <c r="BR38" s="1" t="s">
        <v>31</v>
      </c>
      <c r="BS38" s="1" t="s">
        <v>31</v>
      </c>
      <c r="BT38" s="1" t="s">
        <v>31</v>
      </c>
      <c r="BU38" s="1" t="s">
        <v>31</v>
      </c>
      <c r="BV38" s="1">
        <v>0.455868222374742</v>
      </c>
      <c r="BW38" s="1" t="s">
        <v>31</v>
      </c>
      <c r="BX38" s="1" t="s">
        <v>31</v>
      </c>
      <c r="BY38" s="1" t="s">
        <v>31</v>
      </c>
      <c r="BZ38" s="1" t="s">
        <v>31</v>
      </c>
      <c r="CA38" s="1" t="s">
        <v>31</v>
      </c>
      <c r="CB38" s="1" t="s">
        <v>31</v>
      </c>
      <c r="CC38" s="1" t="s">
        <v>31</v>
      </c>
      <c r="CD38" s="1" t="s">
        <v>31</v>
      </c>
      <c r="CE38" s="1" t="s">
        <v>31</v>
      </c>
      <c r="CF38" s="1" t="s">
        <v>31</v>
      </c>
      <c r="CG38" s="1" t="s">
        <v>31</v>
      </c>
      <c r="CH38" s="1" t="s">
        <v>31</v>
      </c>
      <c r="CI38" s="1" t="s">
        <v>31</v>
      </c>
      <c r="CJ38" s="1" t="s">
        <v>31</v>
      </c>
      <c r="CK38" s="1" t="s">
        <v>31</v>
      </c>
      <c r="CL38" s="1" t="s">
        <v>31</v>
      </c>
      <c r="CM38" s="1" t="s">
        <v>31</v>
      </c>
      <c r="CN38" s="1" t="s">
        <v>31</v>
      </c>
      <c r="CO38" s="1" t="s">
        <v>31</v>
      </c>
      <c r="CP38" s="1" t="s">
        <v>31</v>
      </c>
      <c r="CQ38" s="1" t="s">
        <v>31</v>
      </c>
      <c r="CR38" s="1" t="s">
        <v>31</v>
      </c>
      <c r="CS38" s="1" t="s">
        <v>31</v>
      </c>
      <c r="CT38" s="1" t="s">
        <v>31</v>
      </c>
      <c r="CU38" s="1" t="s">
        <v>31</v>
      </c>
      <c r="CV38" s="1" t="s">
        <v>31</v>
      </c>
      <c r="CW38" s="1" t="s">
        <v>31</v>
      </c>
      <c r="CX38" s="1" t="s">
        <v>31</v>
      </c>
      <c r="CY38" s="1" t="s">
        <v>31</v>
      </c>
      <c r="CZ38" s="1" t="s">
        <v>31</v>
      </c>
      <c r="DA38" s="1" t="s">
        <v>31</v>
      </c>
      <c r="DB38" s="1" t="s">
        <v>31</v>
      </c>
      <c r="DC38" s="1" t="s">
        <v>31</v>
      </c>
      <c r="DD38" s="1" t="s">
        <v>31</v>
      </c>
      <c r="DE38" s="1" t="s">
        <v>31</v>
      </c>
      <c r="DF38" s="1" t="s">
        <v>31</v>
      </c>
      <c r="DG38" s="1" t="s">
        <v>31</v>
      </c>
      <c r="DH38" s="1" t="s">
        <v>31</v>
      </c>
      <c r="DI38" s="1" t="s">
        <v>31</v>
      </c>
      <c r="DJ38" s="1" t="s">
        <v>31</v>
      </c>
      <c r="DK38" s="1" t="s">
        <v>31</v>
      </c>
      <c r="DL38" s="1" t="s">
        <v>31</v>
      </c>
      <c r="DM38" s="1" t="s">
        <v>31</v>
      </c>
      <c r="DN38" s="1" t="s">
        <v>31</v>
      </c>
      <c r="DO38" s="1" t="s">
        <v>31</v>
      </c>
      <c r="DP38" s="1" t="s">
        <v>31</v>
      </c>
      <c r="DQ38" s="1" t="s">
        <v>31</v>
      </c>
    </row>
    <row r="39" spans="1:121" x14ac:dyDescent="0.25">
      <c r="A39" s="1" t="s">
        <v>66</v>
      </c>
      <c r="B39" s="1">
        <v>2</v>
      </c>
      <c r="C39" s="1" t="s">
        <v>34</v>
      </c>
      <c r="D39" s="1" t="s">
        <v>67</v>
      </c>
      <c r="E39" s="1">
        <v>12.8638888888888</v>
      </c>
      <c r="F39" s="1">
        <v>0.43789400000000001</v>
      </c>
      <c r="G39" s="1">
        <v>4.47</v>
      </c>
      <c r="H39" s="1">
        <v>21.7</v>
      </c>
      <c r="I39" s="1" t="s">
        <v>31</v>
      </c>
      <c r="J39" s="1" t="s">
        <v>31</v>
      </c>
      <c r="K39" s="1" t="s">
        <v>31</v>
      </c>
      <c r="L39" s="1">
        <v>1.38888888888821E-3</v>
      </c>
      <c r="M39" s="1">
        <v>0.24654983032441899</v>
      </c>
      <c r="N39" s="1">
        <v>0.25238858928247898</v>
      </c>
      <c r="O39" s="1">
        <v>0</v>
      </c>
      <c r="P39" s="1" t="s">
        <v>31</v>
      </c>
      <c r="Q39" s="1" t="s">
        <v>31</v>
      </c>
      <c r="R39" s="1" t="s">
        <v>31</v>
      </c>
      <c r="S39" s="1">
        <v>1.03E-2</v>
      </c>
      <c r="T39" s="1">
        <v>0</v>
      </c>
      <c r="U39" s="1">
        <v>6.6479740876700501E-3</v>
      </c>
      <c r="V39" s="1">
        <v>1.0481182419209201E-2</v>
      </c>
      <c r="W39" s="1">
        <v>2.8147657561308102E-3</v>
      </c>
      <c r="X39" s="1" t="s">
        <v>32</v>
      </c>
      <c r="Y39" s="1">
        <v>9.5805555555555202</v>
      </c>
      <c r="Z39" s="1">
        <v>0.55555555555555503</v>
      </c>
      <c r="AA39" s="1" t="s">
        <v>39</v>
      </c>
      <c r="AB39" s="1">
        <v>4</v>
      </c>
      <c r="AC39" s="1">
        <v>5</v>
      </c>
      <c r="AD39" s="1">
        <v>0</v>
      </c>
      <c r="AE39" s="1">
        <v>0</v>
      </c>
      <c r="AF39" s="1">
        <v>9</v>
      </c>
      <c r="AG39" s="1">
        <v>2009</v>
      </c>
      <c r="AH39" s="1">
        <v>2011</v>
      </c>
      <c r="AI39" s="1">
        <v>2009</v>
      </c>
      <c r="AJ39" s="1">
        <v>2018.5805555555501</v>
      </c>
      <c r="AK39" s="1">
        <v>0.83619163140850095</v>
      </c>
      <c r="AL39" s="1">
        <v>0.25974466131806201</v>
      </c>
      <c r="AM39" s="1">
        <v>1.5382287032965001</v>
      </c>
      <c r="AN39" s="1">
        <v>1175</v>
      </c>
      <c r="AO39" s="1">
        <v>535.64516129032199</v>
      </c>
      <c r="AP39" s="1">
        <v>639.35483870967698</v>
      </c>
      <c r="AQ39" s="1">
        <v>0.212389380530974</v>
      </c>
      <c r="AR39" s="1">
        <v>742</v>
      </c>
      <c r="AS39" s="1">
        <v>2140</v>
      </c>
      <c r="AT39" s="1">
        <v>3540</v>
      </c>
      <c r="AU39" s="1">
        <v>206</v>
      </c>
      <c r="AV39" s="1">
        <v>0.167999496856852</v>
      </c>
      <c r="AW39" s="1">
        <v>207.58617724867699</v>
      </c>
      <c r="AX39" s="1" t="s">
        <v>31</v>
      </c>
      <c r="AY39" s="1" t="s">
        <v>31</v>
      </c>
      <c r="AZ39" s="1" t="s">
        <v>31</v>
      </c>
      <c r="BA39" s="1" t="s">
        <v>31</v>
      </c>
      <c r="BB39" s="1">
        <v>2208.3399470899399</v>
      </c>
      <c r="BC39" s="1">
        <v>0.33599899371370501</v>
      </c>
      <c r="BD39" s="1">
        <v>0.37864042281756799</v>
      </c>
      <c r="BE39" s="1">
        <v>0.31732692219549902</v>
      </c>
      <c r="BF39" s="1">
        <v>0.30198974977389198</v>
      </c>
      <c r="BG39" s="1">
        <v>1.25381879054195</v>
      </c>
      <c r="BH39" s="1">
        <v>0.12127778651021801</v>
      </c>
      <c r="BI39" s="1">
        <v>3.855</v>
      </c>
      <c r="BJ39" s="1" t="s">
        <v>31</v>
      </c>
      <c r="BK39" s="1" t="s">
        <v>31</v>
      </c>
      <c r="BL39" s="1" t="s">
        <v>31</v>
      </c>
      <c r="BM39" s="1" t="s">
        <v>31</v>
      </c>
      <c r="BN39" s="1" t="s">
        <v>31</v>
      </c>
      <c r="BO39" s="1" t="s">
        <v>31</v>
      </c>
      <c r="BP39" s="1" t="s">
        <v>31</v>
      </c>
      <c r="BQ39" s="1" t="s">
        <v>31</v>
      </c>
      <c r="BR39" s="1" t="s">
        <v>31</v>
      </c>
      <c r="BS39" s="1" t="s">
        <v>31</v>
      </c>
      <c r="BT39" s="1" t="s">
        <v>31</v>
      </c>
      <c r="BU39" s="1" t="s">
        <v>31</v>
      </c>
      <c r="BV39" s="1">
        <v>0.455868222374742</v>
      </c>
      <c r="BW39" s="1" t="s">
        <v>31</v>
      </c>
      <c r="BX39" s="1" t="s">
        <v>31</v>
      </c>
      <c r="BY39" s="1" t="s">
        <v>31</v>
      </c>
      <c r="BZ39" s="1" t="s">
        <v>31</v>
      </c>
      <c r="CA39" s="1" t="s">
        <v>31</v>
      </c>
      <c r="CB39" s="1" t="s">
        <v>31</v>
      </c>
      <c r="CC39" s="1" t="s">
        <v>31</v>
      </c>
      <c r="CD39" s="1" t="s">
        <v>31</v>
      </c>
      <c r="CE39" s="1" t="s">
        <v>31</v>
      </c>
      <c r="CF39" s="1" t="s">
        <v>31</v>
      </c>
      <c r="CG39" s="1" t="s">
        <v>31</v>
      </c>
      <c r="CH39" s="1" t="s">
        <v>31</v>
      </c>
      <c r="CI39" s="1" t="s">
        <v>31</v>
      </c>
      <c r="CJ39" s="1" t="s">
        <v>31</v>
      </c>
      <c r="CK39" s="1" t="s">
        <v>31</v>
      </c>
      <c r="CL39" s="1" t="s">
        <v>31</v>
      </c>
      <c r="CM39" s="1" t="s">
        <v>31</v>
      </c>
      <c r="CN39" s="1" t="s">
        <v>31</v>
      </c>
      <c r="CO39" s="1" t="s">
        <v>31</v>
      </c>
      <c r="CP39" s="1" t="s">
        <v>31</v>
      </c>
      <c r="CQ39" s="1" t="s">
        <v>31</v>
      </c>
      <c r="CR39" s="1" t="s">
        <v>31</v>
      </c>
      <c r="CS39" s="1" t="s">
        <v>31</v>
      </c>
      <c r="CT39" s="1" t="s">
        <v>31</v>
      </c>
      <c r="CU39" s="1" t="s">
        <v>31</v>
      </c>
      <c r="CV39" s="1" t="s">
        <v>31</v>
      </c>
      <c r="CW39" s="1" t="s">
        <v>31</v>
      </c>
      <c r="CX39" s="1" t="s">
        <v>31</v>
      </c>
      <c r="CY39" s="1" t="s">
        <v>31</v>
      </c>
      <c r="CZ39" s="1" t="s">
        <v>31</v>
      </c>
      <c r="DA39" s="1" t="s">
        <v>31</v>
      </c>
      <c r="DB39" s="1" t="s">
        <v>31</v>
      </c>
      <c r="DC39" s="1" t="s">
        <v>31</v>
      </c>
      <c r="DD39" s="1" t="s">
        <v>31</v>
      </c>
      <c r="DE39" s="1" t="s">
        <v>31</v>
      </c>
      <c r="DF39" s="1" t="s">
        <v>31</v>
      </c>
      <c r="DG39" s="1" t="s">
        <v>31</v>
      </c>
      <c r="DH39" s="1" t="s">
        <v>31</v>
      </c>
      <c r="DI39" s="1" t="s">
        <v>31</v>
      </c>
      <c r="DJ39" s="1" t="s">
        <v>31</v>
      </c>
      <c r="DK39" s="1" t="s">
        <v>31</v>
      </c>
      <c r="DL39" s="1" t="s">
        <v>31</v>
      </c>
      <c r="DM39" s="1" t="s">
        <v>31</v>
      </c>
      <c r="DN39" s="1" t="s">
        <v>31</v>
      </c>
      <c r="DO39" s="1" t="s">
        <v>31</v>
      </c>
      <c r="DP39" s="1" t="s">
        <v>31</v>
      </c>
      <c r="DQ39" s="1" t="s">
        <v>31</v>
      </c>
    </row>
    <row r="40" spans="1:121" x14ac:dyDescent="0.25">
      <c r="A40" s="1" t="s">
        <v>68</v>
      </c>
      <c r="B40" s="1">
        <v>3</v>
      </c>
      <c r="C40" s="1" t="s">
        <v>29</v>
      </c>
      <c r="D40" s="1" t="s">
        <v>69</v>
      </c>
      <c r="E40" s="1">
        <v>12.876388888888799</v>
      </c>
      <c r="F40" s="1">
        <v>0.11901766666666599</v>
      </c>
      <c r="G40" s="1">
        <v>0.19</v>
      </c>
      <c r="H40" s="1">
        <v>21.6</v>
      </c>
      <c r="I40" s="1" t="s">
        <v>31</v>
      </c>
      <c r="J40" s="1" t="s">
        <v>31</v>
      </c>
      <c r="K40" s="1" t="s">
        <v>31</v>
      </c>
      <c r="L40" s="1">
        <v>1.3888888888890999E-3</v>
      </c>
      <c r="M40" s="1">
        <v>9.6459006859563504E-2</v>
      </c>
      <c r="N40" s="1">
        <v>6.2449979983983897E-2</v>
      </c>
      <c r="O40" s="1">
        <v>0</v>
      </c>
      <c r="P40" s="1" t="s">
        <v>31</v>
      </c>
      <c r="Q40" s="1" t="s">
        <v>31</v>
      </c>
      <c r="R40" s="1" t="s">
        <v>31</v>
      </c>
      <c r="S40" s="1">
        <v>1.03E-2</v>
      </c>
      <c r="T40" s="1">
        <v>0</v>
      </c>
      <c r="U40" s="1">
        <v>1.6886359616006901E-3</v>
      </c>
      <c r="V40" s="1">
        <v>3.1868666797300301E-3</v>
      </c>
      <c r="W40" s="2">
        <v>1.9040524347134499E-4</v>
      </c>
      <c r="X40" s="1" t="s">
        <v>55</v>
      </c>
      <c r="Y40" s="1">
        <v>25.580555555555499</v>
      </c>
      <c r="Z40" s="1">
        <v>0</v>
      </c>
      <c r="AA40" s="1" t="s">
        <v>46</v>
      </c>
      <c r="AB40" s="1">
        <v>10</v>
      </c>
      <c r="AC40" s="1">
        <v>0</v>
      </c>
      <c r="AD40" s="1">
        <v>0</v>
      </c>
      <c r="AE40" s="1">
        <v>0</v>
      </c>
      <c r="AF40" s="1">
        <v>10</v>
      </c>
      <c r="AG40" s="1" t="s">
        <v>31</v>
      </c>
      <c r="AH40" s="1">
        <v>1993</v>
      </c>
      <c r="AI40" s="1">
        <v>1993</v>
      </c>
      <c r="AJ40" s="1">
        <v>2018.5805555555501</v>
      </c>
      <c r="AK40" s="1">
        <v>0.27291281497053699</v>
      </c>
      <c r="AL40" s="1">
        <v>0.722936681967421</v>
      </c>
      <c r="AM40" s="1">
        <v>0.20749939390515201</v>
      </c>
      <c r="AN40" s="1">
        <v>1138.81668002643</v>
      </c>
      <c r="AO40" s="1">
        <v>411.44271314606601</v>
      </c>
      <c r="AP40" s="1">
        <v>727.37396688036597</v>
      </c>
      <c r="AQ40" s="1">
        <v>0.24224264282813901</v>
      </c>
      <c r="AR40" s="1">
        <v>655.44523292769895</v>
      </c>
      <c r="AS40" s="1">
        <v>1993.6988241095901</v>
      </c>
      <c r="AT40" s="1">
        <v>3814.3851961452901</v>
      </c>
      <c r="AU40" s="1">
        <v>126.058849390982</v>
      </c>
      <c r="AV40" s="1">
        <v>0.15695668619810199</v>
      </c>
      <c r="AW40" s="1">
        <v>290.68296620126398</v>
      </c>
      <c r="AX40" s="1">
        <v>2.8399999999999799</v>
      </c>
      <c r="AY40" s="1">
        <v>80.91</v>
      </c>
      <c r="AZ40" s="1">
        <v>16.25</v>
      </c>
      <c r="BA40" s="1">
        <v>97.16</v>
      </c>
      <c r="BB40" s="1">
        <v>2234.2913448617301</v>
      </c>
      <c r="BC40" s="1">
        <v>0.30111871490132902</v>
      </c>
      <c r="BD40" s="1">
        <v>0.33171372103566299</v>
      </c>
      <c r="BE40" s="1">
        <v>0.23429224140041299</v>
      </c>
      <c r="BF40" s="1">
        <v>0.28736762608277999</v>
      </c>
      <c r="BG40" s="1">
        <v>1.1174990715309501</v>
      </c>
      <c r="BH40" s="1">
        <v>0.10034014458771701</v>
      </c>
      <c r="BI40" s="1">
        <v>4.3243678364423204</v>
      </c>
      <c r="BJ40" s="1">
        <v>14.959329681102099</v>
      </c>
      <c r="BK40" s="1">
        <v>99.742524585010599</v>
      </c>
      <c r="BL40" s="1">
        <v>345.44118941292402</v>
      </c>
      <c r="BM40" s="1">
        <v>3220.1146461938401</v>
      </c>
      <c r="BN40" s="1">
        <v>71.363310924440398</v>
      </c>
      <c r="BO40" s="1">
        <v>0.24014605641855299</v>
      </c>
      <c r="BP40" s="1">
        <v>0.94690529620796704</v>
      </c>
      <c r="BQ40" s="1">
        <v>133.08537400769299</v>
      </c>
      <c r="BR40" s="1">
        <v>75.452383975908305</v>
      </c>
      <c r="BS40" s="1">
        <v>72.522909098708595</v>
      </c>
      <c r="BT40" s="1">
        <v>265.26479590513202</v>
      </c>
      <c r="BU40" s="1">
        <v>11.169910759187699</v>
      </c>
      <c r="BV40" s="1">
        <v>0.37483471662249102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 t="s">
        <v>31</v>
      </c>
      <c r="CC40" s="1">
        <v>0</v>
      </c>
      <c r="CD40" s="1">
        <v>0</v>
      </c>
      <c r="CE40" s="1">
        <v>0</v>
      </c>
      <c r="CF40" s="1">
        <v>4.09264771675589E-2</v>
      </c>
      <c r="CG40" s="1">
        <v>2.5970295309502098E-2</v>
      </c>
      <c r="CH40" s="1" t="s">
        <v>31</v>
      </c>
      <c r="CI40" s="1">
        <v>208.61339812154</v>
      </c>
      <c r="CJ40" s="1">
        <v>60.411615989313702</v>
      </c>
      <c r="CK40" s="1">
        <v>268.48939631248402</v>
      </c>
      <c r="CL40" s="1">
        <v>4.2811459725728501E-2</v>
      </c>
      <c r="CM40" s="1">
        <v>49.814710438650202</v>
      </c>
      <c r="CN40" s="1">
        <v>293.13667691427599</v>
      </c>
      <c r="CO40" s="1">
        <v>1267.6555710924099</v>
      </c>
      <c r="CP40" s="1">
        <v>60.0305543544183</v>
      </c>
      <c r="CQ40" s="1">
        <v>4.3052799773330701E-2</v>
      </c>
      <c r="CR40" s="1">
        <v>242.17798935293499</v>
      </c>
      <c r="CS40" s="1">
        <v>0</v>
      </c>
      <c r="CT40" s="1">
        <v>0</v>
      </c>
      <c r="CU40" s="1">
        <v>0</v>
      </c>
      <c r="CV40" s="1">
        <v>0</v>
      </c>
      <c r="CW40" s="1">
        <v>474.04081013437298</v>
      </c>
      <c r="CX40" s="1">
        <v>6.55667234823437E-2</v>
      </c>
      <c r="CY40" s="1">
        <v>0.111406342346586</v>
      </c>
      <c r="CZ40" s="1">
        <v>3.3187260181582502E-2</v>
      </c>
      <c r="DA40" s="1">
        <v>4.4177642538278501E-2</v>
      </c>
      <c r="DB40" s="1">
        <v>0.19377967987134401</v>
      </c>
      <c r="DC40" s="1">
        <v>3.4533436037223801E-2</v>
      </c>
      <c r="DD40" s="1">
        <v>0.38715743209140802</v>
      </c>
      <c r="DE40" s="1">
        <v>0.102168751576621</v>
      </c>
      <c r="DF40" s="1">
        <v>0.64349493629089205</v>
      </c>
      <c r="DG40" s="1">
        <v>4.32323608167553</v>
      </c>
      <c r="DH40" s="1">
        <v>41.089494221858303</v>
      </c>
      <c r="DI40" s="1">
        <v>0.25270176669017602</v>
      </c>
      <c r="DJ40" s="1">
        <v>3.2813043172773902E-3</v>
      </c>
      <c r="DK40" s="1">
        <v>7.6468380649729901E-3</v>
      </c>
      <c r="DL40" s="1">
        <v>2.31254055186107</v>
      </c>
      <c r="DM40" s="1">
        <v>1.0804203193987301</v>
      </c>
      <c r="DN40" s="1">
        <v>0.32843884889708702</v>
      </c>
      <c r="DO40" s="1">
        <v>2.3074596174627899</v>
      </c>
      <c r="DP40" s="1">
        <v>0.17084403447281701</v>
      </c>
      <c r="DQ40" s="1">
        <v>0.111791592436149</v>
      </c>
    </row>
    <row r="41" spans="1:121" x14ac:dyDescent="0.25">
      <c r="A41" s="1" t="s">
        <v>68</v>
      </c>
      <c r="B41" s="1">
        <v>3</v>
      </c>
      <c r="C41" s="1" t="s">
        <v>34</v>
      </c>
      <c r="D41" s="1" t="s">
        <v>69</v>
      </c>
      <c r="E41" s="1">
        <v>12.8722222222222</v>
      </c>
      <c r="F41" s="1">
        <v>4.3287730423837101E-2</v>
      </c>
      <c r="G41" s="1">
        <v>4.7533333333333303</v>
      </c>
      <c r="H41" s="1">
        <v>21.7</v>
      </c>
      <c r="I41" s="1" t="s">
        <v>31</v>
      </c>
      <c r="J41" s="1" t="s">
        <v>31</v>
      </c>
      <c r="K41" s="1" t="s">
        <v>31</v>
      </c>
      <c r="L41" s="1">
        <v>1.3888888888890999E-3</v>
      </c>
      <c r="M41" s="1">
        <v>7.2523917906564704E-3</v>
      </c>
      <c r="N41" s="1">
        <v>0.410040648391514</v>
      </c>
      <c r="O41" s="1">
        <v>0</v>
      </c>
      <c r="P41" s="1" t="s">
        <v>31</v>
      </c>
      <c r="Q41" s="1" t="s">
        <v>31</v>
      </c>
      <c r="R41" s="1" t="s">
        <v>31</v>
      </c>
      <c r="S41" s="1">
        <v>1.03E-2</v>
      </c>
      <c r="T41" s="1">
        <v>0</v>
      </c>
      <c r="U41" s="2">
        <v>5.1254134452228596E-4</v>
      </c>
      <c r="V41" s="2">
        <v>6.2522416906420802E-4</v>
      </c>
      <c r="W41" s="2">
        <v>3.99858519980364E-4</v>
      </c>
      <c r="X41" s="1" t="s">
        <v>55</v>
      </c>
      <c r="Y41" s="1">
        <v>25.580555555555499</v>
      </c>
      <c r="Z41" s="1">
        <v>0</v>
      </c>
      <c r="AA41" s="1" t="s">
        <v>46</v>
      </c>
      <c r="AB41" s="1">
        <v>10</v>
      </c>
      <c r="AC41" s="1">
        <v>0</v>
      </c>
      <c r="AD41" s="1">
        <v>0</v>
      </c>
      <c r="AE41" s="1">
        <v>0</v>
      </c>
      <c r="AF41" s="1">
        <v>10</v>
      </c>
      <c r="AG41" s="1" t="s">
        <v>31</v>
      </c>
      <c r="AH41" s="1">
        <v>1993</v>
      </c>
      <c r="AI41" s="1">
        <v>1993</v>
      </c>
      <c r="AJ41" s="1">
        <v>2018.5805555555501</v>
      </c>
      <c r="AK41" s="1">
        <v>0.27291281497053699</v>
      </c>
      <c r="AL41" s="1">
        <v>0.722936681967421</v>
      </c>
      <c r="AM41" s="1">
        <v>0.20749939390515201</v>
      </c>
      <c r="AN41" s="1">
        <v>1138.81668002643</v>
      </c>
      <c r="AO41" s="1">
        <v>411.44271314606601</v>
      </c>
      <c r="AP41" s="1">
        <v>727.37396688036597</v>
      </c>
      <c r="AQ41" s="1">
        <v>0.24224264282813901</v>
      </c>
      <c r="AR41" s="1">
        <v>655.44523292769895</v>
      </c>
      <c r="AS41" s="1">
        <v>1993.6988241095901</v>
      </c>
      <c r="AT41" s="1">
        <v>3814.3851961452901</v>
      </c>
      <c r="AU41" s="1">
        <v>126.058849390982</v>
      </c>
      <c r="AV41" s="1">
        <v>0.15695668619810199</v>
      </c>
      <c r="AW41" s="1">
        <v>290.68296620126398</v>
      </c>
      <c r="AX41" s="1">
        <v>2.8399999999999799</v>
      </c>
      <c r="AY41" s="1">
        <v>80.91</v>
      </c>
      <c r="AZ41" s="1">
        <v>16.25</v>
      </c>
      <c r="BA41" s="1">
        <v>97.16</v>
      </c>
      <c r="BB41" s="1">
        <v>2234.2913448617301</v>
      </c>
      <c r="BC41" s="1">
        <v>0.30111871490132902</v>
      </c>
      <c r="BD41" s="1">
        <v>0.33171372103566299</v>
      </c>
      <c r="BE41" s="1">
        <v>0.23429224140041299</v>
      </c>
      <c r="BF41" s="1">
        <v>0.28736762608277999</v>
      </c>
      <c r="BG41" s="1">
        <v>1.1174990715309501</v>
      </c>
      <c r="BH41" s="1">
        <v>0.10034014458771701</v>
      </c>
      <c r="BI41" s="1">
        <v>4.3243678364423204</v>
      </c>
      <c r="BJ41" s="1">
        <v>14.959329681102099</v>
      </c>
      <c r="BK41" s="1">
        <v>99.742524585010599</v>
      </c>
      <c r="BL41" s="1">
        <v>345.44118941292402</v>
      </c>
      <c r="BM41" s="1">
        <v>3220.1146461938401</v>
      </c>
      <c r="BN41" s="1">
        <v>71.363310924440398</v>
      </c>
      <c r="BO41" s="1">
        <v>0.24014605641855299</v>
      </c>
      <c r="BP41" s="1">
        <v>0.94690529620796704</v>
      </c>
      <c r="BQ41" s="1">
        <v>133.08537400769299</v>
      </c>
      <c r="BR41" s="1">
        <v>75.452383975908305</v>
      </c>
      <c r="BS41" s="1">
        <v>72.522909098708595</v>
      </c>
      <c r="BT41" s="1">
        <v>265.26479590513202</v>
      </c>
      <c r="BU41" s="1">
        <v>11.169910759187699</v>
      </c>
      <c r="BV41" s="1">
        <v>0.37483471662249102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 t="s">
        <v>31</v>
      </c>
      <c r="CC41" s="1">
        <v>0</v>
      </c>
      <c r="CD41" s="1">
        <v>0</v>
      </c>
      <c r="CE41" s="1">
        <v>0</v>
      </c>
      <c r="CF41" s="1">
        <v>4.09264771675589E-2</v>
      </c>
      <c r="CG41" s="1">
        <v>2.5970295309502098E-2</v>
      </c>
      <c r="CH41" s="1" t="s">
        <v>31</v>
      </c>
      <c r="CI41" s="1">
        <v>208.61339812154</v>
      </c>
      <c r="CJ41" s="1">
        <v>60.411615989313702</v>
      </c>
      <c r="CK41" s="1">
        <v>268.48939631248402</v>
      </c>
      <c r="CL41" s="1">
        <v>4.2811459725728501E-2</v>
      </c>
      <c r="CM41" s="1">
        <v>49.814710438650202</v>
      </c>
      <c r="CN41" s="1">
        <v>293.13667691427599</v>
      </c>
      <c r="CO41" s="1">
        <v>1267.6555710924099</v>
      </c>
      <c r="CP41" s="1">
        <v>60.0305543544183</v>
      </c>
      <c r="CQ41" s="1">
        <v>4.3052799773330701E-2</v>
      </c>
      <c r="CR41" s="1">
        <v>242.17798935293499</v>
      </c>
      <c r="CS41" s="1">
        <v>0</v>
      </c>
      <c r="CT41" s="1">
        <v>0</v>
      </c>
      <c r="CU41" s="1">
        <v>0</v>
      </c>
      <c r="CV41" s="1">
        <v>0</v>
      </c>
      <c r="CW41" s="1">
        <v>474.04081013437298</v>
      </c>
      <c r="CX41" s="1">
        <v>6.55667234823437E-2</v>
      </c>
      <c r="CY41" s="1">
        <v>0.111406342346586</v>
      </c>
      <c r="CZ41" s="1">
        <v>3.3187260181582502E-2</v>
      </c>
      <c r="DA41" s="1">
        <v>4.4177642538278501E-2</v>
      </c>
      <c r="DB41" s="1">
        <v>0.19377967987134401</v>
      </c>
      <c r="DC41" s="1">
        <v>3.4533436037223801E-2</v>
      </c>
      <c r="DD41" s="1">
        <v>0.38715743209140802</v>
      </c>
      <c r="DE41" s="1">
        <v>0.102168751576621</v>
      </c>
      <c r="DF41" s="1">
        <v>0.64349493629089205</v>
      </c>
      <c r="DG41" s="1">
        <v>4.32323608167553</v>
      </c>
      <c r="DH41" s="1">
        <v>41.089494221858303</v>
      </c>
      <c r="DI41" s="1">
        <v>0.25270176669017602</v>
      </c>
      <c r="DJ41" s="1">
        <v>3.2813043172773902E-3</v>
      </c>
      <c r="DK41" s="1">
        <v>7.6468380649729901E-3</v>
      </c>
      <c r="DL41" s="1">
        <v>2.31254055186107</v>
      </c>
      <c r="DM41" s="1">
        <v>1.0804203193987301</v>
      </c>
      <c r="DN41" s="1">
        <v>0.32843884889708702</v>
      </c>
      <c r="DO41" s="1">
        <v>2.3074596174627899</v>
      </c>
      <c r="DP41" s="1">
        <v>0.17084403447281701</v>
      </c>
      <c r="DQ41" s="1">
        <v>0.111791592436149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7"/>
  <sheetViews>
    <sheetView workbookViewId="0">
      <pane xSplit="4" ySplit="1" topLeftCell="AI26" activePane="bottomRight" state="frozen"/>
      <selection pane="topRight" activeCell="E1" sqref="E1"/>
      <selection pane="bottomLeft" activeCell="A2" sqref="A2"/>
      <selection pane="bottomRight" activeCell="AK2" sqref="AK2:AK47"/>
    </sheetView>
  </sheetViews>
  <sheetFormatPr defaultRowHeight="13.8" x14ac:dyDescent="0.25"/>
  <cols>
    <col min="1" max="2" width="8.796875" style="1"/>
    <col min="3" max="3" width="10.8984375" style="1" customWidth="1"/>
    <col min="4" max="4" width="9.3984375" style="1" customWidth="1"/>
    <col min="5" max="5" width="13.5" style="1" customWidth="1"/>
    <col min="6" max="6" width="15.3984375" style="1" customWidth="1"/>
    <col min="7" max="7" width="14.59765625" style="1" customWidth="1"/>
    <col min="8" max="8" width="14.296875" style="1" customWidth="1"/>
    <col min="9" max="9" width="10.59765625" style="1" customWidth="1"/>
    <col min="10" max="10" width="15.19921875" style="1" customWidth="1"/>
    <col min="11" max="11" width="16.09765625" style="1" customWidth="1"/>
    <col min="12" max="12" width="10.796875" style="1" customWidth="1"/>
    <col min="13" max="13" width="12.69921875" style="1" customWidth="1"/>
    <col min="14" max="14" width="11.8984375" style="1" customWidth="1"/>
    <col min="15" max="15" width="11.59765625" style="1" customWidth="1"/>
    <col min="16" max="16" width="8.796875" style="1"/>
    <col min="17" max="17" width="12.5" style="1" customWidth="1"/>
    <col min="18" max="18" width="13.3984375" style="1" customWidth="1"/>
    <col min="19" max="19" width="12.5" style="1" customWidth="1"/>
    <col min="20" max="20" width="8.796875" style="1"/>
    <col min="21" max="21" width="14.8984375" style="1" customWidth="1"/>
    <col min="22" max="23" width="14.69921875" style="1" customWidth="1"/>
    <col min="24" max="25" width="8.796875" style="1"/>
    <col min="26" max="26" width="13" style="1" customWidth="1"/>
    <col min="27" max="27" width="12.69921875" style="1" customWidth="1"/>
    <col min="28" max="28" width="15.09765625" style="1" customWidth="1"/>
    <col min="29" max="30" width="15" style="1" customWidth="1"/>
    <col min="31" max="31" width="15.09765625" style="1" customWidth="1"/>
    <col min="32" max="32" width="17.09765625" style="1" customWidth="1"/>
    <col min="33" max="33" width="15.796875" style="1" customWidth="1"/>
    <col min="34" max="34" width="16.296875" style="1" customWidth="1"/>
    <col min="35" max="35" width="20.8984375" style="1" customWidth="1"/>
    <col min="36" max="36" width="14.59765625" style="1" customWidth="1"/>
    <col min="37" max="37" width="10.69921875" style="1" customWidth="1"/>
    <col min="38" max="38" width="13.09765625" style="1" customWidth="1"/>
    <col min="39" max="39" width="13.5" style="1" customWidth="1"/>
    <col min="40" max="40" width="13.59765625" style="1" customWidth="1"/>
    <col min="41" max="41" width="13.3984375" style="1" customWidth="1"/>
    <col min="42" max="42" width="14" style="1" customWidth="1"/>
    <col min="43" max="43" width="11.09765625" style="1" customWidth="1"/>
    <col min="44" max="44" width="12.19921875" style="1" customWidth="1"/>
    <col min="45" max="45" width="12.8984375" style="1" customWidth="1"/>
    <col min="46" max="46" width="13.19921875" style="1" customWidth="1"/>
    <col min="47" max="47" width="13.796875" style="1" customWidth="1"/>
    <col min="48" max="48" width="14.59765625" style="1" customWidth="1"/>
    <col min="49" max="49" width="15.8984375" style="1" customWidth="1"/>
    <col min="50" max="50" width="12.296875" style="1" customWidth="1"/>
    <col min="51" max="51" width="10.69921875" style="1" customWidth="1"/>
    <col min="52" max="52" width="11.69921875" style="1" customWidth="1"/>
    <col min="53" max="53" width="12.296875" style="1" customWidth="1"/>
    <col min="54" max="55" width="14.69921875" style="1" customWidth="1"/>
    <col min="56" max="56" width="15.296875" style="1" customWidth="1"/>
    <col min="57" max="57" width="13.296875" style="1" customWidth="1"/>
    <col min="58" max="58" width="15" style="1" customWidth="1"/>
    <col min="59" max="59" width="16" style="1" customWidth="1"/>
    <col min="60" max="60" width="15.296875" style="1" customWidth="1"/>
    <col min="61" max="61" width="13" style="1" customWidth="1"/>
    <col min="62" max="62" width="16.3984375" style="1" customWidth="1"/>
    <col min="63" max="63" width="13.19921875" style="1" customWidth="1"/>
    <col min="64" max="64" width="14.59765625" style="1" customWidth="1"/>
    <col min="65" max="65" width="14.19921875" style="1" customWidth="1"/>
    <col min="66" max="66" width="13.69921875" style="1" customWidth="1"/>
    <col min="67" max="67" width="13.09765625" style="1" customWidth="1"/>
    <col min="68" max="68" width="14.296875" style="1" customWidth="1"/>
    <col min="69" max="69" width="14" style="1" customWidth="1"/>
    <col min="70" max="70" width="14.59765625" style="1" customWidth="1"/>
    <col min="71" max="71" width="14.19921875" style="1" customWidth="1"/>
    <col min="72" max="72" width="13.09765625" style="1" customWidth="1"/>
    <col min="73" max="73" width="14.09765625" style="1" customWidth="1"/>
    <col min="74" max="74" width="13" style="1" customWidth="1"/>
    <col min="75" max="75" width="12.3984375" style="1" customWidth="1"/>
    <col min="76" max="77" width="12.296875" style="1" customWidth="1"/>
    <col min="78" max="78" width="12.3984375" style="1" customWidth="1"/>
    <col min="79" max="79" width="14.3984375" style="1" customWidth="1"/>
    <col min="80" max="80" width="13.09765625" style="1" customWidth="1"/>
    <col min="81" max="81" width="13.59765625" style="1" customWidth="1"/>
    <col min="82" max="82" width="18.19921875" style="1" customWidth="1"/>
    <col min="83" max="83" width="11.8984375" style="1" customWidth="1"/>
    <col min="84" max="84" width="8.796875" style="1"/>
    <col min="85" max="85" width="10.3984375" style="1" customWidth="1"/>
    <col min="86" max="86" width="10.796875" style="1" customWidth="1"/>
    <col min="87" max="87" width="10.8984375" style="1" customWidth="1"/>
    <col min="88" max="88" width="10.69921875" style="1" customWidth="1"/>
    <col min="89" max="89" width="11.296875" style="1" customWidth="1"/>
    <col min="90" max="90" width="8.796875" style="1"/>
    <col min="91" max="91" width="9.5" style="1" customWidth="1"/>
    <col min="92" max="92" width="10.19921875" style="1" customWidth="1"/>
    <col min="93" max="93" width="10.5" style="1" customWidth="1"/>
    <col min="94" max="94" width="11.09765625" style="1" customWidth="1"/>
    <col min="95" max="95" width="11.8984375" style="1" customWidth="1"/>
    <col min="96" max="96" width="13.19921875" style="1" customWidth="1"/>
    <col min="97" max="97" width="9.59765625" style="1" customWidth="1"/>
    <col min="98" max="98" width="8.796875" style="1"/>
    <col min="99" max="99" width="9" style="1" customWidth="1"/>
    <col min="100" max="100" width="9.59765625" style="1" customWidth="1"/>
    <col min="101" max="102" width="12" style="1" customWidth="1"/>
    <col min="103" max="103" width="12.59765625" style="1" customWidth="1"/>
    <col min="104" max="104" width="10.59765625" style="1" customWidth="1"/>
    <col min="105" max="105" width="12.296875" style="1" customWidth="1"/>
    <col min="106" max="106" width="13.296875" style="1" customWidth="1"/>
    <col min="107" max="107" width="12.59765625" style="1" customWidth="1"/>
    <col min="108" max="108" width="10.296875" style="1" customWidth="1"/>
    <col min="109" max="109" width="13.69921875" style="1" customWidth="1"/>
    <col min="110" max="110" width="10.5" style="1" customWidth="1"/>
    <col min="111" max="111" width="11.8984375" style="1" customWidth="1"/>
    <col min="112" max="112" width="11.5" style="1" customWidth="1"/>
    <col min="113" max="113" width="11" style="1" customWidth="1"/>
    <col min="114" max="114" width="10.3984375" style="1" customWidth="1"/>
    <col min="115" max="115" width="11.59765625" style="1" customWidth="1"/>
    <col min="116" max="116" width="11.296875" style="1" customWidth="1"/>
    <col min="117" max="117" width="11.8984375" style="1" customWidth="1"/>
    <col min="118" max="118" width="11.5" style="1" customWidth="1"/>
    <col min="119" max="119" width="10.3984375" style="1" customWidth="1"/>
    <col min="120" max="120" width="11.3984375" style="1" customWidth="1"/>
    <col min="121" max="121" width="10.296875" style="1" customWidth="1"/>
    <col min="122" max="16384" width="8.796875" style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</row>
    <row r="2" spans="1:12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>
        <v>11.2552083333333</v>
      </c>
      <c r="F2" s="1">
        <v>1.7717274999999999</v>
      </c>
      <c r="G2" s="1">
        <v>0.59166666666666601</v>
      </c>
      <c r="H2" s="1">
        <v>19.05</v>
      </c>
      <c r="I2" s="1">
        <v>7.9233333333333302</v>
      </c>
      <c r="J2" s="1" t="s">
        <v>31</v>
      </c>
      <c r="K2" s="1" t="s">
        <v>31</v>
      </c>
      <c r="L2" s="1">
        <v>0.57624977404189304</v>
      </c>
      <c r="M2" s="1">
        <v>0.45097233042338603</v>
      </c>
      <c r="N2" s="1">
        <v>0.17724747294860499</v>
      </c>
      <c r="O2" s="1">
        <v>5.47722557505173E-2</v>
      </c>
      <c r="P2" s="1">
        <v>0.13203534880225501</v>
      </c>
      <c r="Q2" s="1" t="s">
        <v>31</v>
      </c>
      <c r="R2" s="1" t="s">
        <v>31</v>
      </c>
      <c r="S2" s="1">
        <v>5.0000000000000001E-3</v>
      </c>
      <c r="T2" s="1">
        <v>0</v>
      </c>
      <c r="U2" s="1">
        <v>3.1393954650624702E-2</v>
      </c>
      <c r="V2" s="1">
        <v>3.94075305359824E-2</v>
      </c>
      <c r="W2" s="1">
        <v>2.3380378765266999E-2</v>
      </c>
      <c r="X2" s="1" t="s">
        <v>32</v>
      </c>
      <c r="Y2" s="1">
        <v>3.5250000000000901</v>
      </c>
      <c r="Z2" s="1">
        <v>0.81818181818181801</v>
      </c>
      <c r="AA2" s="1" t="s">
        <v>33</v>
      </c>
      <c r="AB2" s="1">
        <v>2</v>
      </c>
      <c r="AC2" s="1">
        <v>9</v>
      </c>
      <c r="AD2" s="1">
        <v>0</v>
      </c>
      <c r="AE2" s="1">
        <v>0</v>
      </c>
      <c r="AF2" s="1">
        <v>11</v>
      </c>
      <c r="AG2" s="1">
        <v>2018</v>
      </c>
      <c r="AH2" s="1">
        <v>1993</v>
      </c>
      <c r="AI2" s="1">
        <v>2018</v>
      </c>
      <c r="AJ2" s="1">
        <v>2021.5250000000001</v>
      </c>
      <c r="AK2" s="1">
        <v>0.95080188351666595</v>
      </c>
      <c r="AL2" s="1">
        <v>0.286661461854963</v>
      </c>
      <c r="AM2" s="1">
        <v>16.560427349985702</v>
      </c>
      <c r="AN2" s="1">
        <v>1874.5626483053099</v>
      </c>
      <c r="AO2" s="1">
        <v>1575.6038478897699</v>
      </c>
      <c r="AP2" s="1">
        <v>298.95880041553698</v>
      </c>
      <c r="AQ2" s="1">
        <v>8.3136596765579496E-2</v>
      </c>
      <c r="AR2" s="1">
        <v>1106.59621319912</v>
      </c>
      <c r="AS2" s="1">
        <v>1028.98692230647</v>
      </c>
      <c r="AT2" s="1">
        <v>2825.4242881657601</v>
      </c>
      <c r="AU2" s="1">
        <v>116.372118483487</v>
      </c>
      <c r="AV2" s="1">
        <v>0.40155622273952701</v>
      </c>
      <c r="AW2" s="1">
        <v>-516.31294159955996</v>
      </c>
      <c r="AX2" s="1">
        <v>50.966666666666598</v>
      </c>
      <c r="AY2" s="1">
        <v>44.9</v>
      </c>
      <c r="AZ2" s="1">
        <v>4.2</v>
      </c>
      <c r="BA2" s="1">
        <v>49.033333333333303</v>
      </c>
      <c r="BB2" s="1">
        <v>1372.75179441758</v>
      </c>
      <c r="BC2" s="1">
        <v>0.80311244547905303</v>
      </c>
      <c r="BD2" s="1">
        <v>0.70598000963797802</v>
      </c>
      <c r="BE2" s="1">
        <v>0.434821283244198</v>
      </c>
      <c r="BF2" s="1">
        <v>0.93186245428469106</v>
      </c>
      <c r="BG2" s="1">
        <v>0.75709158740080695</v>
      </c>
      <c r="BH2" s="1">
        <v>0.57767446859622196</v>
      </c>
      <c r="BI2" s="1">
        <v>54.967321217754296</v>
      </c>
      <c r="BJ2" s="1">
        <v>60.241121639940097</v>
      </c>
      <c r="BK2" s="1">
        <v>303.34272447886201</v>
      </c>
      <c r="BL2" s="1">
        <v>238.48342414734299</v>
      </c>
      <c r="BM2" s="1">
        <v>2300.79408464062</v>
      </c>
      <c r="BN2" s="1">
        <v>8.8411463166672792</v>
      </c>
      <c r="BO2" s="1">
        <v>0.53986291936071296</v>
      </c>
      <c r="BP2" s="1">
        <v>0.85541159448287396</v>
      </c>
      <c r="BQ2" s="1">
        <v>6.1195115082673501</v>
      </c>
      <c r="BR2" s="1">
        <v>5.39002413291084</v>
      </c>
      <c r="BS2" s="1">
        <v>9.2350157408107201</v>
      </c>
      <c r="BT2" s="1">
        <v>9.3521073219381403</v>
      </c>
      <c r="BU2" s="1">
        <v>3.3061213337066802</v>
      </c>
      <c r="BV2" s="1">
        <v>0.84121183860089999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0.186937824736954</v>
      </c>
      <c r="CG2" s="1">
        <v>3.9862778439119999E-2</v>
      </c>
      <c r="CH2" s="1">
        <v>3.3676275036124101</v>
      </c>
      <c r="CI2" s="1">
        <v>178.102967904053</v>
      </c>
      <c r="CJ2" s="1">
        <v>132.69468324851201</v>
      </c>
      <c r="CK2" s="1">
        <v>61.137014054304899</v>
      </c>
      <c r="CL2" s="1">
        <v>1.55090337472752E-2</v>
      </c>
      <c r="CM2" s="1">
        <v>188.583488715931</v>
      </c>
      <c r="CN2" s="1">
        <v>61.949889135115399</v>
      </c>
      <c r="CO2" s="1">
        <v>159.61337116882501</v>
      </c>
      <c r="CP2" s="1">
        <v>16.384154242781801</v>
      </c>
      <c r="CQ2" s="1">
        <v>4.5253726186215697E-2</v>
      </c>
      <c r="CR2" s="1">
        <v>156.99029164084001</v>
      </c>
      <c r="CS2" s="1">
        <v>2.4110855093366799</v>
      </c>
      <c r="CT2" s="1">
        <v>2.45560583156173</v>
      </c>
      <c r="CU2" s="1">
        <v>0.69282032302755103</v>
      </c>
      <c r="CV2" s="1">
        <v>2.4110855093366799</v>
      </c>
      <c r="CW2" s="1">
        <v>78.630196830213094</v>
      </c>
      <c r="CX2" s="1">
        <v>9.0507452372434002E-2</v>
      </c>
      <c r="CY2" s="1">
        <v>8.3994593677331503E-2</v>
      </c>
      <c r="CZ2" s="1">
        <v>6.2273937126737199E-2</v>
      </c>
      <c r="DA2" s="1">
        <v>9.8112004272291303E-2</v>
      </c>
      <c r="DB2" s="1">
        <v>1.6667015491705399E-2</v>
      </c>
      <c r="DC2" s="1">
        <v>1.7576202793282199E-2</v>
      </c>
      <c r="DD2" s="1">
        <v>8.0401113765234893</v>
      </c>
      <c r="DE2" s="1">
        <v>9.4842697600601706</v>
      </c>
      <c r="DF2" s="1">
        <v>29.356333669832299</v>
      </c>
      <c r="DG2" s="1">
        <v>17.739210773564299</v>
      </c>
      <c r="DH2" s="1">
        <v>445.70535825149</v>
      </c>
      <c r="DI2" s="1">
        <v>1.54884807843115</v>
      </c>
      <c r="DJ2" s="1">
        <v>2.3874572500221899E-2</v>
      </c>
      <c r="DK2" s="1">
        <v>0.196431758813502</v>
      </c>
      <c r="DL2" s="1">
        <v>0.82020036025651899</v>
      </c>
      <c r="DM2" s="1">
        <v>0.20841836670311301</v>
      </c>
      <c r="DN2" s="1">
        <v>2.85307004445017</v>
      </c>
      <c r="DO2" s="1">
        <v>2.5102325821133502</v>
      </c>
      <c r="DP2" s="1">
        <v>0.76119547304467605</v>
      </c>
      <c r="DQ2" s="1">
        <v>2.2544596886365901E-2</v>
      </c>
    </row>
    <row r="3" spans="1:121" x14ac:dyDescent="0.25">
      <c r="A3" s="1" t="s">
        <v>27</v>
      </c>
      <c r="B3" s="1" t="s">
        <v>28</v>
      </c>
      <c r="C3" s="1" t="s">
        <v>34</v>
      </c>
      <c r="D3" s="1" t="s">
        <v>30</v>
      </c>
      <c r="E3" s="1">
        <v>11.2552083333333</v>
      </c>
      <c r="F3" s="1">
        <v>2.0961466666666602</v>
      </c>
      <c r="G3" s="1">
        <v>2.875</v>
      </c>
      <c r="H3" s="1">
        <v>19.05</v>
      </c>
      <c r="I3" s="1">
        <v>7.7033333333333296</v>
      </c>
      <c r="J3" s="1" t="s">
        <v>31</v>
      </c>
      <c r="K3" s="1" t="s">
        <v>31</v>
      </c>
      <c r="L3" s="1">
        <v>0.57624977404189304</v>
      </c>
      <c r="M3" s="1">
        <v>0.55657211429128095</v>
      </c>
      <c r="N3" s="1">
        <v>0.65329166533792504</v>
      </c>
      <c r="O3" s="1">
        <v>5.47722557505173E-2</v>
      </c>
      <c r="P3" s="1">
        <v>4.1633319989322598E-2</v>
      </c>
      <c r="Q3" s="1" t="s">
        <v>31</v>
      </c>
      <c r="R3" s="1" t="s">
        <v>31</v>
      </c>
      <c r="S3" s="1">
        <v>5.0000000000000001E-3</v>
      </c>
      <c r="T3" s="1">
        <v>0</v>
      </c>
      <c r="U3" s="1">
        <v>3.7158737621471503E-2</v>
      </c>
      <c r="V3" s="1">
        <v>4.70487742659811E-2</v>
      </c>
      <c r="W3" s="1">
        <v>2.72687009769619E-2</v>
      </c>
      <c r="X3" s="1" t="s">
        <v>32</v>
      </c>
      <c r="Y3" s="1">
        <v>3.5250000000000901</v>
      </c>
      <c r="Z3" s="1">
        <v>0.81818181818181801</v>
      </c>
      <c r="AA3" s="1" t="s">
        <v>33</v>
      </c>
      <c r="AB3" s="1">
        <v>2</v>
      </c>
      <c r="AC3" s="1">
        <v>9</v>
      </c>
      <c r="AD3" s="1">
        <v>0</v>
      </c>
      <c r="AE3" s="1">
        <v>0</v>
      </c>
      <c r="AF3" s="1">
        <v>11</v>
      </c>
      <c r="AG3" s="1">
        <v>2018</v>
      </c>
      <c r="AH3" s="1">
        <v>1993</v>
      </c>
      <c r="AI3" s="1">
        <v>2018</v>
      </c>
      <c r="AJ3" s="1">
        <v>2021.5250000000001</v>
      </c>
      <c r="AK3" s="1">
        <v>0.95080188351666595</v>
      </c>
      <c r="AL3" s="1">
        <v>0.286661461854963</v>
      </c>
      <c r="AM3" s="1">
        <v>16.560427349985702</v>
      </c>
      <c r="AN3" s="1">
        <v>1874.5626483053099</v>
      </c>
      <c r="AO3" s="1">
        <v>1575.6038478897699</v>
      </c>
      <c r="AP3" s="1">
        <v>298.95880041553698</v>
      </c>
      <c r="AQ3" s="1">
        <v>8.3136596765579496E-2</v>
      </c>
      <c r="AR3" s="1">
        <v>1106.59621319912</v>
      </c>
      <c r="AS3" s="1">
        <v>1028.98692230647</v>
      </c>
      <c r="AT3" s="1">
        <v>2825.4242881657601</v>
      </c>
      <c r="AU3" s="1">
        <v>116.372118483487</v>
      </c>
      <c r="AV3" s="1">
        <v>0.40155622273952701</v>
      </c>
      <c r="AW3" s="1">
        <v>-516.31294159955996</v>
      </c>
      <c r="AX3" s="1">
        <v>50.966666666666598</v>
      </c>
      <c r="AY3" s="1">
        <v>44.9</v>
      </c>
      <c r="AZ3" s="1">
        <v>4.2</v>
      </c>
      <c r="BA3" s="1">
        <v>49.033333333333303</v>
      </c>
      <c r="BB3" s="1">
        <v>1372.75179441758</v>
      </c>
      <c r="BC3" s="1">
        <v>0.80311244547905303</v>
      </c>
      <c r="BD3" s="1">
        <v>0.70598000963797802</v>
      </c>
      <c r="BE3" s="1">
        <v>0.434821283244198</v>
      </c>
      <c r="BF3" s="1">
        <v>0.93186245428469106</v>
      </c>
      <c r="BG3" s="1">
        <v>0.75709158740080695</v>
      </c>
      <c r="BH3" s="1">
        <v>0.57767446859622196</v>
      </c>
      <c r="BI3" s="1">
        <v>54.967321217754296</v>
      </c>
      <c r="BJ3" s="1">
        <v>60.241121639940097</v>
      </c>
      <c r="BK3" s="1">
        <v>303.34272447886201</v>
      </c>
      <c r="BL3" s="1">
        <v>238.48342414734299</v>
      </c>
      <c r="BM3" s="1">
        <v>2300.79408464062</v>
      </c>
      <c r="BN3" s="1">
        <v>8.8411463166672792</v>
      </c>
      <c r="BO3" s="1">
        <v>0.53986291936071296</v>
      </c>
      <c r="BP3" s="1">
        <v>0.85541159448287396</v>
      </c>
      <c r="BQ3" s="1">
        <v>6.1195115082673501</v>
      </c>
      <c r="BR3" s="1">
        <v>5.39002413291084</v>
      </c>
      <c r="BS3" s="1">
        <v>9.2350157408107201</v>
      </c>
      <c r="BT3" s="1">
        <v>9.3521073219381403</v>
      </c>
      <c r="BU3" s="1">
        <v>3.3061213337066802</v>
      </c>
      <c r="BV3" s="1">
        <v>0.84121183860089999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0.186937824736954</v>
      </c>
      <c r="CG3" s="1">
        <v>3.9862778439119999E-2</v>
      </c>
      <c r="CH3" s="1">
        <v>3.3676275036124101</v>
      </c>
      <c r="CI3" s="1">
        <v>178.102967904053</v>
      </c>
      <c r="CJ3" s="1">
        <v>132.69468324851201</v>
      </c>
      <c r="CK3" s="1">
        <v>61.137014054304899</v>
      </c>
      <c r="CL3" s="1">
        <v>1.55090337472752E-2</v>
      </c>
      <c r="CM3" s="1">
        <v>188.583488715931</v>
      </c>
      <c r="CN3" s="1">
        <v>61.949889135115399</v>
      </c>
      <c r="CO3" s="1">
        <v>159.61337116882501</v>
      </c>
      <c r="CP3" s="1">
        <v>16.384154242781801</v>
      </c>
      <c r="CQ3" s="1">
        <v>4.5253726186215697E-2</v>
      </c>
      <c r="CR3" s="1">
        <v>156.99029164084001</v>
      </c>
      <c r="CS3" s="1">
        <v>2.4110855093366799</v>
      </c>
      <c r="CT3" s="1">
        <v>2.45560583156173</v>
      </c>
      <c r="CU3" s="1">
        <v>0.69282032302755103</v>
      </c>
      <c r="CV3" s="1">
        <v>2.4110855093366799</v>
      </c>
      <c r="CW3" s="1">
        <v>78.630196830213094</v>
      </c>
      <c r="CX3" s="1">
        <v>9.0507452372434002E-2</v>
      </c>
      <c r="CY3" s="1">
        <v>8.3994593677331503E-2</v>
      </c>
      <c r="CZ3" s="1">
        <v>6.2273937126737199E-2</v>
      </c>
      <c r="DA3" s="1">
        <v>9.8112004272291303E-2</v>
      </c>
      <c r="DB3" s="1">
        <v>1.6667015491705399E-2</v>
      </c>
      <c r="DC3" s="1">
        <v>1.7576202793282199E-2</v>
      </c>
      <c r="DD3" s="1">
        <v>8.0401113765234893</v>
      </c>
      <c r="DE3" s="1">
        <v>9.4842697600601706</v>
      </c>
      <c r="DF3" s="1">
        <v>29.356333669832299</v>
      </c>
      <c r="DG3" s="1">
        <v>17.739210773564299</v>
      </c>
      <c r="DH3" s="1">
        <v>445.70535825149</v>
      </c>
      <c r="DI3" s="1">
        <v>1.54884807843115</v>
      </c>
      <c r="DJ3" s="1">
        <v>2.3874572500221899E-2</v>
      </c>
      <c r="DK3" s="1">
        <v>0.196431758813502</v>
      </c>
      <c r="DL3" s="1">
        <v>0.82020036025651899</v>
      </c>
      <c r="DM3" s="1">
        <v>0.20841836670311301</v>
      </c>
      <c r="DN3" s="1">
        <v>2.85307004445017</v>
      </c>
      <c r="DO3" s="1">
        <v>2.5102325821133502</v>
      </c>
      <c r="DP3" s="1">
        <v>0.76119547304467605</v>
      </c>
      <c r="DQ3" s="1">
        <v>2.2544596886365901E-2</v>
      </c>
    </row>
    <row r="4" spans="1:121" x14ac:dyDescent="0.25">
      <c r="A4" s="1" t="s">
        <v>35</v>
      </c>
      <c r="B4" s="1">
        <v>2</v>
      </c>
      <c r="C4" s="1" t="s">
        <v>29</v>
      </c>
      <c r="D4" s="1" t="s">
        <v>36</v>
      </c>
      <c r="E4" s="1">
        <v>11.8541666666666</v>
      </c>
      <c r="F4" s="1">
        <v>0.68082666666666602</v>
      </c>
      <c r="G4" s="1">
        <v>0.56999999999999995</v>
      </c>
      <c r="H4" s="1">
        <v>20.933333333333302</v>
      </c>
      <c r="I4" s="1">
        <v>8.7733333333333299</v>
      </c>
      <c r="J4" s="1">
        <v>42.133333333333297</v>
      </c>
      <c r="K4" s="1">
        <v>408.33333333333297</v>
      </c>
      <c r="L4" s="1">
        <v>1.0041580220927999</v>
      </c>
      <c r="M4" s="1">
        <v>7.5725788922048703E-2</v>
      </c>
      <c r="N4" s="1">
        <v>0.27121946832777299</v>
      </c>
      <c r="O4" s="1">
        <v>0.25819888974716099</v>
      </c>
      <c r="P4" s="1">
        <v>3.5118845842842597E-2</v>
      </c>
      <c r="Q4" s="1">
        <v>92.404022278975106</v>
      </c>
      <c r="R4" s="1">
        <v>51.788447875306403</v>
      </c>
      <c r="S4" s="1">
        <v>5.0000000000000001E-3</v>
      </c>
      <c r="T4" s="1">
        <v>0</v>
      </c>
      <c r="U4" s="1">
        <v>1.14023479789103E-2</v>
      </c>
      <c r="V4" s="1">
        <v>1.2679971131198E-2</v>
      </c>
      <c r="W4" s="1">
        <v>1.0124724826622701E-2</v>
      </c>
      <c r="X4" s="1" t="s">
        <v>37</v>
      </c>
      <c r="Y4" s="1">
        <v>0</v>
      </c>
      <c r="Z4" s="1">
        <v>1</v>
      </c>
      <c r="AA4" s="1" t="s">
        <v>33</v>
      </c>
      <c r="AB4" s="1">
        <v>0</v>
      </c>
      <c r="AC4" s="1">
        <v>13</v>
      </c>
      <c r="AD4" s="1">
        <v>0</v>
      </c>
      <c r="AE4" s="1">
        <v>0</v>
      </c>
      <c r="AF4" s="1">
        <v>13</v>
      </c>
      <c r="AG4" s="1">
        <v>2020</v>
      </c>
      <c r="AH4" s="1" t="s">
        <v>31</v>
      </c>
      <c r="AI4" s="1">
        <v>2020</v>
      </c>
      <c r="AJ4" s="1">
        <v>2019.5833333333301</v>
      </c>
      <c r="AK4" s="1">
        <v>0.94280383248900601</v>
      </c>
      <c r="AL4" s="1">
        <v>0.13514069875426801</v>
      </c>
      <c r="AM4" s="1">
        <v>13.528444877776099</v>
      </c>
      <c r="AN4" s="1">
        <v>1508.5153684684899</v>
      </c>
      <c r="AO4" s="1">
        <v>1214.67987765319</v>
      </c>
      <c r="AP4" s="1">
        <v>293.83549081528503</v>
      </c>
      <c r="AQ4" s="1">
        <v>3.9469455401219197E-2</v>
      </c>
      <c r="AR4" s="1">
        <v>846.98785886077303</v>
      </c>
      <c r="AS4" s="1">
        <v>636.15147539048996</v>
      </c>
      <c r="AT4" s="1">
        <v>2374.1512617357898</v>
      </c>
      <c r="AU4" s="1">
        <v>241.90479011441499</v>
      </c>
      <c r="AV4" s="1">
        <v>0.415130085976957</v>
      </c>
      <c r="AW4" s="1">
        <v>-407.38629339753902</v>
      </c>
      <c r="AX4" s="1">
        <v>53.329999999999899</v>
      </c>
      <c r="AY4" s="1">
        <v>40.42</v>
      </c>
      <c r="AZ4" s="1">
        <v>6.25</v>
      </c>
      <c r="BA4" s="1">
        <v>46.670000000000101</v>
      </c>
      <c r="BB4" s="1">
        <v>1022.32922200752</v>
      </c>
      <c r="BC4" s="1">
        <v>0.830260171953913</v>
      </c>
      <c r="BD4" s="1">
        <v>0.64618996314503796</v>
      </c>
      <c r="BE4" s="1">
        <v>0.19968560277943401</v>
      </c>
      <c r="BF4" s="1">
        <v>1.1618589998205799</v>
      </c>
      <c r="BG4" s="1">
        <v>0.55663214009127604</v>
      </c>
      <c r="BH4" s="1">
        <v>0.59677719779118199</v>
      </c>
      <c r="BI4" s="1">
        <v>214.864285501724</v>
      </c>
      <c r="BJ4" s="1">
        <v>215.264071221058</v>
      </c>
      <c r="BK4" s="1">
        <v>236.66207187574699</v>
      </c>
      <c r="BL4" s="1">
        <v>123.820570646344</v>
      </c>
      <c r="BM4" s="1">
        <v>2455.3859884387698</v>
      </c>
      <c r="BN4" s="1">
        <v>4.4890000111594803</v>
      </c>
      <c r="BO4" s="1">
        <v>0.36971428624568903</v>
      </c>
      <c r="BP4" s="1">
        <v>0.403285717474136</v>
      </c>
      <c r="BQ4" s="1">
        <v>2.6208571412629298</v>
      </c>
      <c r="BR4" s="1">
        <v>11.0703571468426</v>
      </c>
      <c r="BS4" s="1">
        <v>17.932285524043099</v>
      </c>
      <c r="BT4" s="1">
        <v>33.041356596308297</v>
      </c>
      <c r="BU4" s="1">
        <v>2.9610000074396399</v>
      </c>
      <c r="BV4" s="1">
        <v>0.80723511276970705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31</v>
      </c>
      <c r="CD4" s="1">
        <v>0</v>
      </c>
      <c r="CE4" s="1">
        <v>0</v>
      </c>
      <c r="CF4" s="1">
        <v>1.67843667165068E-2</v>
      </c>
      <c r="CG4" s="1">
        <v>4.8207647651696203E-2</v>
      </c>
      <c r="CH4" s="1">
        <v>2.10939097751465</v>
      </c>
      <c r="CI4" s="1">
        <v>108.117899378685</v>
      </c>
      <c r="CJ4" s="1">
        <v>28.2125616906525</v>
      </c>
      <c r="CK4" s="1">
        <v>85.039533642008195</v>
      </c>
      <c r="CL4" s="1">
        <v>3.1123844498527399E-3</v>
      </c>
      <c r="CM4" s="1">
        <v>46.610516714531897</v>
      </c>
      <c r="CN4" s="1">
        <v>43.180090068808603</v>
      </c>
      <c r="CO4" s="1">
        <v>206.096083410858</v>
      </c>
      <c r="CP4" s="1">
        <v>9.4241827037200796</v>
      </c>
      <c r="CQ4" s="1">
        <v>1.5278796833423701E-2</v>
      </c>
      <c r="CR4" s="1">
        <v>21.6609840779564</v>
      </c>
      <c r="CS4" s="1">
        <v>0</v>
      </c>
      <c r="CT4" s="1">
        <v>0</v>
      </c>
      <c r="CU4" s="1">
        <v>0</v>
      </c>
      <c r="CV4" s="1">
        <v>0</v>
      </c>
      <c r="CW4" s="1">
        <v>81.7812386737357</v>
      </c>
      <c r="CX4" s="1">
        <v>3.0557593666847599E-2</v>
      </c>
      <c r="CY4" s="1">
        <v>2.73425977984087E-2</v>
      </c>
      <c r="CZ4" s="1">
        <v>7.706968243831E-2</v>
      </c>
      <c r="DA4" s="1">
        <v>3.4873576937810902E-2</v>
      </c>
      <c r="DB4" s="1">
        <v>1.2167479694564901E-2</v>
      </c>
      <c r="DC4" s="1">
        <v>4.7294092595740599E-2</v>
      </c>
      <c r="DD4" s="1">
        <v>0.19688985991122099</v>
      </c>
      <c r="DE4" s="1">
        <v>0.192213725738347</v>
      </c>
      <c r="DF4" s="1">
        <v>0.41420704278820702</v>
      </c>
      <c r="DG4" s="1">
        <v>0.72455468447330496</v>
      </c>
      <c r="DH4" s="1">
        <v>10.7088394805708</v>
      </c>
      <c r="DI4" s="1">
        <v>1.03367176453385E-2</v>
      </c>
      <c r="DJ4" s="2">
        <v>4.9222464977802401E-4</v>
      </c>
      <c r="DK4" s="1">
        <v>2.9533478986681501E-3</v>
      </c>
      <c r="DL4" s="1">
        <v>1.4766739493342099E-3</v>
      </c>
      <c r="DM4" s="1">
        <v>3.6916848733347298E-3</v>
      </c>
      <c r="DN4" s="1">
        <v>0.17621642462053499</v>
      </c>
      <c r="DO4" s="1">
        <v>0.50625305229670603</v>
      </c>
      <c r="DP4" s="1">
        <v>6.8911450968929203E-3</v>
      </c>
      <c r="DQ4" s="1">
        <v>4.3738004950293598E-2</v>
      </c>
    </row>
    <row r="5" spans="1:121" x14ac:dyDescent="0.25">
      <c r="A5" s="1" t="s">
        <v>35</v>
      </c>
      <c r="B5" s="1">
        <v>2</v>
      </c>
      <c r="C5" s="1" t="s">
        <v>34</v>
      </c>
      <c r="D5" s="1" t="s">
        <v>36</v>
      </c>
      <c r="E5" s="1">
        <v>11.8541666666666</v>
      </c>
      <c r="F5" s="1">
        <v>0.63131816666666596</v>
      </c>
      <c r="G5" s="1">
        <v>7.2666666666666604</v>
      </c>
      <c r="H5" s="1">
        <v>20.9</v>
      </c>
      <c r="I5" s="1">
        <v>8.1866666666666603</v>
      </c>
      <c r="J5" s="1">
        <v>251.433333333333</v>
      </c>
      <c r="K5" s="1">
        <v>480.96666666666601</v>
      </c>
      <c r="L5" s="1">
        <v>1.0041580220927999</v>
      </c>
      <c r="M5" s="1">
        <v>0.21465677147895099</v>
      </c>
      <c r="N5" s="1">
        <v>0.81845382683854895</v>
      </c>
      <c r="O5" s="1">
        <v>0.21908902300206701</v>
      </c>
      <c r="P5" s="1">
        <v>3.7859388972002E-2</v>
      </c>
      <c r="Q5" s="1">
        <v>0.55075705472860403</v>
      </c>
      <c r="R5" s="1">
        <v>37.364466185579701</v>
      </c>
      <c r="S5" s="1">
        <v>5.0000000000000001E-3</v>
      </c>
      <c r="T5" s="1">
        <v>0</v>
      </c>
      <c r="U5" s="1">
        <v>1.0567055184534199E-2</v>
      </c>
      <c r="V5" s="1">
        <v>1.41886808544779E-2</v>
      </c>
      <c r="W5" s="1">
        <v>6.9454295145906196E-3</v>
      </c>
      <c r="X5" s="1" t="s">
        <v>37</v>
      </c>
      <c r="Y5" s="1">
        <v>0</v>
      </c>
      <c r="Z5" s="1">
        <v>1</v>
      </c>
      <c r="AA5" s="1" t="s">
        <v>33</v>
      </c>
      <c r="AB5" s="1">
        <v>0</v>
      </c>
      <c r="AC5" s="1">
        <v>13</v>
      </c>
      <c r="AD5" s="1">
        <v>0</v>
      </c>
      <c r="AE5" s="1">
        <v>0</v>
      </c>
      <c r="AF5" s="1">
        <v>13</v>
      </c>
      <c r="AG5" s="1">
        <v>2020</v>
      </c>
      <c r="AH5" s="1" t="s">
        <v>31</v>
      </c>
      <c r="AI5" s="1">
        <v>2020</v>
      </c>
      <c r="AJ5" s="1">
        <v>2019.5833333333301</v>
      </c>
      <c r="AK5" s="1">
        <v>0.94280383248900601</v>
      </c>
      <c r="AL5" s="1">
        <v>0.13514069875426801</v>
      </c>
      <c r="AM5" s="1">
        <v>13.528444877776099</v>
      </c>
      <c r="AN5" s="1">
        <v>1508.5153684684899</v>
      </c>
      <c r="AO5" s="1">
        <v>1214.67987765319</v>
      </c>
      <c r="AP5" s="1">
        <v>293.83549081528503</v>
      </c>
      <c r="AQ5" s="1">
        <v>3.9469455401219197E-2</v>
      </c>
      <c r="AR5" s="1">
        <v>846.98785886077303</v>
      </c>
      <c r="AS5" s="1">
        <v>636.15147539048996</v>
      </c>
      <c r="AT5" s="1">
        <v>2374.1512617357898</v>
      </c>
      <c r="AU5" s="1">
        <v>241.90479011441499</v>
      </c>
      <c r="AV5" s="1">
        <v>0.415130085976957</v>
      </c>
      <c r="AW5" s="1">
        <v>-407.38629339753902</v>
      </c>
      <c r="AX5" s="1">
        <v>53.329999999999899</v>
      </c>
      <c r="AY5" s="1">
        <v>40.42</v>
      </c>
      <c r="AZ5" s="1">
        <v>6.25</v>
      </c>
      <c r="BA5" s="1">
        <v>46.670000000000101</v>
      </c>
      <c r="BB5" s="1">
        <v>1022.32922200752</v>
      </c>
      <c r="BC5" s="1">
        <v>0.830260171953913</v>
      </c>
      <c r="BD5" s="1">
        <v>0.64618996314503796</v>
      </c>
      <c r="BE5" s="1">
        <v>0.19968560277943401</v>
      </c>
      <c r="BF5" s="1">
        <v>1.1618589998205799</v>
      </c>
      <c r="BG5" s="1">
        <v>0.55663214009127604</v>
      </c>
      <c r="BH5" s="1">
        <v>0.59677719779118199</v>
      </c>
      <c r="BI5" s="1">
        <v>214.864285501724</v>
      </c>
      <c r="BJ5" s="1">
        <v>215.264071221058</v>
      </c>
      <c r="BK5" s="1">
        <v>236.66207187574699</v>
      </c>
      <c r="BL5" s="1">
        <v>123.820570646344</v>
      </c>
      <c r="BM5" s="1">
        <v>2455.3859884387698</v>
      </c>
      <c r="BN5" s="1">
        <v>4.4890000111594803</v>
      </c>
      <c r="BO5" s="1">
        <v>0.36971428624568903</v>
      </c>
      <c r="BP5" s="1">
        <v>0.403285717474136</v>
      </c>
      <c r="BQ5" s="1">
        <v>2.6208571412629298</v>
      </c>
      <c r="BR5" s="1">
        <v>11.0703571468426</v>
      </c>
      <c r="BS5" s="1">
        <v>17.932285524043099</v>
      </c>
      <c r="BT5" s="1">
        <v>33.041356596308297</v>
      </c>
      <c r="BU5" s="1">
        <v>2.9610000074396399</v>
      </c>
      <c r="BV5" s="1">
        <v>0.80723511276970705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 t="s">
        <v>31</v>
      </c>
      <c r="CD5" s="1">
        <v>0</v>
      </c>
      <c r="CE5" s="1">
        <v>0</v>
      </c>
      <c r="CF5" s="1">
        <v>1.67843667165068E-2</v>
      </c>
      <c r="CG5" s="1">
        <v>4.8207647651696203E-2</v>
      </c>
      <c r="CH5" s="1">
        <v>2.10939097751465</v>
      </c>
      <c r="CI5" s="1">
        <v>108.117899378685</v>
      </c>
      <c r="CJ5" s="1">
        <v>28.2125616906525</v>
      </c>
      <c r="CK5" s="1">
        <v>85.039533642008195</v>
      </c>
      <c r="CL5" s="1">
        <v>3.1123844498527399E-3</v>
      </c>
      <c r="CM5" s="1">
        <v>46.610516714531897</v>
      </c>
      <c r="CN5" s="1">
        <v>43.180090068808603</v>
      </c>
      <c r="CO5" s="1">
        <v>206.096083410858</v>
      </c>
      <c r="CP5" s="1">
        <v>9.4241827037200796</v>
      </c>
      <c r="CQ5" s="1">
        <v>1.5278796833423701E-2</v>
      </c>
      <c r="CR5" s="1">
        <v>21.6609840779564</v>
      </c>
      <c r="CS5" s="1">
        <v>0</v>
      </c>
      <c r="CT5" s="1">
        <v>0</v>
      </c>
      <c r="CU5" s="1">
        <v>0</v>
      </c>
      <c r="CV5" s="1">
        <v>0</v>
      </c>
      <c r="CW5" s="1">
        <v>81.7812386737357</v>
      </c>
      <c r="CX5" s="1">
        <v>3.0557593666847599E-2</v>
      </c>
      <c r="CY5" s="1">
        <v>2.73425977984087E-2</v>
      </c>
      <c r="CZ5" s="1">
        <v>7.706968243831E-2</v>
      </c>
      <c r="DA5" s="1">
        <v>3.4873576937810902E-2</v>
      </c>
      <c r="DB5" s="1">
        <v>1.2167479694564901E-2</v>
      </c>
      <c r="DC5" s="1">
        <v>4.7294092595740599E-2</v>
      </c>
      <c r="DD5" s="1">
        <v>0.19688985991122099</v>
      </c>
      <c r="DE5" s="1">
        <v>0.192213725738347</v>
      </c>
      <c r="DF5" s="1">
        <v>0.41420704278820702</v>
      </c>
      <c r="DG5" s="1">
        <v>0.72455468447330496</v>
      </c>
      <c r="DH5" s="1">
        <v>10.7088394805708</v>
      </c>
      <c r="DI5" s="1">
        <v>1.03367176453385E-2</v>
      </c>
      <c r="DJ5" s="2">
        <v>4.9222464977802401E-4</v>
      </c>
      <c r="DK5" s="1">
        <v>2.9533478986681501E-3</v>
      </c>
      <c r="DL5" s="1">
        <v>1.4766739493342099E-3</v>
      </c>
      <c r="DM5" s="1">
        <v>3.6916848733347298E-3</v>
      </c>
      <c r="DN5" s="1">
        <v>0.17621642462053499</v>
      </c>
      <c r="DO5" s="1">
        <v>0.50625305229670603</v>
      </c>
      <c r="DP5" s="1">
        <v>6.8911450968929203E-3</v>
      </c>
      <c r="DQ5" s="1">
        <v>4.3738004950293598E-2</v>
      </c>
    </row>
    <row r="6" spans="1:121" x14ac:dyDescent="0.25">
      <c r="A6" s="1" t="s">
        <v>35</v>
      </c>
      <c r="B6" s="1" t="s">
        <v>28</v>
      </c>
      <c r="C6" s="1" t="s">
        <v>29</v>
      </c>
      <c r="D6" s="1" t="s">
        <v>38</v>
      </c>
      <c r="E6" s="1">
        <v>11.283333333333299</v>
      </c>
      <c r="F6" s="1">
        <v>8.0335199999999996E-2</v>
      </c>
      <c r="G6" s="1">
        <v>0.56599999999999995</v>
      </c>
      <c r="H6" s="1">
        <v>20.22</v>
      </c>
      <c r="I6" s="1">
        <v>7.4980000000000002</v>
      </c>
      <c r="J6" s="1" t="s">
        <v>31</v>
      </c>
      <c r="K6" s="1" t="s">
        <v>31</v>
      </c>
      <c r="L6" s="1">
        <v>0.54962437194094704</v>
      </c>
      <c r="M6" s="1">
        <v>2.68992356712974E-2</v>
      </c>
      <c r="N6" s="1">
        <v>0.13612494260788499</v>
      </c>
      <c r="O6" s="1">
        <v>0.109544511501032</v>
      </c>
      <c r="P6" s="1">
        <v>0.33003030163910702</v>
      </c>
      <c r="Q6" s="1" t="s">
        <v>31</v>
      </c>
      <c r="R6" s="1" t="s">
        <v>31</v>
      </c>
      <c r="S6" s="1">
        <v>5.0000000000000001E-3</v>
      </c>
      <c r="T6" s="1">
        <v>0</v>
      </c>
      <c r="U6" s="1">
        <v>1.33533589364844E-3</v>
      </c>
      <c r="V6" s="1">
        <v>1.81213179919581E-3</v>
      </c>
      <c r="W6" s="2">
        <v>8.58539988101079E-4</v>
      </c>
      <c r="X6" s="1" t="s">
        <v>37</v>
      </c>
      <c r="Y6" s="1">
        <v>9.4472222222222992</v>
      </c>
      <c r="Z6" s="1">
        <v>0.58333333333333304</v>
      </c>
      <c r="AA6" s="1" t="s">
        <v>39</v>
      </c>
      <c r="AB6" s="1">
        <v>5</v>
      </c>
      <c r="AC6" s="1">
        <v>7</v>
      </c>
      <c r="AD6" s="1">
        <v>0</v>
      </c>
      <c r="AE6" s="1">
        <v>0</v>
      </c>
      <c r="AF6" s="1">
        <v>12</v>
      </c>
      <c r="AG6" s="1">
        <v>2012</v>
      </c>
      <c r="AH6" s="1">
        <v>2008</v>
      </c>
      <c r="AI6" s="1">
        <v>2012</v>
      </c>
      <c r="AJ6" s="1">
        <v>2021.44722222222</v>
      </c>
      <c r="AK6" s="1">
        <v>1.06654954186666</v>
      </c>
      <c r="AL6" s="1">
        <v>0.19062613837296799</v>
      </c>
      <c r="AM6" s="1">
        <v>0.50904130179151996</v>
      </c>
      <c r="AN6" s="1">
        <v>982.85928904782895</v>
      </c>
      <c r="AO6" s="1">
        <v>718.88267657367498</v>
      </c>
      <c r="AP6" s="1">
        <v>263.97661247415601</v>
      </c>
      <c r="AQ6" s="1">
        <v>5.0274943009140899E-2</v>
      </c>
      <c r="AR6" s="1">
        <v>384.89558543678697</v>
      </c>
      <c r="AS6" s="1">
        <v>910.96999496138596</v>
      </c>
      <c r="AT6" s="1">
        <v>3648.8038572712699</v>
      </c>
      <c r="AU6" s="1">
        <v>346.87117596367301</v>
      </c>
      <c r="AV6" s="1">
        <v>0.125760600638884</v>
      </c>
      <c r="AW6" s="1">
        <v>274.25186102791997</v>
      </c>
      <c r="AX6" s="1">
        <v>30.933333333333302</v>
      </c>
      <c r="AY6" s="1">
        <v>62.433333333333302</v>
      </c>
      <c r="AZ6" s="1">
        <v>6.7</v>
      </c>
      <c r="BA6" s="1">
        <v>69.066666666666606</v>
      </c>
      <c r="BB6" s="1">
        <v>1532.9010382900101</v>
      </c>
      <c r="BC6" s="1">
        <v>0.251521201277768</v>
      </c>
      <c r="BD6" s="1">
        <v>0.19085790722343099</v>
      </c>
      <c r="BE6" s="1">
        <v>0.36716045216527898</v>
      </c>
      <c r="BF6" s="1">
        <v>0.36880482539750697</v>
      </c>
      <c r="BG6" s="1">
        <v>0.51783715276521103</v>
      </c>
      <c r="BH6" s="1">
        <v>0.234810941967799</v>
      </c>
      <c r="BI6" s="1">
        <v>0.90942324468124602</v>
      </c>
      <c r="BJ6" s="1">
        <v>2.6212123085277099</v>
      </c>
      <c r="BK6" s="1">
        <v>53.882502976028199</v>
      </c>
      <c r="BL6" s="1">
        <v>98.240206825834605</v>
      </c>
      <c r="BM6" s="1">
        <v>874.61803082590302</v>
      </c>
      <c r="BN6" s="1">
        <v>25.510431389705701</v>
      </c>
      <c r="BO6" s="1">
        <v>0.12852325370642201</v>
      </c>
      <c r="BP6" s="1">
        <v>0.68737455211785403</v>
      </c>
      <c r="BQ6" s="1">
        <v>6.8017324807756401</v>
      </c>
      <c r="BR6" s="1">
        <v>11.6702970071293</v>
      </c>
      <c r="BS6" s="1">
        <v>5.97072074927285</v>
      </c>
      <c r="BT6" s="1">
        <v>3.1359323209062402</v>
      </c>
      <c r="BU6" s="1">
        <v>1.5522292189715501</v>
      </c>
      <c r="BV6" s="1">
        <v>0.73119534114107698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5.8441569425249702E-2</v>
      </c>
      <c r="CG6" s="1">
        <v>1.9303152659436999E-2</v>
      </c>
      <c r="CH6" s="1">
        <v>0.31624704573200102</v>
      </c>
      <c r="CI6" s="1">
        <v>15.4807850370353</v>
      </c>
      <c r="CJ6" s="1">
        <v>34.776465320312703</v>
      </c>
      <c r="CK6" s="1">
        <v>21.097683443403898</v>
      </c>
      <c r="CL6" s="1">
        <v>2.1915324089828601E-3</v>
      </c>
      <c r="CM6" s="1">
        <v>21.2054864952859</v>
      </c>
      <c r="CN6" s="1">
        <v>18.4985043879554</v>
      </c>
      <c r="CO6" s="1">
        <v>70.831142200785806</v>
      </c>
      <c r="CP6" s="1">
        <v>3.0556917652653999</v>
      </c>
      <c r="CQ6" s="1">
        <v>9.2392153057842697E-3</v>
      </c>
      <c r="CR6" s="1">
        <v>33.786561060351801</v>
      </c>
      <c r="CS6" s="1">
        <v>1.5275252316519401</v>
      </c>
      <c r="CT6" s="1">
        <v>1.5695009822657999</v>
      </c>
      <c r="CU6" s="1">
        <v>0.69282032302755103</v>
      </c>
      <c r="CV6" s="1">
        <v>1.5275252316519401</v>
      </c>
      <c r="CW6" s="1">
        <v>29.3785280763814</v>
      </c>
      <c r="CX6" s="1">
        <v>1.84784306115688E-2</v>
      </c>
      <c r="CY6" s="1">
        <v>1.4125211660796499E-2</v>
      </c>
      <c r="CZ6" s="1">
        <v>6.2839643536258497E-2</v>
      </c>
      <c r="DA6" s="1">
        <v>2.6927425015176799E-2</v>
      </c>
      <c r="DB6" s="1">
        <v>5.0658087638854503E-3</v>
      </c>
      <c r="DC6" s="1">
        <v>1.55546109950708E-2</v>
      </c>
      <c r="DD6" s="1">
        <v>4.6164828736060898E-2</v>
      </c>
      <c r="DE6" s="1">
        <v>9.9393915521166401E-2</v>
      </c>
      <c r="DF6" s="1">
        <v>5.1228507609193796</v>
      </c>
      <c r="DG6" s="1">
        <v>19.1920381976817</v>
      </c>
      <c r="DH6" s="1">
        <v>122.590919427683</v>
      </c>
      <c r="DI6" s="1">
        <v>9.6318628734515102</v>
      </c>
      <c r="DJ6" s="1">
        <v>2.47128820129945E-2</v>
      </c>
      <c r="DK6" s="1">
        <v>0.125248790809808</v>
      </c>
      <c r="DL6" s="1">
        <v>3.1095482031232899</v>
      </c>
      <c r="DM6" s="1">
        <v>3.02420905654744</v>
      </c>
      <c r="DN6" s="1">
        <v>0.35186644578033699</v>
      </c>
      <c r="DO6" s="1">
        <v>0.457417360987109</v>
      </c>
      <c r="DP6" s="1">
        <v>0.14331630239835</v>
      </c>
      <c r="DQ6" s="1">
        <v>2.4801792779533701E-2</v>
      </c>
    </row>
    <row r="7" spans="1:121" x14ac:dyDescent="0.25">
      <c r="A7" s="1" t="s">
        <v>35</v>
      </c>
      <c r="B7" s="1" t="s">
        <v>28</v>
      </c>
      <c r="C7" s="1" t="s">
        <v>34</v>
      </c>
      <c r="D7" s="1" t="s">
        <v>38</v>
      </c>
      <c r="E7" s="1">
        <v>11.3836805555555</v>
      </c>
      <c r="F7" s="1">
        <v>1.9155078333333301E-2</v>
      </c>
      <c r="G7" s="1">
        <v>4.2133333333333303</v>
      </c>
      <c r="H7" s="1">
        <v>20.2</v>
      </c>
      <c r="I7" s="1">
        <v>7.3983333333333299</v>
      </c>
      <c r="J7" s="1" t="s">
        <v>31</v>
      </c>
      <c r="K7" s="1" t="s">
        <v>31</v>
      </c>
      <c r="L7" s="1">
        <v>0.54962437194094704</v>
      </c>
      <c r="M7" s="1">
        <v>1.4987781784873099E-2</v>
      </c>
      <c r="N7" s="1">
        <v>1.4880277775185</v>
      </c>
      <c r="O7" s="1">
        <v>0.109544511501032</v>
      </c>
      <c r="P7" s="1">
        <v>8.6583293230661204E-2</v>
      </c>
      <c r="Q7" s="1" t="s">
        <v>31</v>
      </c>
      <c r="R7" s="1" t="s">
        <v>31</v>
      </c>
      <c r="S7" s="1">
        <v>5.0000000000000001E-3</v>
      </c>
      <c r="T7" s="1">
        <v>0</v>
      </c>
      <c r="U7" s="2">
        <v>2.4869071587616199E-4</v>
      </c>
      <c r="V7" s="2">
        <v>5.1201120720106603E-4</v>
      </c>
      <c r="W7" s="2">
        <v>-1.46297754487405E-5</v>
      </c>
      <c r="X7" s="1" t="s">
        <v>37</v>
      </c>
      <c r="Y7" s="1">
        <v>9.4472222222222992</v>
      </c>
      <c r="Z7" s="1">
        <v>0.58333333333333304</v>
      </c>
      <c r="AA7" s="1" t="s">
        <v>39</v>
      </c>
      <c r="AB7" s="1">
        <v>5</v>
      </c>
      <c r="AC7" s="1">
        <v>7</v>
      </c>
      <c r="AD7" s="1">
        <v>0</v>
      </c>
      <c r="AE7" s="1">
        <v>0</v>
      </c>
      <c r="AF7" s="1">
        <v>12</v>
      </c>
      <c r="AG7" s="1">
        <v>2012</v>
      </c>
      <c r="AH7" s="1">
        <v>2008</v>
      </c>
      <c r="AI7" s="1">
        <v>2012</v>
      </c>
      <c r="AJ7" s="1">
        <v>2021.44722222222</v>
      </c>
      <c r="AK7" s="1">
        <v>1.06654954186666</v>
      </c>
      <c r="AL7" s="1">
        <v>0.19062613837296799</v>
      </c>
      <c r="AM7" s="1">
        <v>0.50904130179151996</v>
      </c>
      <c r="AN7" s="1">
        <v>982.85928904782895</v>
      </c>
      <c r="AO7" s="1">
        <v>718.88267657367498</v>
      </c>
      <c r="AP7" s="1">
        <v>263.97661247415601</v>
      </c>
      <c r="AQ7" s="1">
        <v>5.0274943009140899E-2</v>
      </c>
      <c r="AR7" s="1">
        <v>384.89558543678697</v>
      </c>
      <c r="AS7" s="1">
        <v>910.96999496138596</v>
      </c>
      <c r="AT7" s="1">
        <v>3648.8038572712699</v>
      </c>
      <c r="AU7" s="1">
        <v>346.87117596367301</v>
      </c>
      <c r="AV7" s="1">
        <v>0.125760600638884</v>
      </c>
      <c r="AW7" s="1">
        <v>274.25186102791997</v>
      </c>
      <c r="AX7" s="1">
        <v>30.933333333333302</v>
      </c>
      <c r="AY7" s="1">
        <v>62.433333333333302</v>
      </c>
      <c r="AZ7" s="1">
        <v>6.7</v>
      </c>
      <c r="BA7" s="1">
        <v>69.066666666666606</v>
      </c>
      <c r="BB7" s="1">
        <v>1532.9010382900101</v>
      </c>
      <c r="BC7" s="1">
        <v>0.251521201277768</v>
      </c>
      <c r="BD7" s="1">
        <v>0.19085790722343099</v>
      </c>
      <c r="BE7" s="1">
        <v>0.36716045216527898</v>
      </c>
      <c r="BF7" s="1">
        <v>0.36880482539750697</v>
      </c>
      <c r="BG7" s="1">
        <v>0.51783715276521103</v>
      </c>
      <c r="BH7" s="1">
        <v>0.234810941967799</v>
      </c>
      <c r="BI7" s="1">
        <v>0.90942324468124602</v>
      </c>
      <c r="BJ7" s="1">
        <v>2.6212123085277099</v>
      </c>
      <c r="BK7" s="1">
        <v>53.882502976028199</v>
      </c>
      <c r="BL7" s="1">
        <v>98.240206825834605</v>
      </c>
      <c r="BM7" s="1">
        <v>874.61803082590302</v>
      </c>
      <c r="BN7" s="1">
        <v>25.510431389705701</v>
      </c>
      <c r="BO7" s="1">
        <v>0.12852325370642201</v>
      </c>
      <c r="BP7" s="1">
        <v>0.68737455211785403</v>
      </c>
      <c r="BQ7" s="1">
        <v>6.8017324807756401</v>
      </c>
      <c r="BR7" s="1">
        <v>11.6702970071293</v>
      </c>
      <c r="BS7" s="1">
        <v>5.97072074927285</v>
      </c>
      <c r="BT7" s="1">
        <v>3.1359323209062402</v>
      </c>
      <c r="BU7" s="1">
        <v>1.5522292189715501</v>
      </c>
      <c r="BV7" s="1">
        <v>0.73119534114107698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5.8441569425249702E-2</v>
      </c>
      <c r="CG7" s="1">
        <v>1.9303152659436999E-2</v>
      </c>
      <c r="CH7" s="1">
        <v>0.31624704573200102</v>
      </c>
      <c r="CI7" s="1">
        <v>15.4807850370353</v>
      </c>
      <c r="CJ7" s="1">
        <v>34.776465320312703</v>
      </c>
      <c r="CK7" s="1">
        <v>21.097683443403898</v>
      </c>
      <c r="CL7" s="1">
        <v>2.1915324089828601E-3</v>
      </c>
      <c r="CM7" s="1">
        <v>21.2054864952859</v>
      </c>
      <c r="CN7" s="1">
        <v>18.4985043879554</v>
      </c>
      <c r="CO7" s="1">
        <v>70.831142200785806</v>
      </c>
      <c r="CP7" s="1">
        <v>3.0556917652653999</v>
      </c>
      <c r="CQ7" s="1">
        <v>9.2392153057842697E-3</v>
      </c>
      <c r="CR7" s="1">
        <v>33.786561060351801</v>
      </c>
      <c r="CS7" s="1">
        <v>1.5275252316519401</v>
      </c>
      <c r="CT7" s="1">
        <v>1.5695009822657999</v>
      </c>
      <c r="CU7" s="1">
        <v>0.69282032302755103</v>
      </c>
      <c r="CV7" s="1">
        <v>1.5275252316519401</v>
      </c>
      <c r="CW7" s="1">
        <v>29.3785280763814</v>
      </c>
      <c r="CX7" s="1">
        <v>1.84784306115688E-2</v>
      </c>
      <c r="CY7" s="1">
        <v>1.4125211660796499E-2</v>
      </c>
      <c r="CZ7" s="1">
        <v>6.2839643536258497E-2</v>
      </c>
      <c r="DA7" s="1">
        <v>2.6927425015176799E-2</v>
      </c>
      <c r="DB7" s="1">
        <v>5.0658087638854503E-3</v>
      </c>
      <c r="DC7" s="1">
        <v>1.55546109950708E-2</v>
      </c>
      <c r="DD7" s="1">
        <v>4.6164828736060898E-2</v>
      </c>
      <c r="DE7" s="1">
        <v>9.9393915521166401E-2</v>
      </c>
      <c r="DF7" s="1">
        <v>5.1228507609193796</v>
      </c>
      <c r="DG7" s="1">
        <v>19.1920381976817</v>
      </c>
      <c r="DH7" s="1">
        <v>122.590919427683</v>
      </c>
      <c r="DI7" s="1">
        <v>9.6318628734515102</v>
      </c>
      <c r="DJ7" s="1">
        <v>2.47128820129945E-2</v>
      </c>
      <c r="DK7" s="1">
        <v>0.125248790809808</v>
      </c>
      <c r="DL7" s="1">
        <v>3.1095482031232899</v>
      </c>
      <c r="DM7" s="1">
        <v>3.02420905654744</v>
      </c>
      <c r="DN7" s="1">
        <v>0.35186644578033699</v>
      </c>
      <c r="DO7" s="1">
        <v>0.457417360987109</v>
      </c>
      <c r="DP7" s="1">
        <v>0.14331630239835</v>
      </c>
      <c r="DQ7" s="1">
        <v>2.4801792779533701E-2</v>
      </c>
    </row>
    <row r="8" spans="1:121" x14ac:dyDescent="0.25">
      <c r="A8" s="1" t="s">
        <v>40</v>
      </c>
      <c r="B8" s="1" t="s">
        <v>41</v>
      </c>
      <c r="C8" s="1" t="s">
        <v>29</v>
      </c>
      <c r="D8" s="1" t="s">
        <v>42</v>
      </c>
      <c r="E8" s="1">
        <v>11.3836805555555</v>
      </c>
      <c r="F8" s="1">
        <v>1.722637</v>
      </c>
      <c r="G8" s="1">
        <v>0.45500000000000002</v>
      </c>
      <c r="H8" s="1">
        <v>20.2</v>
      </c>
      <c r="I8" s="1">
        <v>8.2750000000000004</v>
      </c>
      <c r="J8" s="1" t="s">
        <v>31</v>
      </c>
      <c r="K8" s="1" t="s">
        <v>31</v>
      </c>
      <c r="L8" s="1">
        <v>0.54962437194094704</v>
      </c>
      <c r="M8" s="1">
        <v>1.0802566843958801</v>
      </c>
      <c r="N8" s="1">
        <v>0.20285462775100699</v>
      </c>
      <c r="O8" s="1">
        <v>0.109544511501032</v>
      </c>
      <c r="P8" s="1">
        <v>0.15946786510140501</v>
      </c>
      <c r="Q8" s="1" t="s">
        <v>31</v>
      </c>
      <c r="R8" s="1" t="s">
        <v>31</v>
      </c>
      <c r="S8" s="1">
        <v>5.0000000000000001E-3</v>
      </c>
      <c r="T8" s="1">
        <v>0</v>
      </c>
      <c r="U8" s="1">
        <v>3.01771820039652E-2</v>
      </c>
      <c r="V8" s="1">
        <v>4.9156222730273903E-2</v>
      </c>
      <c r="W8" s="1">
        <v>1.11981412776564E-2</v>
      </c>
      <c r="X8" s="1" t="s">
        <v>32</v>
      </c>
      <c r="Y8" s="1">
        <v>1.4472222222222999</v>
      </c>
      <c r="Z8" s="1">
        <v>1</v>
      </c>
      <c r="AA8" s="1" t="s">
        <v>33</v>
      </c>
      <c r="AB8" s="1">
        <v>0</v>
      </c>
      <c r="AC8" s="1">
        <v>10</v>
      </c>
      <c r="AD8" s="1">
        <v>0</v>
      </c>
      <c r="AE8" s="1">
        <v>0</v>
      </c>
      <c r="AF8" s="1">
        <v>10</v>
      </c>
      <c r="AG8" s="1">
        <v>2020</v>
      </c>
      <c r="AH8" s="1" t="s">
        <v>31</v>
      </c>
      <c r="AI8" s="1">
        <v>2020</v>
      </c>
      <c r="AJ8" s="1">
        <v>2021.44722222222</v>
      </c>
      <c r="AK8" s="1">
        <v>1.01117931301666</v>
      </c>
      <c r="AL8" s="1">
        <v>0.26426561844308799</v>
      </c>
      <c r="AM8" s="1">
        <v>2.4274814175196999</v>
      </c>
      <c r="AN8" s="1">
        <v>1225.4669032157699</v>
      </c>
      <c r="AO8" s="1">
        <v>887.02807236300305</v>
      </c>
      <c r="AP8" s="1">
        <v>338.43883085277599</v>
      </c>
      <c r="AQ8" s="1">
        <v>0.115279170629385</v>
      </c>
      <c r="AR8" s="1">
        <v>758.08169998998505</v>
      </c>
      <c r="AS8" s="1">
        <v>1331.7511113993901</v>
      </c>
      <c r="AT8" s="1">
        <v>4159.8346020976196</v>
      </c>
      <c r="AU8" s="1">
        <v>265.094200431525</v>
      </c>
      <c r="AV8" s="1">
        <v>0.198006054758634</v>
      </c>
      <c r="AW8" s="1">
        <v>65.758128475086494</v>
      </c>
      <c r="AX8" s="1">
        <v>16.533333333333299</v>
      </c>
      <c r="AY8" s="1">
        <v>71.366666666666603</v>
      </c>
      <c r="AZ8" s="1">
        <v>12.133333333333301</v>
      </c>
      <c r="BA8" s="1">
        <v>83.466666666666598</v>
      </c>
      <c r="BB8" s="1">
        <v>1915.90657782575</v>
      </c>
      <c r="BC8" s="1">
        <v>0.39601210951726601</v>
      </c>
      <c r="BD8" s="1">
        <v>0.32936561137715498</v>
      </c>
      <c r="BE8" s="1">
        <v>0.43791017700498103</v>
      </c>
      <c r="BF8" s="1">
        <v>0.49657919038764597</v>
      </c>
      <c r="BG8" s="1">
        <v>0.66362354801983103</v>
      </c>
      <c r="BH8" s="1">
        <v>0.23165933015592299</v>
      </c>
      <c r="BI8" s="1">
        <v>9.5784667392937592</v>
      </c>
      <c r="BJ8" s="1">
        <v>12.892381949680701</v>
      </c>
      <c r="BK8" s="1">
        <v>207.66782219768899</v>
      </c>
      <c r="BL8" s="1">
        <v>249.68155336130999</v>
      </c>
      <c r="BM8" s="1">
        <v>1539.4818021373701</v>
      </c>
      <c r="BN8" s="1">
        <v>15.6335166792127</v>
      </c>
      <c r="BO8" s="1">
        <v>0.31529708793752897</v>
      </c>
      <c r="BP8" s="1">
        <v>2.4289719951472302</v>
      </c>
      <c r="BQ8" s="1">
        <v>52.148547592173799</v>
      </c>
      <c r="BR8" s="1">
        <v>35.873495346233298</v>
      </c>
      <c r="BS8" s="1">
        <v>156.54355416206201</v>
      </c>
      <c r="BT8" s="1">
        <v>30.048601528470002</v>
      </c>
      <c r="BU8" s="1">
        <v>2.6257142648363501</v>
      </c>
      <c r="BV8" s="1">
        <v>0.72407131118262602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 t="s">
        <v>31</v>
      </c>
      <c r="CD8" s="1">
        <v>0</v>
      </c>
      <c r="CE8" s="1">
        <v>0</v>
      </c>
      <c r="CF8" s="1">
        <v>2.49496178498077E-2</v>
      </c>
      <c r="CG8" s="1">
        <v>1.4804269696470401E-2</v>
      </c>
      <c r="CH8" s="1">
        <v>0.348437950718814</v>
      </c>
      <c r="CI8" s="1">
        <v>62.078655842594898</v>
      </c>
      <c r="CJ8" s="1">
        <v>44.968159417583799</v>
      </c>
      <c r="CK8" s="1">
        <v>37.123365514058897</v>
      </c>
      <c r="CL8" s="1">
        <v>7.3641104114416794E-2</v>
      </c>
      <c r="CM8" s="1">
        <v>38.288430737911902</v>
      </c>
      <c r="CN8" s="1">
        <v>87.981794004679799</v>
      </c>
      <c r="CO8" s="1">
        <v>197.17076545721099</v>
      </c>
      <c r="CP8" s="1">
        <v>6.7201025363351699</v>
      </c>
      <c r="CQ8" s="1">
        <v>4.6331363677071004E-3</v>
      </c>
      <c r="CR8" s="1">
        <v>20.197023774017801</v>
      </c>
      <c r="CS8" s="1">
        <v>1.1547005383792499</v>
      </c>
      <c r="CT8" s="1">
        <v>0.321455025366429</v>
      </c>
      <c r="CU8" s="1">
        <v>1.4433756729740601</v>
      </c>
      <c r="CV8" s="1">
        <v>1.1547005383792499</v>
      </c>
      <c r="CW8" s="1">
        <v>104.71772838301899</v>
      </c>
      <c r="CX8" s="1">
        <v>9.2662727354146397E-3</v>
      </c>
      <c r="CY8" s="1">
        <v>8.1563142091707307E-3</v>
      </c>
      <c r="CZ8" s="1">
        <v>2.0432491051419699E-2</v>
      </c>
      <c r="DA8" s="1">
        <v>1.3331157186145399E-2</v>
      </c>
      <c r="DB8" s="1">
        <v>1.36975148594774E-2</v>
      </c>
      <c r="DC8" s="1">
        <v>1.95235234799873E-3</v>
      </c>
      <c r="DD8" s="1">
        <v>0.48427917163964201</v>
      </c>
      <c r="DE8" s="1">
        <v>0.46375426626166499</v>
      </c>
      <c r="DF8" s="1">
        <v>20.847963075791299</v>
      </c>
      <c r="DG8" s="1">
        <v>14.438423167781499</v>
      </c>
      <c r="DH8" s="1">
        <v>64.444029854505004</v>
      </c>
      <c r="DI8" s="1">
        <v>0.71482291440178303</v>
      </c>
      <c r="DJ8" s="1">
        <v>2.6495333515650799E-2</v>
      </c>
      <c r="DK8" s="1">
        <v>0.34410884385761997</v>
      </c>
      <c r="DL8" s="1">
        <v>12.301463412484299</v>
      </c>
      <c r="DM8" s="1">
        <v>1.1920506372158399</v>
      </c>
      <c r="DN8" s="1">
        <v>48.918121245826001</v>
      </c>
      <c r="DO8" s="1">
        <v>7.2801678228474103</v>
      </c>
      <c r="DP8" s="1">
        <v>0.15404317025814299</v>
      </c>
      <c r="DQ8" s="1">
        <v>2.35486454695981E-2</v>
      </c>
    </row>
    <row r="9" spans="1:121" x14ac:dyDescent="0.25">
      <c r="A9" s="1" t="s">
        <v>40</v>
      </c>
      <c r="B9" s="1" t="s">
        <v>41</v>
      </c>
      <c r="C9" s="1" t="s">
        <v>34</v>
      </c>
      <c r="D9" s="1" t="s">
        <v>42</v>
      </c>
      <c r="E9" s="1">
        <v>11.3836805555555</v>
      </c>
      <c r="F9" s="1">
        <v>0.90562933333333295</v>
      </c>
      <c r="G9" s="1">
        <v>4.4983333333333304</v>
      </c>
      <c r="H9" s="1">
        <v>20.2</v>
      </c>
      <c r="I9" s="1">
        <v>7.5449999999999999</v>
      </c>
      <c r="J9" s="1" t="s">
        <v>31</v>
      </c>
      <c r="K9" s="1" t="s">
        <v>31</v>
      </c>
      <c r="L9" s="1">
        <v>0.54962437194094704</v>
      </c>
      <c r="M9" s="1">
        <v>1.13782156228042</v>
      </c>
      <c r="N9" s="1">
        <v>1.3639415921023399</v>
      </c>
      <c r="O9" s="1">
        <v>0.109544511501032</v>
      </c>
      <c r="P9" s="1">
        <v>0.14734313692873399</v>
      </c>
      <c r="Q9" s="1" t="s">
        <v>31</v>
      </c>
      <c r="R9" s="1" t="s">
        <v>31</v>
      </c>
      <c r="S9" s="1">
        <v>5.0000000000000001E-3</v>
      </c>
      <c r="T9" s="1">
        <v>0</v>
      </c>
      <c r="U9" s="1">
        <v>1.5823165960042702E-2</v>
      </c>
      <c r="V9" s="1">
        <v>3.5813564614107798E-2</v>
      </c>
      <c r="W9" s="1">
        <v>-4.1672326940224097E-3</v>
      </c>
      <c r="X9" s="1" t="s">
        <v>32</v>
      </c>
      <c r="Y9" s="1">
        <v>1.4472222222222999</v>
      </c>
      <c r="Z9" s="1">
        <v>1</v>
      </c>
      <c r="AA9" s="1" t="s">
        <v>33</v>
      </c>
      <c r="AB9" s="1">
        <v>0</v>
      </c>
      <c r="AC9" s="1">
        <v>10</v>
      </c>
      <c r="AD9" s="1">
        <v>0</v>
      </c>
      <c r="AE9" s="1">
        <v>0</v>
      </c>
      <c r="AF9" s="1">
        <v>10</v>
      </c>
      <c r="AG9" s="1">
        <v>2020</v>
      </c>
      <c r="AH9" s="1" t="s">
        <v>31</v>
      </c>
      <c r="AI9" s="1">
        <v>2020</v>
      </c>
      <c r="AJ9" s="1">
        <v>2021.44722222222</v>
      </c>
      <c r="AK9" s="1">
        <v>1.01117931301666</v>
      </c>
      <c r="AL9" s="1">
        <v>0.26426561844308799</v>
      </c>
      <c r="AM9" s="1">
        <v>2.4274814175196999</v>
      </c>
      <c r="AN9" s="1">
        <v>1225.4669032157699</v>
      </c>
      <c r="AO9" s="1">
        <v>887.02807236300305</v>
      </c>
      <c r="AP9" s="1">
        <v>338.43883085277599</v>
      </c>
      <c r="AQ9" s="1">
        <v>0.115279170629385</v>
      </c>
      <c r="AR9" s="1">
        <v>758.08169998998505</v>
      </c>
      <c r="AS9" s="1">
        <v>1331.7511113993901</v>
      </c>
      <c r="AT9" s="1">
        <v>4159.8346020976196</v>
      </c>
      <c r="AU9" s="1">
        <v>265.094200431525</v>
      </c>
      <c r="AV9" s="1">
        <v>0.198006054758634</v>
      </c>
      <c r="AW9" s="1">
        <v>65.758128475086494</v>
      </c>
      <c r="AX9" s="1">
        <v>16.533333333333299</v>
      </c>
      <c r="AY9" s="1">
        <v>71.366666666666603</v>
      </c>
      <c r="AZ9" s="1">
        <v>12.133333333333301</v>
      </c>
      <c r="BA9" s="1">
        <v>83.466666666666598</v>
      </c>
      <c r="BB9" s="1">
        <v>1915.90657782575</v>
      </c>
      <c r="BC9" s="1">
        <v>0.39601210951726601</v>
      </c>
      <c r="BD9" s="1">
        <v>0.32936561137715498</v>
      </c>
      <c r="BE9" s="1">
        <v>0.43791017700498103</v>
      </c>
      <c r="BF9" s="1">
        <v>0.49657919038764597</v>
      </c>
      <c r="BG9" s="1">
        <v>0.66362354801983103</v>
      </c>
      <c r="BH9" s="1">
        <v>0.23165933015592299</v>
      </c>
      <c r="BI9" s="1">
        <v>9.5784667392937592</v>
      </c>
      <c r="BJ9" s="1">
        <v>12.892381949680701</v>
      </c>
      <c r="BK9" s="1">
        <v>207.66782219768899</v>
      </c>
      <c r="BL9" s="1">
        <v>249.68155336130999</v>
      </c>
      <c r="BM9" s="1">
        <v>1539.4818021373701</v>
      </c>
      <c r="BN9" s="1">
        <v>15.6335166792127</v>
      </c>
      <c r="BO9" s="1">
        <v>0.31529708793752897</v>
      </c>
      <c r="BP9" s="1">
        <v>2.4289719951472302</v>
      </c>
      <c r="BQ9" s="1">
        <v>52.148547592173799</v>
      </c>
      <c r="BR9" s="1">
        <v>35.873495346233298</v>
      </c>
      <c r="BS9" s="1">
        <v>156.54355416206201</v>
      </c>
      <c r="BT9" s="1">
        <v>30.048601528470002</v>
      </c>
      <c r="BU9" s="1">
        <v>2.6257142648363501</v>
      </c>
      <c r="BV9" s="1">
        <v>0.72407131118262602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 t="s">
        <v>31</v>
      </c>
      <c r="CD9" s="1">
        <v>0</v>
      </c>
      <c r="CE9" s="1">
        <v>0</v>
      </c>
      <c r="CF9" s="1">
        <v>2.49496178498077E-2</v>
      </c>
      <c r="CG9" s="1">
        <v>1.4804269696470401E-2</v>
      </c>
      <c r="CH9" s="1">
        <v>0.348437950718814</v>
      </c>
      <c r="CI9" s="1">
        <v>62.078655842594898</v>
      </c>
      <c r="CJ9" s="1">
        <v>44.968159417583799</v>
      </c>
      <c r="CK9" s="1">
        <v>37.123365514058897</v>
      </c>
      <c r="CL9" s="1">
        <v>7.3641104114416794E-2</v>
      </c>
      <c r="CM9" s="1">
        <v>38.288430737911902</v>
      </c>
      <c r="CN9" s="1">
        <v>87.981794004679799</v>
      </c>
      <c r="CO9" s="1">
        <v>197.17076545721099</v>
      </c>
      <c r="CP9" s="1">
        <v>6.7201025363351699</v>
      </c>
      <c r="CQ9" s="1">
        <v>4.6331363677071004E-3</v>
      </c>
      <c r="CR9" s="1">
        <v>20.197023774017801</v>
      </c>
      <c r="CS9" s="1">
        <v>1.1547005383792499</v>
      </c>
      <c r="CT9" s="1">
        <v>0.321455025366429</v>
      </c>
      <c r="CU9" s="1">
        <v>1.4433756729740601</v>
      </c>
      <c r="CV9" s="1">
        <v>1.1547005383792499</v>
      </c>
      <c r="CW9" s="1">
        <v>104.71772838301899</v>
      </c>
      <c r="CX9" s="1">
        <v>9.2662727354146397E-3</v>
      </c>
      <c r="CY9" s="1">
        <v>8.1563142091707307E-3</v>
      </c>
      <c r="CZ9" s="1">
        <v>2.0432491051419699E-2</v>
      </c>
      <c r="DA9" s="1">
        <v>1.3331157186145399E-2</v>
      </c>
      <c r="DB9" s="1">
        <v>1.36975148594774E-2</v>
      </c>
      <c r="DC9" s="1">
        <v>1.95235234799873E-3</v>
      </c>
      <c r="DD9" s="1">
        <v>0.48427917163964201</v>
      </c>
      <c r="DE9" s="1">
        <v>0.46375426626166499</v>
      </c>
      <c r="DF9" s="1">
        <v>20.847963075791299</v>
      </c>
      <c r="DG9" s="1">
        <v>14.438423167781499</v>
      </c>
      <c r="DH9" s="1">
        <v>64.444029854505004</v>
      </c>
      <c r="DI9" s="1">
        <v>0.71482291440178303</v>
      </c>
      <c r="DJ9" s="1">
        <v>2.6495333515650799E-2</v>
      </c>
      <c r="DK9" s="1">
        <v>0.34410884385761997</v>
      </c>
      <c r="DL9" s="1">
        <v>12.301463412484299</v>
      </c>
      <c r="DM9" s="1">
        <v>1.1920506372158399</v>
      </c>
      <c r="DN9" s="1">
        <v>48.918121245826001</v>
      </c>
      <c r="DO9" s="1">
        <v>7.2801678228474103</v>
      </c>
      <c r="DP9" s="1">
        <v>0.15404317025814299</v>
      </c>
      <c r="DQ9" s="1">
        <v>2.35486454695981E-2</v>
      </c>
    </row>
    <row r="10" spans="1:121" x14ac:dyDescent="0.25">
      <c r="A10" s="1" t="s">
        <v>40</v>
      </c>
      <c r="B10" s="1" t="s">
        <v>28</v>
      </c>
      <c r="C10" s="1" t="s">
        <v>29</v>
      </c>
      <c r="D10" s="1" t="s">
        <v>43</v>
      </c>
      <c r="E10" s="1">
        <v>11.3836805555555</v>
      </c>
      <c r="F10" s="1">
        <v>0.1351415</v>
      </c>
      <c r="G10" s="1">
        <v>0.83</v>
      </c>
      <c r="H10" s="1">
        <v>20.2</v>
      </c>
      <c r="I10" s="1">
        <v>7.9783333333333299</v>
      </c>
      <c r="J10" s="1" t="s">
        <v>31</v>
      </c>
      <c r="K10" s="1" t="s">
        <v>31</v>
      </c>
      <c r="L10" s="1">
        <v>0.54962437194094704</v>
      </c>
      <c r="M10" s="1">
        <v>2.9258756014225801E-2</v>
      </c>
      <c r="N10" s="1">
        <v>0.71872108637495802</v>
      </c>
      <c r="O10" s="1">
        <v>0.109544511501032</v>
      </c>
      <c r="P10" s="1">
        <v>0.17859637920928501</v>
      </c>
      <c r="Q10" s="1" t="s">
        <v>31</v>
      </c>
      <c r="R10" s="1" t="s">
        <v>31</v>
      </c>
      <c r="S10" s="1">
        <v>5.0000000000000001E-3</v>
      </c>
      <c r="T10" s="1">
        <v>0</v>
      </c>
      <c r="U10" s="1">
        <v>2.28645734329723E-3</v>
      </c>
      <c r="V10" s="1">
        <v>2.8005047266797E-3</v>
      </c>
      <c r="W10" s="1">
        <v>1.77240995991477E-3</v>
      </c>
      <c r="X10" s="1" t="s">
        <v>32</v>
      </c>
      <c r="Y10" s="1">
        <v>5.4472222222223001</v>
      </c>
      <c r="Z10" s="1">
        <v>0.4</v>
      </c>
      <c r="AA10" s="1" t="s">
        <v>39</v>
      </c>
      <c r="AB10" s="1">
        <v>6</v>
      </c>
      <c r="AC10" s="1">
        <v>4</v>
      </c>
      <c r="AD10" s="1">
        <v>0</v>
      </c>
      <c r="AE10" s="1">
        <v>0</v>
      </c>
      <c r="AF10" s="1">
        <v>10</v>
      </c>
      <c r="AG10" s="1">
        <v>2016</v>
      </c>
      <c r="AH10" s="1">
        <v>2006</v>
      </c>
      <c r="AI10" s="1">
        <v>2016</v>
      </c>
      <c r="AJ10" s="1">
        <v>2021.44722222222</v>
      </c>
      <c r="AK10" s="1">
        <v>0.60723742811666603</v>
      </c>
      <c r="AL10" s="1">
        <v>0.397239845346749</v>
      </c>
      <c r="AM10" s="1">
        <v>2.0382965616422499</v>
      </c>
      <c r="AN10" s="1">
        <v>1201.43116659823</v>
      </c>
      <c r="AO10" s="1">
        <v>534.06984376335095</v>
      </c>
      <c r="AP10" s="1">
        <v>667.361322834882</v>
      </c>
      <c r="AQ10" s="1">
        <v>0.18823554143329599</v>
      </c>
      <c r="AR10" s="1">
        <v>703.85101890860801</v>
      </c>
      <c r="AS10" s="1">
        <v>3267.1621379080002</v>
      </c>
      <c r="AT10" s="1">
        <v>7313.1239658497598</v>
      </c>
      <c r="AU10" s="1">
        <v>409.03740680834699</v>
      </c>
      <c r="AV10" s="1">
        <v>9.1267375877981199E-2</v>
      </c>
      <c r="AW10" s="1">
        <v>973.04634856974997</v>
      </c>
      <c r="AX10" s="1">
        <v>1.56666666666666</v>
      </c>
      <c r="AY10" s="1">
        <v>59.266666666666602</v>
      </c>
      <c r="AZ10" s="1">
        <v>39.1666666666666</v>
      </c>
      <c r="BA10" s="1">
        <v>98.433333333333294</v>
      </c>
      <c r="BB10" s="1">
        <v>3899.7613197171099</v>
      </c>
      <c r="BC10" s="1">
        <v>0.18253475175596101</v>
      </c>
      <c r="BD10" s="1">
        <v>0.17683296107969099</v>
      </c>
      <c r="BE10" s="1">
        <v>0.35738566741891797</v>
      </c>
      <c r="BF10" s="1">
        <v>0.189800753623864</v>
      </c>
      <c r="BG10" s="1">
        <v>0.93928303881515696</v>
      </c>
      <c r="BH10" s="1">
        <v>6.8834036466967799E-2</v>
      </c>
      <c r="BI10" s="1">
        <v>0.98089746675613099</v>
      </c>
      <c r="BJ10" s="1">
        <v>4.5037376552766997</v>
      </c>
      <c r="BK10" s="1">
        <v>143.34453082024399</v>
      </c>
      <c r="BL10" s="1">
        <v>472.07213968907303</v>
      </c>
      <c r="BM10" s="1">
        <v>3384.3140039456198</v>
      </c>
      <c r="BN10" s="1">
        <v>64.952733535658894</v>
      </c>
      <c r="BO10" s="1">
        <v>0.276902848964796</v>
      </c>
      <c r="BP10" s="1">
        <v>0.55804456853679096</v>
      </c>
      <c r="BQ10" s="1">
        <v>25.891978570878699</v>
      </c>
      <c r="BR10" s="1">
        <v>23.5371092406189</v>
      </c>
      <c r="BS10" s="1">
        <v>45.296502012668299</v>
      </c>
      <c r="BT10" s="1">
        <v>14.991377158968801</v>
      </c>
      <c r="BU10" s="1">
        <v>1.5414214040357901</v>
      </c>
      <c r="BV10" s="1">
        <v>0.44383322100769201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9.6599839417101097E-2</v>
      </c>
      <c r="CG10" s="1">
        <v>1.27377015514883E-2</v>
      </c>
      <c r="CH10" s="1">
        <v>0.22078549701404299</v>
      </c>
      <c r="CI10" s="1">
        <v>34.684274377293796</v>
      </c>
      <c r="CJ10" s="1">
        <v>60.664406860742503</v>
      </c>
      <c r="CK10" s="1">
        <v>27.808831445035</v>
      </c>
      <c r="CL10" s="1">
        <v>7.8811604736588308E-3</v>
      </c>
      <c r="CM10" s="1">
        <v>47.679917163019503</v>
      </c>
      <c r="CN10" s="1">
        <v>121.665928226971</v>
      </c>
      <c r="CO10" s="1">
        <v>1196.2626452315701</v>
      </c>
      <c r="CP10" s="1">
        <v>57.111692265966099</v>
      </c>
      <c r="CQ10" s="1">
        <v>3.2703235505608399E-3</v>
      </c>
      <c r="CR10" s="1">
        <v>122.994953507193</v>
      </c>
      <c r="CS10" s="1">
        <v>5.7735026918962602E-2</v>
      </c>
      <c r="CT10" s="1">
        <v>1.4153915830374699</v>
      </c>
      <c r="CU10" s="1">
        <v>1.4433756729740601</v>
      </c>
      <c r="CV10" s="1">
        <v>5.7735026918959202E-2</v>
      </c>
      <c r="CW10" s="1">
        <v>394.51814762235102</v>
      </c>
      <c r="CX10" s="1">
        <v>6.5406471011218098E-3</v>
      </c>
      <c r="CY10" s="1">
        <v>1.6555716337598E-2</v>
      </c>
      <c r="CZ10" s="1">
        <v>7.36704958468309E-2</v>
      </c>
      <c r="DA10" s="1">
        <v>5.4557721422198802E-3</v>
      </c>
      <c r="DB10" s="1">
        <v>0.116711898845079</v>
      </c>
      <c r="DC10" s="1">
        <v>2.3585246295766702E-3</v>
      </c>
      <c r="DD10" s="1">
        <v>7.0549942088145801E-2</v>
      </c>
      <c r="DE10" s="1">
        <v>9.7449709659736594E-2</v>
      </c>
      <c r="DF10" s="1">
        <v>10.1980996574719</v>
      </c>
      <c r="DG10" s="1">
        <v>1.45790870374783</v>
      </c>
      <c r="DH10" s="1">
        <v>179.74399923985001</v>
      </c>
      <c r="DI10" s="1">
        <v>5.0685104707201498</v>
      </c>
      <c r="DJ10" s="1">
        <v>4.0005439103064797E-2</v>
      </c>
      <c r="DK10" s="1">
        <v>6.9839616477994096E-2</v>
      </c>
      <c r="DL10" s="1">
        <v>4.9155417861997401</v>
      </c>
      <c r="DM10" s="1">
        <v>3.6119822638193999</v>
      </c>
      <c r="DN10" s="1">
        <v>1.3207550413732501</v>
      </c>
      <c r="DO10" s="1">
        <v>0.75939632088689801</v>
      </c>
      <c r="DP10" s="1">
        <v>7.5318512143277297E-2</v>
      </c>
      <c r="DQ10" s="1">
        <v>3.7561843218521303E-2</v>
      </c>
    </row>
    <row r="11" spans="1:121" x14ac:dyDescent="0.25">
      <c r="A11" s="1" t="s">
        <v>40</v>
      </c>
      <c r="B11" s="1" t="s">
        <v>28</v>
      </c>
      <c r="C11" s="1" t="s">
        <v>34</v>
      </c>
      <c r="D11" s="1" t="s">
        <v>43</v>
      </c>
      <c r="E11" s="1">
        <v>11.3836805555555</v>
      </c>
      <c r="F11" s="1">
        <v>2.4296333333333298E-2</v>
      </c>
      <c r="G11" s="1">
        <v>7.0733333333333297</v>
      </c>
      <c r="H11" s="1">
        <v>20.2</v>
      </c>
      <c r="I11" s="1">
        <v>7.4933333333333296</v>
      </c>
      <c r="J11" s="1" t="s">
        <v>31</v>
      </c>
      <c r="K11" s="1" t="s">
        <v>31</v>
      </c>
      <c r="L11" s="1">
        <v>0.54962437194094704</v>
      </c>
      <c r="M11" s="1">
        <v>5.7247027404631803E-3</v>
      </c>
      <c r="N11" s="1">
        <v>0.551603722491669</v>
      </c>
      <c r="O11" s="1">
        <v>0.109544511501032</v>
      </c>
      <c r="P11" s="1">
        <v>6.0882400303097897E-2</v>
      </c>
      <c r="Q11" s="1" t="s">
        <v>31</v>
      </c>
      <c r="R11" s="1" t="s">
        <v>31</v>
      </c>
      <c r="S11" s="1">
        <v>5.0000000000000001E-3</v>
      </c>
      <c r="T11" s="1">
        <v>0</v>
      </c>
      <c r="U11" s="2">
        <v>3.3901747750495598E-4</v>
      </c>
      <c r="V11" s="2">
        <v>4.3959483844766798E-4</v>
      </c>
      <c r="W11" s="2">
        <v>2.3844011656224499E-4</v>
      </c>
      <c r="X11" s="1" t="s">
        <v>32</v>
      </c>
      <c r="Y11" s="1">
        <v>5.4472222222223001</v>
      </c>
      <c r="Z11" s="1">
        <v>0.4</v>
      </c>
      <c r="AA11" s="1" t="s">
        <v>39</v>
      </c>
      <c r="AB11" s="1">
        <v>6</v>
      </c>
      <c r="AC11" s="1">
        <v>4</v>
      </c>
      <c r="AD11" s="1">
        <v>0</v>
      </c>
      <c r="AE11" s="1">
        <v>0</v>
      </c>
      <c r="AF11" s="1">
        <v>10</v>
      </c>
      <c r="AG11" s="1">
        <v>2016</v>
      </c>
      <c r="AH11" s="1">
        <v>2006</v>
      </c>
      <c r="AI11" s="1">
        <v>2016</v>
      </c>
      <c r="AJ11" s="1">
        <v>2021.44722222222</v>
      </c>
      <c r="AK11" s="1">
        <v>0.60723742811666603</v>
      </c>
      <c r="AL11" s="1">
        <v>0.397239845346749</v>
      </c>
      <c r="AM11" s="1">
        <v>2.0382965616422499</v>
      </c>
      <c r="AN11" s="1">
        <v>1201.43116659823</v>
      </c>
      <c r="AO11" s="1">
        <v>534.06984376335095</v>
      </c>
      <c r="AP11" s="1">
        <v>667.361322834882</v>
      </c>
      <c r="AQ11" s="1">
        <v>0.18823554143329599</v>
      </c>
      <c r="AR11" s="1">
        <v>703.85101890860801</v>
      </c>
      <c r="AS11" s="1">
        <v>3267.1621379080002</v>
      </c>
      <c r="AT11" s="1">
        <v>7313.1239658497598</v>
      </c>
      <c r="AU11" s="1">
        <v>409.03740680834699</v>
      </c>
      <c r="AV11" s="1">
        <v>9.1267375877981199E-2</v>
      </c>
      <c r="AW11" s="1">
        <v>973.04634856974997</v>
      </c>
      <c r="AX11" s="1">
        <v>1.56666666666666</v>
      </c>
      <c r="AY11" s="1">
        <v>59.266666666666602</v>
      </c>
      <c r="AZ11" s="1">
        <v>39.1666666666666</v>
      </c>
      <c r="BA11" s="1">
        <v>98.433333333333294</v>
      </c>
      <c r="BB11" s="1">
        <v>3899.7613197171099</v>
      </c>
      <c r="BC11" s="1">
        <v>0.18253475175596101</v>
      </c>
      <c r="BD11" s="1">
        <v>0.17683296107969099</v>
      </c>
      <c r="BE11" s="1">
        <v>0.35738566741891797</v>
      </c>
      <c r="BF11" s="1">
        <v>0.189800753623864</v>
      </c>
      <c r="BG11" s="1">
        <v>0.93928303881515696</v>
      </c>
      <c r="BH11" s="1">
        <v>6.8834036466967799E-2</v>
      </c>
      <c r="BI11" s="1">
        <v>0.98089746675613099</v>
      </c>
      <c r="BJ11" s="1">
        <v>4.5037376552766997</v>
      </c>
      <c r="BK11" s="1">
        <v>143.34453082024399</v>
      </c>
      <c r="BL11" s="1">
        <v>472.07213968907303</v>
      </c>
      <c r="BM11" s="1">
        <v>3384.3140039456198</v>
      </c>
      <c r="BN11" s="1">
        <v>64.952733535658894</v>
      </c>
      <c r="BO11" s="1">
        <v>0.276902848964796</v>
      </c>
      <c r="BP11" s="1">
        <v>0.55804456853679096</v>
      </c>
      <c r="BQ11" s="1">
        <v>25.891978570878699</v>
      </c>
      <c r="BR11" s="1">
        <v>23.5371092406189</v>
      </c>
      <c r="BS11" s="1">
        <v>45.296502012668299</v>
      </c>
      <c r="BT11" s="1">
        <v>14.991377158968801</v>
      </c>
      <c r="BU11" s="1">
        <v>1.5414214040357901</v>
      </c>
      <c r="BV11" s="1">
        <v>0.44383322100769201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9.6599839417101097E-2</v>
      </c>
      <c r="CG11" s="1">
        <v>1.27377015514883E-2</v>
      </c>
      <c r="CH11" s="1">
        <v>0.22078549701404299</v>
      </c>
      <c r="CI11" s="1">
        <v>34.684274377293796</v>
      </c>
      <c r="CJ11" s="1">
        <v>60.664406860742503</v>
      </c>
      <c r="CK11" s="1">
        <v>27.808831445035</v>
      </c>
      <c r="CL11" s="1">
        <v>7.8811604736588308E-3</v>
      </c>
      <c r="CM11" s="1">
        <v>47.679917163019503</v>
      </c>
      <c r="CN11" s="1">
        <v>121.665928226971</v>
      </c>
      <c r="CO11" s="1">
        <v>1196.2626452315701</v>
      </c>
      <c r="CP11" s="1">
        <v>57.111692265966099</v>
      </c>
      <c r="CQ11" s="1">
        <v>3.2703235505608399E-3</v>
      </c>
      <c r="CR11" s="1">
        <v>122.994953507193</v>
      </c>
      <c r="CS11" s="1">
        <v>5.7735026918962602E-2</v>
      </c>
      <c r="CT11" s="1">
        <v>1.4153915830374699</v>
      </c>
      <c r="CU11" s="1">
        <v>1.4433756729740601</v>
      </c>
      <c r="CV11" s="1">
        <v>5.7735026918959202E-2</v>
      </c>
      <c r="CW11" s="1">
        <v>394.51814762235102</v>
      </c>
      <c r="CX11" s="1">
        <v>6.5406471011218098E-3</v>
      </c>
      <c r="CY11" s="1">
        <v>1.6555716337598E-2</v>
      </c>
      <c r="CZ11" s="1">
        <v>7.36704958468309E-2</v>
      </c>
      <c r="DA11" s="1">
        <v>5.4557721422198802E-3</v>
      </c>
      <c r="DB11" s="1">
        <v>0.116711898845079</v>
      </c>
      <c r="DC11" s="1">
        <v>2.3585246295766702E-3</v>
      </c>
      <c r="DD11" s="1">
        <v>7.0549942088145801E-2</v>
      </c>
      <c r="DE11" s="1">
        <v>9.7449709659736594E-2</v>
      </c>
      <c r="DF11" s="1">
        <v>10.1980996574719</v>
      </c>
      <c r="DG11" s="1">
        <v>1.45790870374783</v>
      </c>
      <c r="DH11" s="1">
        <v>179.74399923985001</v>
      </c>
      <c r="DI11" s="1">
        <v>5.0685104707201498</v>
      </c>
      <c r="DJ11" s="1">
        <v>4.0005439103064797E-2</v>
      </c>
      <c r="DK11" s="1">
        <v>6.9839616477994096E-2</v>
      </c>
      <c r="DL11" s="1">
        <v>4.9155417861997401</v>
      </c>
      <c r="DM11" s="1">
        <v>3.6119822638193999</v>
      </c>
      <c r="DN11" s="1">
        <v>1.3207550413732501</v>
      </c>
      <c r="DO11" s="1">
        <v>0.75939632088689801</v>
      </c>
      <c r="DP11" s="1">
        <v>7.5318512143277297E-2</v>
      </c>
      <c r="DQ11" s="1">
        <v>3.7561843218521303E-2</v>
      </c>
    </row>
    <row r="12" spans="1:121" x14ac:dyDescent="0.25">
      <c r="A12" s="1" t="s">
        <v>44</v>
      </c>
      <c r="B12" s="1">
        <v>1</v>
      </c>
      <c r="C12" s="1" t="s">
        <v>29</v>
      </c>
      <c r="D12" s="1" t="s">
        <v>45</v>
      </c>
      <c r="E12" s="1">
        <v>11.913888888888801</v>
      </c>
      <c r="F12" s="1">
        <v>0.192915</v>
      </c>
      <c r="G12" s="1">
        <v>0.47</v>
      </c>
      <c r="H12" s="1">
        <v>21.3</v>
      </c>
      <c r="I12" s="1">
        <v>7.2233333333333301</v>
      </c>
      <c r="J12" s="1" t="s">
        <v>31</v>
      </c>
      <c r="K12" s="1" t="s">
        <v>31</v>
      </c>
      <c r="L12" s="1">
        <v>1.3888888888890999E-3</v>
      </c>
      <c r="M12" s="1">
        <v>0.10164388037161901</v>
      </c>
      <c r="N12" s="1">
        <v>0.19078784028338899</v>
      </c>
      <c r="O12" s="1">
        <v>0</v>
      </c>
      <c r="P12" s="1">
        <v>4.5092497528228803E-2</v>
      </c>
      <c r="Q12" s="1" t="s">
        <v>31</v>
      </c>
      <c r="R12" s="1" t="s">
        <v>31</v>
      </c>
      <c r="S12" s="1">
        <v>1.03E-2</v>
      </c>
      <c r="T12" s="1">
        <v>0</v>
      </c>
      <c r="U12" s="1">
        <v>3.0655817206808101E-3</v>
      </c>
      <c r="V12" s="1">
        <v>4.7718907406753396E-3</v>
      </c>
      <c r="W12" s="1">
        <v>1.35927270068627E-3</v>
      </c>
      <c r="X12" s="1" t="s">
        <v>32</v>
      </c>
      <c r="Y12" s="1">
        <v>15.563888888888799</v>
      </c>
      <c r="Z12" s="1">
        <v>0.22222222222222199</v>
      </c>
      <c r="AA12" s="1" t="s">
        <v>46</v>
      </c>
      <c r="AB12" s="1">
        <v>7</v>
      </c>
      <c r="AC12" s="1">
        <v>2</v>
      </c>
      <c r="AD12" s="1">
        <v>0</v>
      </c>
      <c r="AE12" s="1">
        <v>0</v>
      </c>
      <c r="AF12" s="1">
        <v>9</v>
      </c>
      <c r="AG12" s="1">
        <v>2003</v>
      </c>
      <c r="AH12" s="1">
        <v>2006</v>
      </c>
      <c r="AI12" s="1">
        <v>2003</v>
      </c>
      <c r="AJ12" s="1">
        <v>2018.56388888888</v>
      </c>
      <c r="AK12" s="1">
        <v>0.64714851534412898</v>
      </c>
      <c r="AL12" s="1">
        <v>0.47164646955224199</v>
      </c>
      <c r="AM12" s="1">
        <v>0.277218972422063</v>
      </c>
      <c r="AN12" s="1">
        <v>1352.5</v>
      </c>
      <c r="AO12" s="1">
        <v>627.5</v>
      </c>
      <c r="AP12" s="1">
        <v>725</v>
      </c>
      <c r="AQ12" s="1">
        <v>0.11307420494699599</v>
      </c>
      <c r="AR12" s="1">
        <v>799</v>
      </c>
      <c r="AS12" s="1">
        <v>1940</v>
      </c>
      <c r="AT12" s="1">
        <v>2820</v>
      </c>
      <c r="AU12" s="1">
        <v>53.6</v>
      </c>
      <c r="AV12" s="1">
        <v>0.21090259035156</v>
      </c>
      <c r="AW12" s="1">
        <v>15.5229497354497</v>
      </c>
      <c r="AX12" s="1" t="s">
        <v>31</v>
      </c>
      <c r="AY12" s="1" t="s">
        <v>31</v>
      </c>
      <c r="AZ12" s="1" t="s">
        <v>31</v>
      </c>
      <c r="BA12" s="1" t="s">
        <v>31</v>
      </c>
      <c r="BB12" s="1">
        <v>1894.23941798941</v>
      </c>
      <c r="BC12" s="1">
        <v>0.42180518070312001</v>
      </c>
      <c r="BD12" s="1">
        <v>0.51182795698924699</v>
      </c>
      <c r="BE12" s="1">
        <v>0.403847756272735</v>
      </c>
      <c r="BF12" s="1">
        <v>0.35871300299301601</v>
      </c>
      <c r="BG12" s="1">
        <v>1.42684528500131</v>
      </c>
      <c r="BH12" s="1">
        <v>0.165633761508891</v>
      </c>
      <c r="BI12" s="1">
        <v>7.63</v>
      </c>
      <c r="BJ12" s="1" t="s">
        <v>31</v>
      </c>
      <c r="BK12" s="1" t="s">
        <v>31</v>
      </c>
      <c r="BL12" s="1" t="s">
        <v>31</v>
      </c>
      <c r="BM12" s="1" t="s">
        <v>31</v>
      </c>
      <c r="BN12" s="1" t="s">
        <v>31</v>
      </c>
      <c r="BO12" s="1" t="s">
        <v>31</v>
      </c>
      <c r="BP12" s="1" t="s">
        <v>31</v>
      </c>
      <c r="BQ12" s="1" t="s">
        <v>31</v>
      </c>
      <c r="BR12" s="1" t="s">
        <v>31</v>
      </c>
      <c r="BS12" s="1" t="s">
        <v>31</v>
      </c>
      <c r="BT12" s="1" t="s">
        <v>31</v>
      </c>
      <c r="BU12" s="1" t="s">
        <v>31</v>
      </c>
      <c r="BV12" s="1">
        <v>0.46395563770794801</v>
      </c>
      <c r="BW12" s="1" t="s">
        <v>31</v>
      </c>
      <c r="BX12" s="1" t="s">
        <v>31</v>
      </c>
      <c r="BY12" s="1" t="s">
        <v>31</v>
      </c>
      <c r="BZ12" s="1" t="s">
        <v>31</v>
      </c>
      <c r="CA12" s="1" t="s">
        <v>31</v>
      </c>
      <c r="CB12" s="1" t="s">
        <v>31</v>
      </c>
      <c r="CC12" s="1" t="s">
        <v>31</v>
      </c>
      <c r="CD12" s="1" t="s">
        <v>31</v>
      </c>
      <c r="CE12" s="1" t="s">
        <v>31</v>
      </c>
      <c r="CF12" s="1" t="s">
        <v>31</v>
      </c>
      <c r="CG12" s="1" t="s">
        <v>31</v>
      </c>
      <c r="CH12" s="1" t="s">
        <v>31</v>
      </c>
      <c r="CI12" s="1" t="s">
        <v>31</v>
      </c>
      <c r="CJ12" s="1" t="s">
        <v>31</v>
      </c>
      <c r="CK12" s="1" t="s">
        <v>31</v>
      </c>
      <c r="CL12" s="1" t="s">
        <v>31</v>
      </c>
      <c r="CM12" s="1" t="s">
        <v>31</v>
      </c>
      <c r="CN12" s="1" t="s">
        <v>31</v>
      </c>
      <c r="CO12" s="1" t="s">
        <v>31</v>
      </c>
      <c r="CP12" s="1" t="s">
        <v>31</v>
      </c>
      <c r="CQ12" s="1" t="s">
        <v>31</v>
      </c>
      <c r="CR12" s="1" t="s">
        <v>31</v>
      </c>
      <c r="CS12" s="1" t="s">
        <v>31</v>
      </c>
      <c r="CT12" s="1" t="s">
        <v>31</v>
      </c>
      <c r="CU12" s="1" t="s">
        <v>31</v>
      </c>
      <c r="CV12" s="1" t="s">
        <v>31</v>
      </c>
      <c r="CW12" s="1" t="s">
        <v>31</v>
      </c>
      <c r="CX12" s="1" t="s">
        <v>31</v>
      </c>
      <c r="CY12" s="1" t="s">
        <v>31</v>
      </c>
      <c r="CZ12" s="1" t="s">
        <v>31</v>
      </c>
      <c r="DA12" s="1" t="s">
        <v>31</v>
      </c>
      <c r="DB12" s="1" t="s">
        <v>31</v>
      </c>
      <c r="DC12" s="1" t="s">
        <v>31</v>
      </c>
      <c r="DD12" s="1" t="s">
        <v>31</v>
      </c>
      <c r="DE12" s="1" t="s">
        <v>31</v>
      </c>
      <c r="DF12" s="1" t="s">
        <v>31</v>
      </c>
      <c r="DG12" s="1" t="s">
        <v>31</v>
      </c>
      <c r="DH12" s="1" t="s">
        <v>31</v>
      </c>
      <c r="DI12" s="1" t="s">
        <v>31</v>
      </c>
      <c r="DJ12" s="1" t="s">
        <v>31</v>
      </c>
      <c r="DK12" s="1" t="s">
        <v>31</v>
      </c>
      <c r="DL12" s="1" t="s">
        <v>31</v>
      </c>
      <c r="DM12" s="1" t="s">
        <v>31</v>
      </c>
      <c r="DN12" s="1" t="s">
        <v>31</v>
      </c>
      <c r="DO12" s="1" t="s">
        <v>31</v>
      </c>
      <c r="DP12" s="1" t="s">
        <v>31</v>
      </c>
      <c r="DQ12" s="1" t="s">
        <v>31</v>
      </c>
    </row>
    <row r="13" spans="1:121" x14ac:dyDescent="0.25">
      <c r="A13" s="1" t="s">
        <v>44</v>
      </c>
      <c r="B13" s="1">
        <v>1</v>
      </c>
      <c r="C13" s="1" t="s">
        <v>29</v>
      </c>
      <c r="D13" s="1" t="s">
        <v>45</v>
      </c>
      <c r="E13" s="1">
        <v>11.913888888888801</v>
      </c>
      <c r="F13" s="1">
        <v>0.192915</v>
      </c>
      <c r="G13" s="1">
        <v>0.47</v>
      </c>
      <c r="H13" s="1">
        <v>21.3</v>
      </c>
      <c r="I13" s="1">
        <v>7.2233333333333301</v>
      </c>
      <c r="J13" s="1" t="s">
        <v>31</v>
      </c>
      <c r="K13" s="1" t="s">
        <v>31</v>
      </c>
      <c r="L13" s="1">
        <v>1.3888888888890999E-3</v>
      </c>
      <c r="M13" s="1">
        <v>0.10164388037161901</v>
      </c>
      <c r="N13" s="1">
        <v>0.19078784028338899</v>
      </c>
      <c r="O13" s="1">
        <v>0</v>
      </c>
      <c r="P13" s="1">
        <v>4.5092497528228803E-2</v>
      </c>
      <c r="Q13" s="1" t="s">
        <v>31</v>
      </c>
      <c r="R13" s="1" t="s">
        <v>31</v>
      </c>
      <c r="S13" s="1">
        <v>1.03E-2</v>
      </c>
      <c r="T13" s="1">
        <v>0</v>
      </c>
      <c r="U13" s="1">
        <v>3.0655817206808101E-3</v>
      </c>
      <c r="V13" s="1">
        <v>4.7718907406753396E-3</v>
      </c>
      <c r="W13" s="1">
        <v>1.35927270068627E-3</v>
      </c>
      <c r="X13" s="1" t="s">
        <v>32</v>
      </c>
      <c r="Y13" s="1">
        <v>15.6833333333333</v>
      </c>
      <c r="Z13" s="1">
        <v>0.22222222222222199</v>
      </c>
      <c r="AA13" s="1" t="s">
        <v>46</v>
      </c>
      <c r="AB13" s="1">
        <v>7</v>
      </c>
      <c r="AC13" s="1">
        <v>2</v>
      </c>
      <c r="AD13" s="1">
        <v>0</v>
      </c>
      <c r="AE13" s="1">
        <v>0</v>
      </c>
      <c r="AF13" s="1">
        <v>9</v>
      </c>
      <c r="AG13" s="1">
        <v>2003</v>
      </c>
      <c r="AH13" s="1">
        <v>2006</v>
      </c>
      <c r="AI13" s="1">
        <v>2003</v>
      </c>
      <c r="AJ13" s="1">
        <v>2018.68333333333</v>
      </c>
      <c r="AK13" s="1">
        <v>0.50599981347054601</v>
      </c>
      <c r="AL13" s="1">
        <v>0.51495923211046901</v>
      </c>
      <c r="AM13" s="1">
        <v>0.277218972422063</v>
      </c>
      <c r="AN13" s="1">
        <v>1229.81368618632</v>
      </c>
      <c r="AO13" s="1">
        <v>536.042077738849</v>
      </c>
      <c r="AP13" s="1">
        <v>693.77160844748403</v>
      </c>
      <c r="AQ13" s="1">
        <v>0.12844880304923301</v>
      </c>
      <c r="AR13" s="1">
        <v>708.85481006012299</v>
      </c>
      <c r="AS13" s="1">
        <v>1699.88612108231</v>
      </c>
      <c r="AT13" s="1">
        <v>2403.5636816910101</v>
      </c>
      <c r="AU13" s="1">
        <v>65.061508246247101</v>
      </c>
      <c r="AV13" s="1">
        <v>0.21647222375577299</v>
      </c>
      <c r="AW13" s="1">
        <v>-3.1677742324315301</v>
      </c>
      <c r="AX13" s="1">
        <v>5.3050000000000299</v>
      </c>
      <c r="AY13" s="1">
        <v>84.694999999999894</v>
      </c>
      <c r="AZ13" s="1">
        <v>10</v>
      </c>
      <c r="BA13" s="1">
        <v>94.694999999999894</v>
      </c>
      <c r="BB13" s="1">
        <v>1663.80890458464</v>
      </c>
      <c r="BC13" s="1">
        <v>0.445124584919253</v>
      </c>
      <c r="BD13" s="1">
        <v>0.55304378262730403</v>
      </c>
      <c r="BE13" s="1">
        <v>0.441343842253685</v>
      </c>
      <c r="BF13" s="1">
        <v>0.37429846159328201</v>
      </c>
      <c r="BG13" s="1">
        <v>1.4803208751096699</v>
      </c>
      <c r="BH13" s="1">
        <v>0.162892400844493</v>
      </c>
      <c r="BI13" s="1">
        <v>7.4913545759018101</v>
      </c>
      <c r="BJ13" s="1">
        <v>13.240987355490599</v>
      </c>
      <c r="BK13" s="1">
        <v>27.293219787919</v>
      </c>
      <c r="BL13" s="1">
        <v>95.972101082633003</v>
      </c>
      <c r="BM13" s="1">
        <v>1151.10193777883</v>
      </c>
      <c r="BN13" s="1">
        <v>99.702166855453399</v>
      </c>
      <c r="BO13" s="1">
        <v>0.14227140075439601</v>
      </c>
      <c r="BP13" s="1">
        <v>0.81340710113159398</v>
      </c>
      <c r="BQ13" s="1">
        <v>181.19612363446799</v>
      </c>
      <c r="BR13" s="1">
        <v>17.497711555193099</v>
      </c>
      <c r="BS13" s="1">
        <v>146.82809089047399</v>
      </c>
      <c r="BT13" s="1">
        <v>28.377480515836901</v>
      </c>
      <c r="BU13" s="1">
        <v>1.4642655591775999</v>
      </c>
      <c r="BV13" s="1">
        <v>0.436105320725516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0.116942301769725</v>
      </c>
      <c r="CG13" s="1">
        <v>1.38016645344935E-2</v>
      </c>
      <c r="CH13" s="1" t="s">
        <v>31</v>
      </c>
      <c r="CI13" s="1">
        <v>19.942607797015601</v>
      </c>
      <c r="CJ13" s="1">
        <v>29.254275774857</v>
      </c>
      <c r="CK13" s="1">
        <v>44.341464557175698</v>
      </c>
      <c r="CL13" s="1">
        <v>1.9618026828991199E-2</v>
      </c>
      <c r="CM13" s="1">
        <v>35.395720133117798</v>
      </c>
      <c r="CN13" s="1">
        <v>124.03885985100101</v>
      </c>
      <c r="CO13" s="1">
        <v>52.938327305905702</v>
      </c>
      <c r="CP13" s="1">
        <v>1.2070905808334</v>
      </c>
      <c r="CQ13" s="2">
        <v>3.5193609984933698E-4</v>
      </c>
      <c r="CR13" s="1">
        <v>6.76555198213096</v>
      </c>
      <c r="CS13" s="1">
        <v>0</v>
      </c>
      <c r="CT13" s="1">
        <v>0</v>
      </c>
      <c r="CU13" s="1">
        <v>0</v>
      </c>
      <c r="CV13" s="1">
        <v>0</v>
      </c>
      <c r="CW13" s="1">
        <v>34.027068794431798</v>
      </c>
      <c r="CX13" s="1">
        <v>2.0598456088106201E-2</v>
      </c>
      <c r="CY13" s="1">
        <v>3.2545817413537899E-3</v>
      </c>
      <c r="CZ13" s="1">
        <v>4.0642119863780697E-2</v>
      </c>
      <c r="DA13" s="1">
        <v>2.8365419549135601E-2</v>
      </c>
      <c r="DB13" s="1">
        <v>0.10189610680081</v>
      </c>
      <c r="DC13" s="1">
        <v>1.3433331065781901E-2</v>
      </c>
      <c r="DD13" s="1">
        <v>0.258887888865595</v>
      </c>
      <c r="DE13" s="1">
        <v>9.2853406948755504E-2</v>
      </c>
      <c r="DF13" s="1">
        <v>3.72987414353473</v>
      </c>
      <c r="DG13" s="1">
        <v>5.5963850018605203</v>
      </c>
      <c r="DH13" s="1">
        <v>29.7878450851263</v>
      </c>
      <c r="DI13" s="1">
        <v>1.7618540521886601</v>
      </c>
      <c r="DJ13" s="1">
        <v>1.5737865584534601E-3</v>
      </c>
      <c r="DK13" s="1">
        <v>2.3606798376801098E-3</v>
      </c>
      <c r="DL13" s="1">
        <v>6.1865549612805504</v>
      </c>
      <c r="DM13" s="1">
        <v>1.3668336260168199</v>
      </c>
      <c r="DN13" s="1">
        <v>4.1524358344794496</v>
      </c>
      <c r="DO13" s="1">
        <v>1.91057688196252</v>
      </c>
      <c r="DP13" s="1">
        <v>0.33206896383367901</v>
      </c>
      <c r="DQ13" s="1">
        <v>2.8436495315486299E-2</v>
      </c>
    </row>
    <row r="14" spans="1:121" x14ac:dyDescent="0.25">
      <c r="A14" s="1" t="s">
        <v>44</v>
      </c>
      <c r="B14" s="1">
        <v>1</v>
      </c>
      <c r="C14" s="1" t="s">
        <v>34</v>
      </c>
      <c r="D14" s="1" t="s">
        <v>45</v>
      </c>
      <c r="E14" s="1">
        <v>11.9013888888888</v>
      </c>
      <c r="F14" s="1">
        <v>3.4684554999999999E-2</v>
      </c>
      <c r="G14" s="1">
        <v>5.6066666666666602</v>
      </c>
      <c r="H14" s="1">
        <v>21.5</v>
      </c>
      <c r="I14" s="1">
        <v>7.1733333333333302</v>
      </c>
      <c r="J14" s="1" t="s">
        <v>31</v>
      </c>
      <c r="K14" s="1" t="s">
        <v>31</v>
      </c>
      <c r="L14" s="1">
        <v>1.3888888888890999E-3</v>
      </c>
      <c r="M14" s="1">
        <v>1.0692410954694601E-2</v>
      </c>
      <c r="N14" s="1">
        <v>0.41585253796668498</v>
      </c>
      <c r="O14" s="1">
        <v>0</v>
      </c>
      <c r="P14" s="1">
        <v>8.1445278152470796E-2</v>
      </c>
      <c r="Q14" s="1" t="s">
        <v>31</v>
      </c>
      <c r="R14" s="1" t="s">
        <v>31</v>
      </c>
      <c r="S14" s="1">
        <v>1.03E-2</v>
      </c>
      <c r="T14" s="1">
        <v>0</v>
      </c>
      <c r="U14" s="2">
        <v>4.0977662737775699E-4</v>
      </c>
      <c r="V14" s="2">
        <v>5.8946004171735698E-4</v>
      </c>
      <c r="W14" s="2">
        <v>2.30093213038156E-4</v>
      </c>
      <c r="X14" s="1" t="s">
        <v>32</v>
      </c>
      <c r="Y14" s="1">
        <v>15.563888888888799</v>
      </c>
      <c r="Z14" s="1">
        <v>0.22222222222222199</v>
      </c>
      <c r="AA14" s="1" t="s">
        <v>46</v>
      </c>
      <c r="AB14" s="1">
        <v>7</v>
      </c>
      <c r="AC14" s="1">
        <v>2</v>
      </c>
      <c r="AD14" s="1">
        <v>0</v>
      </c>
      <c r="AE14" s="1">
        <v>0</v>
      </c>
      <c r="AF14" s="1">
        <v>9</v>
      </c>
      <c r="AG14" s="1">
        <v>2003</v>
      </c>
      <c r="AH14" s="1">
        <v>2006</v>
      </c>
      <c r="AI14" s="1">
        <v>2003</v>
      </c>
      <c r="AJ14" s="1">
        <v>2018.56388888888</v>
      </c>
      <c r="AK14" s="1">
        <v>0.64714851534412898</v>
      </c>
      <c r="AL14" s="1">
        <v>0.47164646955224199</v>
      </c>
      <c r="AM14" s="1">
        <v>0.277218972422063</v>
      </c>
      <c r="AN14" s="1">
        <v>1352.5</v>
      </c>
      <c r="AO14" s="1">
        <v>627.5</v>
      </c>
      <c r="AP14" s="1">
        <v>725</v>
      </c>
      <c r="AQ14" s="1">
        <v>0.11307420494699599</v>
      </c>
      <c r="AR14" s="1">
        <v>799</v>
      </c>
      <c r="AS14" s="1">
        <v>1940</v>
      </c>
      <c r="AT14" s="1">
        <v>2820</v>
      </c>
      <c r="AU14" s="1">
        <v>53.6</v>
      </c>
      <c r="AV14" s="1">
        <v>0.21090259035156</v>
      </c>
      <c r="AW14" s="1">
        <v>15.5229497354497</v>
      </c>
      <c r="AX14" s="1" t="s">
        <v>31</v>
      </c>
      <c r="AY14" s="1" t="s">
        <v>31</v>
      </c>
      <c r="AZ14" s="1" t="s">
        <v>31</v>
      </c>
      <c r="BA14" s="1" t="s">
        <v>31</v>
      </c>
      <c r="BB14" s="1">
        <v>1894.23941798941</v>
      </c>
      <c r="BC14" s="1">
        <v>0.42180518070312001</v>
      </c>
      <c r="BD14" s="1">
        <v>0.51182795698924699</v>
      </c>
      <c r="BE14" s="1">
        <v>0.403847756272735</v>
      </c>
      <c r="BF14" s="1">
        <v>0.35871300299301601</v>
      </c>
      <c r="BG14" s="1">
        <v>1.42684528500131</v>
      </c>
      <c r="BH14" s="1">
        <v>0.165633761508891</v>
      </c>
      <c r="BI14" s="1">
        <v>7.63</v>
      </c>
      <c r="BJ14" s="1" t="s">
        <v>31</v>
      </c>
      <c r="BK14" s="1" t="s">
        <v>31</v>
      </c>
      <c r="BL14" s="1" t="s">
        <v>31</v>
      </c>
      <c r="BM14" s="1" t="s">
        <v>31</v>
      </c>
      <c r="BN14" s="1" t="s">
        <v>31</v>
      </c>
      <c r="BO14" s="1" t="s">
        <v>31</v>
      </c>
      <c r="BP14" s="1" t="s">
        <v>31</v>
      </c>
      <c r="BQ14" s="1" t="s">
        <v>31</v>
      </c>
      <c r="BR14" s="1" t="s">
        <v>31</v>
      </c>
      <c r="BS14" s="1" t="s">
        <v>31</v>
      </c>
      <c r="BT14" s="1" t="s">
        <v>31</v>
      </c>
      <c r="BU14" s="1" t="s">
        <v>31</v>
      </c>
      <c r="BV14" s="1">
        <v>0.46395563770794801</v>
      </c>
      <c r="BW14" s="1" t="s">
        <v>31</v>
      </c>
      <c r="BX14" s="1" t="s">
        <v>31</v>
      </c>
      <c r="BY14" s="1" t="s">
        <v>31</v>
      </c>
      <c r="BZ14" s="1" t="s">
        <v>31</v>
      </c>
      <c r="CA14" s="1" t="s">
        <v>31</v>
      </c>
      <c r="CB14" s="1" t="s">
        <v>31</v>
      </c>
      <c r="CC14" s="1" t="s">
        <v>31</v>
      </c>
      <c r="CD14" s="1" t="s">
        <v>31</v>
      </c>
      <c r="CE14" s="1" t="s">
        <v>31</v>
      </c>
      <c r="CF14" s="1" t="s">
        <v>31</v>
      </c>
      <c r="CG14" s="1" t="s">
        <v>31</v>
      </c>
      <c r="CH14" s="1" t="s">
        <v>31</v>
      </c>
      <c r="CI14" s="1" t="s">
        <v>31</v>
      </c>
      <c r="CJ14" s="1" t="s">
        <v>31</v>
      </c>
      <c r="CK14" s="1" t="s">
        <v>31</v>
      </c>
      <c r="CL14" s="1" t="s">
        <v>31</v>
      </c>
      <c r="CM14" s="1" t="s">
        <v>31</v>
      </c>
      <c r="CN14" s="1" t="s">
        <v>31</v>
      </c>
      <c r="CO14" s="1" t="s">
        <v>31</v>
      </c>
      <c r="CP14" s="1" t="s">
        <v>31</v>
      </c>
      <c r="CQ14" s="1" t="s">
        <v>31</v>
      </c>
      <c r="CR14" s="1" t="s">
        <v>31</v>
      </c>
      <c r="CS14" s="1" t="s">
        <v>31</v>
      </c>
      <c r="CT14" s="1" t="s">
        <v>31</v>
      </c>
      <c r="CU14" s="1" t="s">
        <v>31</v>
      </c>
      <c r="CV14" s="1" t="s">
        <v>31</v>
      </c>
      <c r="CW14" s="1" t="s">
        <v>31</v>
      </c>
      <c r="CX14" s="1" t="s">
        <v>31</v>
      </c>
      <c r="CY14" s="1" t="s">
        <v>31</v>
      </c>
      <c r="CZ14" s="1" t="s">
        <v>31</v>
      </c>
      <c r="DA14" s="1" t="s">
        <v>31</v>
      </c>
      <c r="DB14" s="1" t="s">
        <v>31</v>
      </c>
      <c r="DC14" s="1" t="s">
        <v>31</v>
      </c>
      <c r="DD14" s="1" t="s">
        <v>31</v>
      </c>
      <c r="DE14" s="1" t="s">
        <v>31</v>
      </c>
      <c r="DF14" s="1" t="s">
        <v>31</v>
      </c>
      <c r="DG14" s="1" t="s">
        <v>31</v>
      </c>
      <c r="DH14" s="1" t="s">
        <v>31</v>
      </c>
      <c r="DI14" s="1" t="s">
        <v>31</v>
      </c>
      <c r="DJ14" s="1" t="s">
        <v>31</v>
      </c>
      <c r="DK14" s="1" t="s">
        <v>31</v>
      </c>
      <c r="DL14" s="1" t="s">
        <v>31</v>
      </c>
      <c r="DM14" s="1" t="s">
        <v>31</v>
      </c>
      <c r="DN14" s="1" t="s">
        <v>31</v>
      </c>
      <c r="DO14" s="1" t="s">
        <v>31</v>
      </c>
      <c r="DP14" s="1" t="s">
        <v>31</v>
      </c>
      <c r="DQ14" s="1" t="s">
        <v>31</v>
      </c>
    </row>
    <row r="15" spans="1:121" x14ac:dyDescent="0.25">
      <c r="A15" s="1" t="s">
        <v>44</v>
      </c>
      <c r="B15" s="1">
        <v>1</v>
      </c>
      <c r="C15" s="1" t="s">
        <v>34</v>
      </c>
      <c r="D15" s="1" t="s">
        <v>45</v>
      </c>
      <c r="E15" s="1">
        <v>11.9013888888888</v>
      </c>
      <c r="F15" s="1">
        <v>3.4684554999999999E-2</v>
      </c>
      <c r="G15" s="1">
        <v>5.6066666666666602</v>
      </c>
      <c r="H15" s="1">
        <v>21.5</v>
      </c>
      <c r="I15" s="1">
        <v>7.1733333333333302</v>
      </c>
      <c r="J15" s="1" t="s">
        <v>31</v>
      </c>
      <c r="K15" s="1" t="s">
        <v>31</v>
      </c>
      <c r="L15" s="1">
        <v>1.3888888888890999E-3</v>
      </c>
      <c r="M15" s="1">
        <v>1.0692410954694601E-2</v>
      </c>
      <c r="N15" s="1">
        <v>0.41585253796668498</v>
      </c>
      <c r="O15" s="1">
        <v>0</v>
      </c>
      <c r="P15" s="1">
        <v>8.1445278152470796E-2</v>
      </c>
      <c r="Q15" s="1" t="s">
        <v>31</v>
      </c>
      <c r="R15" s="1" t="s">
        <v>31</v>
      </c>
      <c r="S15" s="1">
        <v>1.03E-2</v>
      </c>
      <c r="T15" s="1">
        <v>0</v>
      </c>
      <c r="U15" s="2">
        <v>4.0977662737775699E-4</v>
      </c>
      <c r="V15" s="2">
        <v>5.8946004171735698E-4</v>
      </c>
      <c r="W15" s="2">
        <v>2.30093213038156E-4</v>
      </c>
      <c r="X15" s="1" t="s">
        <v>32</v>
      </c>
      <c r="Y15" s="1">
        <v>15.6833333333333</v>
      </c>
      <c r="Z15" s="1">
        <v>0.22222222222222199</v>
      </c>
      <c r="AA15" s="1" t="s">
        <v>46</v>
      </c>
      <c r="AB15" s="1">
        <v>7</v>
      </c>
      <c r="AC15" s="1">
        <v>2</v>
      </c>
      <c r="AD15" s="1">
        <v>0</v>
      </c>
      <c r="AE15" s="1">
        <v>0</v>
      </c>
      <c r="AF15" s="1">
        <v>9</v>
      </c>
      <c r="AG15" s="1">
        <v>2003</v>
      </c>
      <c r="AH15" s="1">
        <v>2006</v>
      </c>
      <c r="AI15" s="1">
        <v>2003</v>
      </c>
      <c r="AJ15" s="1">
        <v>2018.68333333333</v>
      </c>
      <c r="AK15" s="1">
        <v>0.50599981347054601</v>
      </c>
      <c r="AL15" s="1">
        <v>0.51495923211046901</v>
      </c>
      <c r="AM15" s="1">
        <v>0.277218972422063</v>
      </c>
      <c r="AN15" s="1">
        <v>1229.81368618632</v>
      </c>
      <c r="AO15" s="1">
        <v>536.042077738849</v>
      </c>
      <c r="AP15" s="1">
        <v>693.77160844748403</v>
      </c>
      <c r="AQ15" s="1">
        <v>0.12844880304923301</v>
      </c>
      <c r="AR15" s="1">
        <v>708.85481006012299</v>
      </c>
      <c r="AS15" s="1">
        <v>1699.88612108231</v>
      </c>
      <c r="AT15" s="1">
        <v>2403.5636816910101</v>
      </c>
      <c r="AU15" s="1">
        <v>65.061508246247101</v>
      </c>
      <c r="AV15" s="1">
        <v>0.21647222375577299</v>
      </c>
      <c r="AW15" s="1">
        <v>-3.1677742324315301</v>
      </c>
      <c r="AX15" s="1">
        <v>5.3050000000000299</v>
      </c>
      <c r="AY15" s="1">
        <v>84.694999999999894</v>
      </c>
      <c r="AZ15" s="1">
        <v>10</v>
      </c>
      <c r="BA15" s="1">
        <v>94.694999999999894</v>
      </c>
      <c r="BB15" s="1">
        <v>1663.80890458464</v>
      </c>
      <c r="BC15" s="1">
        <v>0.445124584919253</v>
      </c>
      <c r="BD15" s="1">
        <v>0.55304378262730403</v>
      </c>
      <c r="BE15" s="1">
        <v>0.441343842253685</v>
      </c>
      <c r="BF15" s="1">
        <v>0.37429846159328201</v>
      </c>
      <c r="BG15" s="1">
        <v>1.4803208751096699</v>
      </c>
      <c r="BH15" s="1">
        <v>0.162892400844493</v>
      </c>
      <c r="BI15" s="1">
        <v>7.4913545759018101</v>
      </c>
      <c r="BJ15" s="1">
        <v>13.240987355490599</v>
      </c>
      <c r="BK15" s="1">
        <v>27.293219787919</v>
      </c>
      <c r="BL15" s="1">
        <v>95.972101082633003</v>
      </c>
      <c r="BM15" s="1">
        <v>1151.10193777883</v>
      </c>
      <c r="BN15" s="1">
        <v>99.702166855453399</v>
      </c>
      <c r="BO15" s="1">
        <v>0.14227140075439601</v>
      </c>
      <c r="BP15" s="1">
        <v>0.81340710113159398</v>
      </c>
      <c r="BQ15" s="1">
        <v>181.19612363446799</v>
      </c>
      <c r="BR15" s="1">
        <v>17.497711555193099</v>
      </c>
      <c r="BS15" s="1">
        <v>146.82809089047399</v>
      </c>
      <c r="BT15" s="1">
        <v>28.377480515836901</v>
      </c>
      <c r="BU15" s="1">
        <v>1.4642655591775999</v>
      </c>
      <c r="BV15" s="1">
        <v>0.436105320725516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0.116942301769725</v>
      </c>
      <c r="CG15" s="1">
        <v>1.38016645344935E-2</v>
      </c>
      <c r="CH15" s="1" t="s">
        <v>31</v>
      </c>
      <c r="CI15" s="1">
        <v>19.942607797015601</v>
      </c>
      <c r="CJ15" s="1">
        <v>29.254275774857</v>
      </c>
      <c r="CK15" s="1">
        <v>44.341464557175698</v>
      </c>
      <c r="CL15" s="1">
        <v>1.9618026828991199E-2</v>
      </c>
      <c r="CM15" s="1">
        <v>35.395720133117798</v>
      </c>
      <c r="CN15" s="1">
        <v>124.03885985100101</v>
      </c>
      <c r="CO15" s="1">
        <v>52.938327305905702</v>
      </c>
      <c r="CP15" s="1">
        <v>1.2070905808334</v>
      </c>
      <c r="CQ15" s="2">
        <v>3.5193609984933698E-4</v>
      </c>
      <c r="CR15" s="1">
        <v>6.76555198213096</v>
      </c>
      <c r="CS15" s="1">
        <v>0</v>
      </c>
      <c r="CT15" s="1">
        <v>0</v>
      </c>
      <c r="CU15" s="1">
        <v>0</v>
      </c>
      <c r="CV15" s="1">
        <v>0</v>
      </c>
      <c r="CW15" s="1">
        <v>34.027068794431798</v>
      </c>
      <c r="CX15" s="1">
        <v>2.0598456088106201E-2</v>
      </c>
      <c r="CY15" s="1">
        <v>3.2545817413537899E-3</v>
      </c>
      <c r="CZ15" s="1">
        <v>4.0642119863780697E-2</v>
      </c>
      <c r="DA15" s="1">
        <v>2.8365419549135601E-2</v>
      </c>
      <c r="DB15" s="1">
        <v>0.10189610680081</v>
      </c>
      <c r="DC15" s="1">
        <v>1.3433331065781901E-2</v>
      </c>
      <c r="DD15" s="1">
        <v>0.258887888865595</v>
      </c>
      <c r="DE15" s="1">
        <v>9.2853406948755504E-2</v>
      </c>
      <c r="DF15" s="1">
        <v>3.72987414353473</v>
      </c>
      <c r="DG15" s="1">
        <v>5.5963850018605203</v>
      </c>
      <c r="DH15" s="1">
        <v>29.7878450851263</v>
      </c>
      <c r="DI15" s="1">
        <v>1.7618540521886601</v>
      </c>
      <c r="DJ15" s="1">
        <v>1.5737865584534601E-3</v>
      </c>
      <c r="DK15" s="1">
        <v>2.3606798376801098E-3</v>
      </c>
      <c r="DL15" s="1">
        <v>6.1865549612805504</v>
      </c>
      <c r="DM15" s="1">
        <v>1.3668336260168199</v>
      </c>
      <c r="DN15" s="1">
        <v>4.1524358344794496</v>
      </c>
      <c r="DO15" s="1">
        <v>1.91057688196252</v>
      </c>
      <c r="DP15" s="1">
        <v>0.33206896383367901</v>
      </c>
      <c r="DQ15" s="1">
        <v>2.8436495315486299E-2</v>
      </c>
    </row>
    <row r="16" spans="1:121" x14ac:dyDescent="0.25">
      <c r="A16" s="1" t="s">
        <v>47</v>
      </c>
      <c r="B16" s="1">
        <v>0</v>
      </c>
      <c r="C16" s="1" t="s">
        <v>29</v>
      </c>
      <c r="D16" s="1" t="s">
        <v>48</v>
      </c>
      <c r="E16" s="1">
        <v>12.9583333333333</v>
      </c>
      <c r="F16" s="1">
        <v>0.29113711111111101</v>
      </c>
      <c r="G16" s="1">
        <v>0.483333333333333</v>
      </c>
      <c r="H16" s="1">
        <v>18.5</v>
      </c>
      <c r="I16" s="1">
        <v>8.3333333333333304</v>
      </c>
      <c r="J16" s="1" t="s">
        <v>31</v>
      </c>
      <c r="K16" s="1" t="s">
        <v>31</v>
      </c>
      <c r="L16" s="1">
        <v>0.86602540378443804</v>
      </c>
      <c r="M16" s="1">
        <v>0.120331393515412</v>
      </c>
      <c r="N16" s="1">
        <v>0.20254629100529001</v>
      </c>
      <c r="O16" s="1">
        <v>0.109544511501034</v>
      </c>
      <c r="P16" s="1">
        <v>2.88675134594806E-2</v>
      </c>
      <c r="Q16" s="1" t="s">
        <v>31</v>
      </c>
      <c r="R16" s="1" t="s">
        <v>31</v>
      </c>
      <c r="S16" s="1">
        <v>5.0000000000000001E-3</v>
      </c>
      <c r="T16" s="1">
        <v>0</v>
      </c>
      <c r="U16" s="1">
        <v>4.4162640943194E-3</v>
      </c>
      <c r="V16" s="1">
        <v>6.2734688816955403E-3</v>
      </c>
      <c r="W16" s="1">
        <v>2.5590593069432501E-3</v>
      </c>
      <c r="X16" s="1" t="s">
        <v>32</v>
      </c>
      <c r="Y16" s="1">
        <v>16.5194444444443</v>
      </c>
      <c r="Z16" s="1">
        <v>0.22222222222222199</v>
      </c>
      <c r="AA16" s="1" t="s">
        <v>46</v>
      </c>
      <c r="AB16" s="1">
        <v>7</v>
      </c>
      <c r="AC16" s="1">
        <v>2</v>
      </c>
      <c r="AD16" s="1">
        <v>0</v>
      </c>
      <c r="AE16" s="1">
        <v>0</v>
      </c>
      <c r="AF16" s="1">
        <v>9</v>
      </c>
      <c r="AG16" s="1">
        <v>2003</v>
      </c>
      <c r="AH16" s="1">
        <v>2006</v>
      </c>
      <c r="AI16" s="1">
        <v>2003</v>
      </c>
      <c r="AJ16" s="1">
        <v>2019.5194444444401</v>
      </c>
      <c r="AK16" s="1">
        <v>0.27787873549551001</v>
      </c>
      <c r="AL16" s="1">
        <v>0.66333317116338097</v>
      </c>
      <c r="AM16" s="1">
        <v>0.62799188265814199</v>
      </c>
      <c r="AN16" s="1">
        <v>1075.7220132688501</v>
      </c>
      <c r="AO16" s="1">
        <v>451.518443432884</v>
      </c>
      <c r="AP16" s="1">
        <v>624.20356983597298</v>
      </c>
      <c r="AQ16" s="1">
        <v>0.24332643327384401</v>
      </c>
      <c r="AR16" s="1">
        <v>400.19650763720301</v>
      </c>
      <c r="AS16" s="1">
        <v>2031.5299029835601</v>
      </c>
      <c r="AT16" s="1">
        <v>1746.0380555034001</v>
      </c>
      <c r="AU16" s="1">
        <v>22.024149321916301</v>
      </c>
      <c r="AV16" s="1">
        <v>0.12108195360572201</v>
      </c>
      <c r="AW16" s="1">
        <v>309.10011886259701</v>
      </c>
      <c r="AX16" s="1">
        <v>37.299999999999898</v>
      </c>
      <c r="AY16" s="1">
        <v>51.45</v>
      </c>
      <c r="AZ16" s="1">
        <v>11.25</v>
      </c>
      <c r="BA16" s="1">
        <v>62.700000000000102</v>
      </c>
      <c r="BB16" s="1">
        <v>1649.5270383716299</v>
      </c>
      <c r="BC16" s="1">
        <v>0.24216390721144199</v>
      </c>
      <c r="BD16" s="1">
        <v>0.41543960865968499</v>
      </c>
      <c r="BE16" s="1">
        <v>0.24466897701210599</v>
      </c>
      <c r="BF16" s="1">
        <v>0.171907729335493</v>
      </c>
      <c r="BG16" s="1">
        <v>2.4259940366220998</v>
      </c>
      <c r="BH16" s="1">
        <v>0.13880478077222499</v>
      </c>
      <c r="BI16" s="1">
        <v>8.3140666488329291</v>
      </c>
      <c r="BJ16" s="1">
        <v>17.3638555956645</v>
      </c>
      <c r="BK16" s="1">
        <v>134.582425541053</v>
      </c>
      <c r="BL16" s="1">
        <v>748.88757618952798</v>
      </c>
      <c r="BM16" s="1">
        <v>3170.2412575220101</v>
      </c>
      <c r="BN16" s="1">
        <v>14.011946447108899</v>
      </c>
      <c r="BO16" s="1">
        <v>0.448555404002559</v>
      </c>
      <c r="BP16" s="1">
        <v>0.67545808164710797</v>
      </c>
      <c r="BQ16" s="1">
        <v>15.852394160768</v>
      </c>
      <c r="BR16" s="1">
        <v>10.362912850778701</v>
      </c>
      <c r="BS16" s="1">
        <v>52.149844683848897</v>
      </c>
      <c r="BT16" s="1">
        <v>38.055045369029202</v>
      </c>
      <c r="BU16" s="1">
        <v>4.2456795028034904</v>
      </c>
      <c r="BV16" s="1">
        <v>0.42209531077214502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5.1353005091315497E-2</v>
      </c>
      <c r="CG16" s="1">
        <v>4.6639200116093703E-2</v>
      </c>
      <c r="CH16" s="1">
        <v>0.34202828713845002</v>
      </c>
      <c r="CI16" s="1">
        <v>75.266606452953098</v>
      </c>
      <c r="CJ16" s="1">
        <v>40.799423681675798</v>
      </c>
      <c r="CK16" s="1">
        <v>116.066030134629</v>
      </c>
      <c r="CL16" s="1">
        <v>3.8927152125169E-2</v>
      </c>
      <c r="CM16" s="1">
        <v>91.327500719227899</v>
      </c>
      <c r="CN16" s="1">
        <v>459.443931565502</v>
      </c>
      <c r="CO16" s="1">
        <v>314.10242102871098</v>
      </c>
      <c r="CP16" s="1">
        <v>0.27427550883090801</v>
      </c>
      <c r="CQ16" s="1">
        <v>1.8885537611178201E-3</v>
      </c>
      <c r="CR16" s="1">
        <v>59.470881684032598</v>
      </c>
      <c r="CS16" s="1">
        <v>0</v>
      </c>
      <c r="CT16" s="1">
        <v>0</v>
      </c>
      <c r="CU16" s="1">
        <v>0</v>
      </c>
      <c r="CV16" s="1">
        <v>0</v>
      </c>
      <c r="CW16" s="1">
        <v>350.69391256572101</v>
      </c>
      <c r="CX16" s="1">
        <v>3.7771075222359598E-3</v>
      </c>
      <c r="CY16" s="1">
        <v>1.8040844191811699E-2</v>
      </c>
      <c r="CZ16" s="1">
        <v>4.0417533603405803E-2</v>
      </c>
      <c r="DA16" s="2">
        <v>6.67408458158972E-4</v>
      </c>
      <c r="DB16" s="1">
        <v>9.8230407037358206E-2</v>
      </c>
      <c r="DC16" s="1">
        <v>1.7024900854717601E-2</v>
      </c>
      <c r="DD16" s="1">
        <v>0.105554669603941</v>
      </c>
      <c r="DE16" s="1">
        <v>0.208248225220555</v>
      </c>
      <c r="DF16" s="1">
        <v>1.2381470780164301</v>
      </c>
      <c r="DG16" s="1">
        <v>3.4161701008702501</v>
      </c>
      <c r="DH16" s="1">
        <v>14.399373602370201</v>
      </c>
      <c r="DI16" s="1">
        <v>7.56151553793937E-2</v>
      </c>
      <c r="DJ16" s="1">
        <v>5.7222279746570502E-3</v>
      </c>
      <c r="DK16" s="1">
        <v>9.5029857436269797E-3</v>
      </c>
      <c r="DL16" s="1">
        <v>0.199051787404144</v>
      </c>
      <c r="DM16" s="1">
        <v>0.14407752579047201</v>
      </c>
      <c r="DN16" s="1">
        <v>0.62024863939586095</v>
      </c>
      <c r="DO16" s="1">
        <v>0.38461546601087898</v>
      </c>
      <c r="DP16" s="1">
        <v>3.97490478953854E-2</v>
      </c>
      <c r="DQ16" s="1">
        <v>6.7460835074556094E-2</v>
      </c>
    </row>
    <row r="17" spans="1:121" x14ac:dyDescent="0.25">
      <c r="A17" s="1" t="s">
        <v>47</v>
      </c>
      <c r="B17" s="1">
        <v>0</v>
      </c>
      <c r="C17" s="1" t="s">
        <v>34</v>
      </c>
      <c r="D17" s="1" t="s">
        <v>48</v>
      </c>
      <c r="E17" s="1">
        <v>12.9583333333333</v>
      </c>
      <c r="F17" s="1">
        <v>8.2485441111111099E-2</v>
      </c>
      <c r="G17" s="1">
        <v>4.07</v>
      </c>
      <c r="H17" s="1">
        <v>18.5</v>
      </c>
      <c r="I17" s="1">
        <v>8.25</v>
      </c>
      <c r="J17" s="1" t="s">
        <v>31</v>
      </c>
      <c r="K17" s="1" t="s">
        <v>31</v>
      </c>
      <c r="L17" s="1">
        <v>0.86602540378443804</v>
      </c>
      <c r="M17" s="1">
        <v>3.8039194813819399E-2</v>
      </c>
      <c r="N17" s="1">
        <v>1.09538805909138</v>
      </c>
      <c r="O17" s="1">
        <v>0.109544511501034</v>
      </c>
      <c r="P17" s="1">
        <v>0.115325625946708</v>
      </c>
      <c r="Q17" s="1" t="s">
        <v>31</v>
      </c>
      <c r="R17" s="1" t="s">
        <v>31</v>
      </c>
      <c r="S17" s="1">
        <v>5.0000000000000001E-3</v>
      </c>
      <c r="T17" s="1">
        <v>0</v>
      </c>
      <c r="U17" s="1">
        <v>1.19591677599142E-3</v>
      </c>
      <c r="V17" s="1">
        <v>1.78301688887352E-3</v>
      </c>
      <c r="W17" s="2">
        <v>6.0881666310932405E-4</v>
      </c>
      <c r="X17" s="1" t="s">
        <v>32</v>
      </c>
      <c r="Y17" s="1">
        <v>16.5194444444443</v>
      </c>
      <c r="Z17" s="1">
        <v>0.22222222222222199</v>
      </c>
      <c r="AA17" s="1" t="s">
        <v>46</v>
      </c>
      <c r="AB17" s="1">
        <v>7</v>
      </c>
      <c r="AC17" s="1">
        <v>2</v>
      </c>
      <c r="AD17" s="1">
        <v>0</v>
      </c>
      <c r="AE17" s="1">
        <v>0</v>
      </c>
      <c r="AF17" s="1">
        <v>9</v>
      </c>
      <c r="AG17" s="1">
        <v>2003</v>
      </c>
      <c r="AH17" s="1">
        <v>2006</v>
      </c>
      <c r="AI17" s="1">
        <v>2003</v>
      </c>
      <c r="AJ17" s="1">
        <v>2019.5194444444401</v>
      </c>
      <c r="AK17" s="1">
        <v>0.27787873549551001</v>
      </c>
      <c r="AL17" s="1">
        <v>0.66333317116338097</v>
      </c>
      <c r="AM17" s="1">
        <v>0.62799188265814199</v>
      </c>
      <c r="AN17" s="1">
        <v>1075.7220132688501</v>
      </c>
      <c r="AO17" s="1">
        <v>451.518443432884</v>
      </c>
      <c r="AP17" s="1">
        <v>624.20356983597298</v>
      </c>
      <c r="AQ17" s="1">
        <v>0.24332643327384401</v>
      </c>
      <c r="AR17" s="1">
        <v>400.19650763720301</v>
      </c>
      <c r="AS17" s="1">
        <v>2031.5299029835601</v>
      </c>
      <c r="AT17" s="1">
        <v>1746.0380555034001</v>
      </c>
      <c r="AU17" s="1">
        <v>22.024149321916301</v>
      </c>
      <c r="AV17" s="1">
        <v>0.12108195360572201</v>
      </c>
      <c r="AW17" s="1">
        <v>309.10011886259701</v>
      </c>
      <c r="AX17" s="1">
        <v>37.299999999999898</v>
      </c>
      <c r="AY17" s="1">
        <v>51.45</v>
      </c>
      <c r="AZ17" s="1">
        <v>11.25</v>
      </c>
      <c r="BA17" s="1">
        <v>62.700000000000102</v>
      </c>
      <c r="BB17" s="1">
        <v>1649.5270383716299</v>
      </c>
      <c r="BC17" s="1">
        <v>0.24216390721144199</v>
      </c>
      <c r="BD17" s="1">
        <v>0.41543960865968499</v>
      </c>
      <c r="BE17" s="1">
        <v>0.24466897701210599</v>
      </c>
      <c r="BF17" s="1">
        <v>0.171907729335493</v>
      </c>
      <c r="BG17" s="1">
        <v>2.4259940366220998</v>
      </c>
      <c r="BH17" s="1">
        <v>0.13880478077222499</v>
      </c>
      <c r="BI17" s="1">
        <v>8.3140666488329291</v>
      </c>
      <c r="BJ17" s="1">
        <v>17.3638555956645</v>
      </c>
      <c r="BK17" s="1">
        <v>134.582425541053</v>
      </c>
      <c r="BL17" s="1">
        <v>748.88757618952798</v>
      </c>
      <c r="BM17" s="1">
        <v>3170.2412575220101</v>
      </c>
      <c r="BN17" s="1">
        <v>14.011946447108899</v>
      </c>
      <c r="BO17" s="1">
        <v>0.448555404002559</v>
      </c>
      <c r="BP17" s="1">
        <v>0.67545808164710797</v>
      </c>
      <c r="BQ17" s="1">
        <v>15.852394160768</v>
      </c>
      <c r="BR17" s="1">
        <v>10.362912850778701</v>
      </c>
      <c r="BS17" s="1">
        <v>52.149844683848897</v>
      </c>
      <c r="BT17" s="1">
        <v>38.055045369029202</v>
      </c>
      <c r="BU17" s="1">
        <v>4.2456795028034904</v>
      </c>
      <c r="BV17" s="1">
        <v>0.42209531077214502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5.1353005091315497E-2</v>
      </c>
      <c r="CG17" s="1">
        <v>4.6639200116093703E-2</v>
      </c>
      <c r="CH17" s="1">
        <v>0.34202828713845002</v>
      </c>
      <c r="CI17" s="1">
        <v>75.266606452953098</v>
      </c>
      <c r="CJ17" s="1">
        <v>40.799423681675798</v>
      </c>
      <c r="CK17" s="1">
        <v>116.066030134629</v>
      </c>
      <c r="CL17" s="1">
        <v>3.8927152125169E-2</v>
      </c>
      <c r="CM17" s="1">
        <v>91.327500719227899</v>
      </c>
      <c r="CN17" s="1">
        <v>459.443931565502</v>
      </c>
      <c r="CO17" s="1">
        <v>314.10242102871098</v>
      </c>
      <c r="CP17" s="1">
        <v>0.27427550883090801</v>
      </c>
      <c r="CQ17" s="1">
        <v>1.8885537611178201E-3</v>
      </c>
      <c r="CR17" s="1">
        <v>59.470881684032598</v>
      </c>
      <c r="CS17" s="1">
        <v>0</v>
      </c>
      <c r="CT17" s="1">
        <v>0</v>
      </c>
      <c r="CU17" s="1">
        <v>0</v>
      </c>
      <c r="CV17" s="1">
        <v>0</v>
      </c>
      <c r="CW17" s="1">
        <v>350.69391256572101</v>
      </c>
      <c r="CX17" s="1">
        <v>3.7771075222359598E-3</v>
      </c>
      <c r="CY17" s="1">
        <v>1.8040844191811699E-2</v>
      </c>
      <c r="CZ17" s="1">
        <v>4.0417533603405803E-2</v>
      </c>
      <c r="DA17" s="2">
        <v>6.67408458158972E-4</v>
      </c>
      <c r="DB17" s="1">
        <v>9.8230407037358206E-2</v>
      </c>
      <c r="DC17" s="1">
        <v>1.7024900854717601E-2</v>
      </c>
      <c r="DD17" s="1">
        <v>0.105554669603941</v>
      </c>
      <c r="DE17" s="1">
        <v>0.208248225220555</v>
      </c>
      <c r="DF17" s="1">
        <v>1.2381470780164301</v>
      </c>
      <c r="DG17" s="1">
        <v>3.4161701008702501</v>
      </c>
      <c r="DH17" s="1">
        <v>14.399373602370201</v>
      </c>
      <c r="DI17" s="1">
        <v>7.56151553793937E-2</v>
      </c>
      <c r="DJ17" s="1">
        <v>5.7222279746570502E-3</v>
      </c>
      <c r="DK17" s="1">
        <v>9.5029857436269797E-3</v>
      </c>
      <c r="DL17" s="1">
        <v>0.199051787404144</v>
      </c>
      <c r="DM17" s="1">
        <v>0.14407752579047201</v>
      </c>
      <c r="DN17" s="1">
        <v>0.62024863939586095</v>
      </c>
      <c r="DO17" s="1">
        <v>0.38461546601087898</v>
      </c>
      <c r="DP17" s="1">
        <v>3.97490478953854E-2</v>
      </c>
      <c r="DQ17" s="1">
        <v>6.7460835074556094E-2</v>
      </c>
    </row>
    <row r="18" spans="1:121" x14ac:dyDescent="0.25">
      <c r="A18" s="1" t="s">
        <v>47</v>
      </c>
      <c r="B18" s="1">
        <v>2</v>
      </c>
      <c r="C18" s="1" t="s">
        <v>29</v>
      </c>
      <c r="D18" s="1" t="s">
        <v>49</v>
      </c>
      <c r="E18" s="1">
        <v>12.7215277777777</v>
      </c>
      <c r="F18" s="1">
        <v>0.21734500000000001</v>
      </c>
      <c r="G18" s="1">
        <v>0.59833333333333305</v>
      </c>
      <c r="H18" s="1">
        <v>21.883333333333301</v>
      </c>
      <c r="I18" s="1">
        <v>8.3816666666666606</v>
      </c>
      <c r="J18" s="1">
        <v>-55.533333333333303</v>
      </c>
      <c r="K18" s="1">
        <v>457.03333333333302</v>
      </c>
      <c r="L18" s="1">
        <v>1.0300226984194301</v>
      </c>
      <c r="M18" s="1">
        <v>8.1940761712349194E-2</v>
      </c>
      <c r="N18" s="1">
        <v>0.66607557128802297</v>
      </c>
      <c r="O18" s="1">
        <v>1.0778064142816499</v>
      </c>
      <c r="P18" s="1">
        <v>0.378175444293606</v>
      </c>
      <c r="Q18" s="1">
        <v>143.87641456008899</v>
      </c>
      <c r="R18" s="1">
        <v>11.3999415203178</v>
      </c>
      <c r="S18" s="1">
        <v>5.0000000000000001E-3</v>
      </c>
      <c r="T18" s="1">
        <v>0</v>
      </c>
      <c r="U18" s="1">
        <v>3.33835689721054E-3</v>
      </c>
      <c r="V18" s="1">
        <v>4.6265789275155003E-3</v>
      </c>
      <c r="W18" s="1">
        <v>2.0501348669055802E-3</v>
      </c>
      <c r="X18" s="1" t="s">
        <v>32</v>
      </c>
      <c r="Y18" s="1">
        <v>16.5194444444443</v>
      </c>
      <c r="Z18" s="1">
        <v>0.22222222222222199</v>
      </c>
      <c r="AA18" s="1" t="s">
        <v>46</v>
      </c>
      <c r="AB18" s="1">
        <v>7</v>
      </c>
      <c r="AC18" s="1">
        <v>2</v>
      </c>
      <c r="AD18" s="1">
        <v>0</v>
      </c>
      <c r="AE18" s="1">
        <v>0</v>
      </c>
      <c r="AF18" s="1">
        <v>9</v>
      </c>
      <c r="AG18" s="1">
        <v>2003</v>
      </c>
      <c r="AH18" s="1">
        <v>2006</v>
      </c>
      <c r="AI18" s="1">
        <v>2003</v>
      </c>
      <c r="AJ18" s="1">
        <v>2019.5194444444401</v>
      </c>
      <c r="AK18" s="1">
        <v>0.62061063762368096</v>
      </c>
      <c r="AL18" s="1">
        <v>0.460724325653949</v>
      </c>
      <c r="AM18" s="1">
        <v>0.181904566378253</v>
      </c>
      <c r="AN18" s="1">
        <v>862.57774663287</v>
      </c>
      <c r="AO18" s="1">
        <v>289.90710594775197</v>
      </c>
      <c r="AP18" s="1">
        <v>572.67064068511797</v>
      </c>
      <c r="AQ18" s="1">
        <v>0.18933589983291399</v>
      </c>
      <c r="AR18" s="1">
        <v>357.78865818500702</v>
      </c>
      <c r="AS18" s="1">
        <v>2320.0920459084</v>
      </c>
      <c r="AT18" s="1">
        <v>2692.77510097192</v>
      </c>
      <c r="AU18" s="1">
        <v>47.4114625885585</v>
      </c>
      <c r="AV18" s="1">
        <v>8.6802561034888495E-2</v>
      </c>
      <c r="AW18" s="1">
        <v>535.41868209955305</v>
      </c>
      <c r="AX18" s="1">
        <v>16.73</v>
      </c>
      <c r="AY18" s="1">
        <v>52.019999999999897</v>
      </c>
      <c r="AZ18" s="1">
        <v>31.25</v>
      </c>
      <c r="BA18" s="1">
        <v>83.27</v>
      </c>
      <c r="BB18" s="1">
        <v>2077.2263727547902</v>
      </c>
      <c r="BC18" s="1">
        <v>0.17360512206977599</v>
      </c>
      <c r="BD18" s="1">
        <v>0.24393193878564401</v>
      </c>
      <c r="BE18" s="1">
        <v>0.410397500812831</v>
      </c>
      <c r="BF18" s="1">
        <v>0.135940447139659</v>
      </c>
      <c r="BG18" s="1">
        <v>1.8194741229764599</v>
      </c>
      <c r="BH18" s="1">
        <v>7.0181060618551894E-2</v>
      </c>
      <c r="BI18" s="1">
        <v>5.2486115720293798</v>
      </c>
      <c r="BJ18" s="1">
        <v>11.381620958346501</v>
      </c>
      <c r="BK18" s="1">
        <v>163.124259293411</v>
      </c>
      <c r="BL18" s="1">
        <v>991.56757825492502</v>
      </c>
      <c r="BM18" s="1">
        <v>3783.2396492789599</v>
      </c>
      <c r="BN18" s="1">
        <v>7.7150120452935598</v>
      </c>
      <c r="BO18" s="1">
        <v>0.57104286322158404</v>
      </c>
      <c r="BP18" s="1">
        <v>0.89324177036549901</v>
      </c>
      <c r="BQ18" s="1">
        <v>7.5924811609378198</v>
      </c>
      <c r="BR18" s="1">
        <v>13.4466617209582</v>
      </c>
      <c r="BS18" s="1">
        <v>16.840528225379298</v>
      </c>
      <c r="BT18" s="1">
        <v>18.086186303483899</v>
      </c>
      <c r="BU18" s="1">
        <v>3.0355554004537799</v>
      </c>
      <c r="BV18" s="1">
        <v>0.33669620176956799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6.4462025063113201E-2</v>
      </c>
      <c r="CG18" s="1">
        <v>2.8468441416692299E-2</v>
      </c>
      <c r="CH18" s="1">
        <v>2.5751041079855201E-2</v>
      </c>
      <c r="CI18" s="1">
        <v>62.786570179101801</v>
      </c>
      <c r="CJ18" s="1">
        <v>11.4597942573641</v>
      </c>
      <c r="CK18" s="1">
        <v>52.031369627669797</v>
      </c>
      <c r="CL18" s="1">
        <v>1.49523386325979E-2</v>
      </c>
      <c r="CM18" s="1">
        <v>25.653363612258001</v>
      </c>
      <c r="CN18" s="1">
        <v>109.985125602496</v>
      </c>
      <c r="CO18" s="1">
        <v>393.25360074186199</v>
      </c>
      <c r="CP18" s="1">
        <v>3.5873027503971802</v>
      </c>
      <c r="CQ18" s="1">
        <v>5.3704682955372602E-3</v>
      </c>
      <c r="CR18" s="1">
        <v>23.476350103705599</v>
      </c>
      <c r="CS18" s="1">
        <v>0</v>
      </c>
      <c r="CT18" s="1">
        <v>0</v>
      </c>
      <c r="CU18" s="1">
        <v>0</v>
      </c>
      <c r="CV18" s="1">
        <v>0</v>
      </c>
      <c r="CW18" s="1">
        <v>53.317707078595603</v>
      </c>
      <c r="CX18" s="1">
        <v>1.07409365910746E-2</v>
      </c>
      <c r="CY18" s="1">
        <v>3.2546225117734397E-2</v>
      </c>
      <c r="CZ18" s="1">
        <v>1.1837065824546999E-2</v>
      </c>
      <c r="DA18" s="1">
        <v>1.11900976423077E-2</v>
      </c>
      <c r="DB18" s="1">
        <v>0.33299734377830698</v>
      </c>
      <c r="DC18" s="1">
        <v>1.9073765267126599E-3</v>
      </c>
      <c r="DD18" s="1">
        <v>0.168625354965626</v>
      </c>
      <c r="DE18" s="1">
        <v>0.28687745770634798</v>
      </c>
      <c r="DF18" s="1">
        <v>1.26844136187598</v>
      </c>
      <c r="DG18" s="1">
        <v>2.1467579618398802</v>
      </c>
      <c r="DH18" s="1">
        <v>15.944384729059101</v>
      </c>
      <c r="DI18" s="1">
        <v>0.11467953166094599</v>
      </c>
      <c r="DJ18" s="1">
        <v>7.1451421595604596E-3</v>
      </c>
      <c r="DK18" s="1">
        <v>1.8041483952890101E-2</v>
      </c>
      <c r="DL18" s="1">
        <v>0.105212218299527</v>
      </c>
      <c r="DM18" s="1">
        <v>0.343681337874857</v>
      </c>
      <c r="DN18" s="1">
        <v>1.30398844411978E-2</v>
      </c>
      <c r="DO18" s="1">
        <v>0.27276580194122002</v>
      </c>
      <c r="DP18" s="1">
        <v>5.0909137886868197E-2</v>
      </c>
      <c r="DQ18" s="1">
        <v>1.3158306375143401E-2</v>
      </c>
    </row>
    <row r="19" spans="1:121" x14ac:dyDescent="0.25">
      <c r="A19" s="1" t="s">
        <v>47</v>
      </c>
      <c r="B19" s="1">
        <v>2</v>
      </c>
      <c r="C19" s="1" t="s">
        <v>34</v>
      </c>
      <c r="D19" s="1" t="s">
        <v>49</v>
      </c>
      <c r="E19" s="1">
        <v>12.7215277777777</v>
      </c>
      <c r="F19" s="1">
        <v>0.13182666666666601</v>
      </c>
      <c r="G19" s="1">
        <v>5.2350000000000003</v>
      </c>
      <c r="H19" s="1">
        <v>22.033333333333299</v>
      </c>
      <c r="I19" s="1">
        <v>8.08</v>
      </c>
      <c r="J19" s="1">
        <v>108.216666666666</v>
      </c>
      <c r="K19" s="1">
        <v>444.85</v>
      </c>
      <c r="L19" s="1">
        <v>1.0300226984194301</v>
      </c>
      <c r="M19" s="1">
        <v>9.8072050792601798E-2</v>
      </c>
      <c r="N19" s="1">
        <v>1.10876056928446</v>
      </c>
      <c r="O19" s="1">
        <v>1.0966616007988299</v>
      </c>
      <c r="P19" s="1">
        <v>0.252031744032373</v>
      </c>
      <c r="Q19" s="1">
        <v>40.912072382936799</v>
      </c>
      <c r="R19" s="1">
        <v>28.891365492132699</v>
      </c>
      <c r="S19" s="1">
        <v>5.0000000000000001E-3</v>
      </c>
      <c r="T19" s="1">
        <v>0</v>
      </c>
      <c r="U19" s="1">
        <v>1.9938904962061199E-3</v>
      </c>
      <c r="V19" s="1">
        <v>3.53571868706093E-3</v>
      </c>
      <c r="W19" s="2">
        <v>4.5206230535131198E-4</v>
      </c>
      <c r="X19" s="1" t="s">
        <v>32</v>
      </c>
      <c r="Y19" s="1">
        <v>16.5194444444443</v>
      </c>
      <c r="Z19" s="1">
        <v>0.22222222222222199</v>
      </c>
      <c r="AA19" s="1" t="s">
        <v>46</v>
      </c>
      <c r="AB19" s="1">
        <v>7</v>
      </c>
      <c r="AC19" s="1">
        <v>2</v>
      </c>
      <c r="AD19" s="1">
        <v>0</v>
      </c>
      <c r="AE19" s="1">
        <v>0</v>
      </c>
      <c r="AF19" s="1">
        <v>9</v>
      </c>
      <c r="AG19" s="1">
        <v>2003</v>
      </c>
      <c r="AH19" s="1">
        <v>2006</v>
      </c>
      <c r="AI19" s="1">
        <v>2003</v>
      </c>
      <c r="AJ19" s="1">
        <v>2019.5194444444401</v>
      </c>
      <c r="AK19" s="1">
        <v>0.62061063762368096</v>
      </c>
      <c r="AL19" s="1">
        <v>0.460724325653949</v>
      </c>
      <c r="AM19" s="1">
        <v>0.181904566378253</v>
      </c>
      <c r="AN19" s="1">
        <v>862.57774663287</v>
      </c>
      <c r="AO19" s="1">
        <v>289.90710594775197</v>
      </c>
      <c r="AP19" s="1">
        <v>572.67064068511797</v>
      </c>
      <c r="AQ19" s="1">
        <v>0.18933589983291399</v>
      </c>
      <c r="AR19" s="1">
        <v>357.78865818500702</v>
      </c>
      <c r="AS19" s="1">
        <v>2320.0920459084</v>
      </c>
      <c r="AT19" s="1">
        <v>2692.77510097192</v>
      </c>
      <c r="AU19" s="1">
        <v>47.4114625885585</v>
      </c>
      <c r="AV19" s="1">
        <v>8.6802561034888495E-2</v>
      </c>
      <c r="AW19" s="1">
        <v>535.41868209955305</v>
      </c>
      <c r="AX19" s="1">
        <v>16.73</v>
      </c>
      <c r="AY19" s="1">
        <v>52.019999999999897</v>
      </c>
      <c r="AZ19" s="1">
        <v>31.25</v>
      </c>
      <c r="BA19" s="1">
        <v>83.27</v>
      </c>
      <c r="BB19" s="1">
        <v>2077.2263727547902</v>
      </c>
      <c r="BC19" s="1">
        <v>0.17360512206977599</v>
      </c>
      <c r="BD19" s="1">
        <v>0.24393193878564401</v>
      </c>
      <c r="BE19" s="1">
        <v>0.410397500812831</v>
      </c>
      <c r="BF19" s="1">
        <v>0.135940447139659</v>
      </c>
      <c r="BG19" s="1">
        <v>1.8194741229764599</v>
      </c>
      <c r="BH19" s="1">
        <v>7.0181060618551894E-2</v>
      </c>
      <c r="BI19" s="1">
        <v>5.2486115720293798</v>
      </c>
      <c r="BJ19" s="1">
        <v>11.381620958346501</v>
      </c>
      <c r="BK19" s="1">
        <v>163.124259293411</v>
      </c>
      <c r="BL19" s="1">
        <v>991.56757825492502</v>
      </c>
      <c r="BM19" s="1">
        <v>3783.2396492789599</v>
      </c>
      <c r="BN19" s="1">
        <v>7.7150120452935598</v>
      </c>
      <c r="BO19" s="1">
        <v>0.57104286322158404</v>
      </c>
      <c r="BP19" s="1">
        <v>0.89324177036549901</v>
      </c>
      <c r="BQ19" s="1">
        <v>7.5924811609378198</v>
      </c>
      <c r="BR19" s="1">
        <v>13.4466617209582</v>
      </c>
      <c r="BS19" s="1">
        <v>16.840528225379298</v>
      </c>
      <c r="BT19" s="1">
        <v>18.086186303483899</v>
      </c>
      <c r="BU19" s="1">
        <v>3.0355554004537799</v>
      </c>
      <c r="BV19" s="1">
        <v>0.33669620176956799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6.4462025063113201E-2</v>
      </c>
      <c r="CG19" s="1">
        <v>2.8468441416692299E-2</v>
      </c>
      <c r="CH19" s="1">
        <v>2.5751041079855201E-2</v>
      </c>
      <c r="CI19" s="1">
        <v>62.786570179101801</v>
      </c>
      <c r="CJ19" s="1">
        <v>11.4597942573641</v>
      </c>
      <c r="CK19" s="1">
        <v>52.031369627669797</v>
      </c>
      <c r="CL19" s="1">
        <v>1.49523386325979E-2</v>
      </c>
      <c r="CM19" s="1">
        <v>25.653363612258001</v>
      </c>
      <c r="CN19" s="1">
        <v>109.985125602496</v>
      </c>
      <c r="CO19" s="1">
        <v>393.25360074186199</v>
      </c>
      <c r="CP19" s="1">
        <v>3.5873027503971802</v>
      </c>
      <c r="CQ19" s="1">
        <v>5.3704682955372602E-3</v>
      </c>
      <c r="CR19" s="1">
        <v>23.476350103705599</v>
      </c>
      <c r="CS19" s="1">
        <v>0</v>
      </c>
      <c r="CT19" s="1">
        <v>0</v>
      </c>
      <c r="CU19" s="1">
        <v>0</v>
      </c>
      <c r="CV19" s="1">
        <v>0</v>
      </c>
      <c r="CW19" s="1">
        <v>53.317707078595603</v>
      </c>
      <c r="CX19" s="1">
        <v>1.07409365910746E-2</v>
      </c>
      <c r="CY19" s="1">
        <v>3.2546225117734397E-2</v>
      </c>
      <c r="CZ19" s="1">
        <v>1.1837065824546999E-2</v>
      </c>
      <c r="DA19" s="1">
        <v>1.11900976423077E-2</v>
      </c>
      <c r="DB19" s="1">
        <v>0.33299734377830698</v>
      </c>
      <c r="DC19" s="1">
        <v>1.9073765267126599E-3</v>
      </c>
      <c r="DD19" s="1">
        <v>0.168625354965626</v>
      </c>
      <c r="DE19" s="1">
        <v>0.28687745770634798</v>
      </c>
      <c r="DF19" s="1">
        <v>1.26844136187598</v>
      </c>
      <c r="DG19" s="1">
        <v>2.1467579618398802</v>
      </c>
      <c r="DH19" s="1">
        <v>15.944384729059101</v>
      </c>
      <c r="DI19" s="1">
        <v>0.11467953166094599</v>
      </c>
      <c r="DJ19" s="1">
        <v>7.1451421595604596E-3</v>
      </c>
      <c r="DK19" s="1">
        <v>1.8041483952890101E-2</v>
      </c>
      <c r="DL19" s="1">
        <v>0.105212218299527</v>
      </c>
      <c r="DM19" s="1">
        <v>0.343681337874857</v>
      </c>
      <c r="DN19" s="1">
        <v>1.30398844411978E-2</v>
      </c>
      <c r="DO19" s="1">
        <v>0.27276580194122002</v>
      </c>
      <c r="DP19" s="1">
        <v>5.0909137886868197E-2</v>
      </c>
      <c r="DQ19" s="1">
        <v>1.3158306375143401E-2</v>
      </c>
    </row>
    <row r="20" spans="1:121" x14ac:dyDescent="0.25">
      <c r="A20" s="1" t="s">
        <v>47</v>
      </c>
      <c r="B20" s="1">
        <v>4</v>
      </c>
      <c r="C20" s="1" t="s">
        <v>29</v>
      </c>
      <c r="D20" s="1" t="s">
        <v>50</v>
      </c>
      <c r="E20" s="1">
        <v>12.9583333333333</v>
      </c>
      <c r="F20" s="1">
        <v>0.26560011111111098</v>
      </c>
      <c r="G20" s="1">
        <v>0.447777777777777</v>
      </c>
      <c r="H20" s="1">
        <v>18.5</v>
      </c>
      <c r="I20" s="1">
        <v>8.6433333333333309</v>
      </c>
      <c r="J20" s="1" t="s">
        <v>31</v>
      </c>
      <c r="K20" s="1" t="s">
        <v>31</v>
      </c>
      <c r="L20" s="1">
        <v>0.86602540378443804</v>
      </c>
      <c r="M20" s="1">
        <v>9.3647453169379405E-2</v>
      </c>
      <c r="N20" s="1">
        <v>0.14678025904202599</v>
      </c>
      <c r="O20" s="1">
        <v>0.109544511501034</v>
      </c>
      <c r="P20" s="1">
        <v>0.24006943440041101</v>
      </c>
      <c r="Q20" s="1" t="s">
        <v>31</v>
      </c>
      <c r="R20" s="1" t="s">
        <v>31</v>
      </c>
      <c r="S20" s="1">
        <v>5.0000000000000001E-3</v>
      </c>
      <c r="T20" s="1">
        <v>0</v>
      </c>
      <c r="U20" s="1">
        <v>4.0221239013933504E-3</v>
      </c>
      <c r="V20" s="1">
        <v>5.4674865226570796E-3</v>
      </c>
      <c r="W20" s="1">
        <v>2.5767612801296199E-3</v>
      </c>
      <c r="X20" s="1" t="s">
        <v>32</v>
      </c>
      <c r="Y20" s="1">
        <v>16.5194444444443</v>
      </c>
      <c r="Z20" s="1">
        <v>0.22222222222222199</v>
      </c>
      <c r="AA20" s="1" t="s">
        <v>46</v>
      </c>
      <c r="AB20" s="1">
        <v>7</v>
      </c>
      <c r="AC20" s="1">
        <v>2</v>
      </c>
      <c r="AD20" s="1">
        <v>0</v>
      </c>
      <c r="AE20" s="1">
        <v>0</v>
      </c>
      <c r="AF20" s="1">
        <v>9</v>
      </c>
      <c r="AG20" s="1">
        <v>2003</v>
      </c>
      <c r="AH20" s="1">
        <v>2006</v>
      </c>
      <c r="AI20" s="1">
        <v>2003</v>
      </c>
      <c r="AJ20" s="1">
        <v>2019.5194444444401</v>
      </c>
      <c r="AK20" s="1">
        <v>0.74123789738162404</v>
      </c>
      <c r="AL20" s="1">
        <v>0.38245833423893399</v>
      </c>
      <c r="AM20" s="1">
        <v>0.10786851858982301</v>
      </c>
      <c r="AN20" s="1">
        <v>725.31027920551503</v>
      </c>
      <c r="AO20" s="1">
        <v>263.75116364291802</v>
      </c>
      <c r="AP20" s="1">
        <v>461.55911556259599</v>
      </c>
      <c r="AQ20" s="1">
        <v>0.15390817741973201</v>
      </c>
      <c r="AR20" s="1">
        <v>270.60783040817103</v>
      </c>
      <c r="AS20" s="1">
        <v>2159.0005680138302</v>
      </c>
      <c r="AT20" s="1">
        <v>2562.84094757414</v>
      </c>
      <c r="AU20" s="1">
        <v>51.259769994317999</v>
      </c>
      <c r="AV20" s="1">
        <v>7.0812255367552701E-2</v>
      </c>
      <c r="AW20" s="1">
        <v>567.36929573348903</v>
      </c>
      <c r="AX20" s="1">
        <v>15.4849999999999</v>
      </c>
      <c r="AY20" s="1">
        <v>49.515000000000001</v>
      </c>
      <c r="AZ20" s="1">
        <v>35</v>
      </c>
      <c r="BA20" s="1">
        <v>84.5150000000001</v>
      </c>
      <c r="BB20" s="1">
        <v>1948.78401428293</v>
      </c>
      <c r="BC20" s="1">
        <v>0.14162451073510399</v>
      </c>
      <c r="BD20" s="1">
        <v>0.197480547755879</v>
      </c>
      <c r="BE20" s="1">
        <v>0.42435438762073102</v>
      </c>
      <c r="BF20" s="1">
        <v>0.110669705678919</v>
      </c>
      <c r="BG20" s="1">
        <v>1.7792289736959099</v>
      </c>
      <c r="BH20" s="1">
        <v>6.8342727442492798E-2</v>
      </c>
      <c r="BI20" s="1">
        <v>2.6816669203344299</v>
      </c>
      <c r="BJ20" s="1">
        <v>5.8223752432941804</v>
      </c>
      <c r="BK20" s="1">
        <v>114.174062612448</v>
      </c>
      <c r="BL20" s="1">
        <v>824.42436882566301</v>
      </c>
      <c r="BM20" s="1">
        <v>2921.5853651330099</v>
      </c>
      <c r="BN20" s="1">
        <v>11.3994303334003</v>
      </c>
      <c r="BO20" s="1">
        <v>0.29606210393796201</v>
      </c>
      <c r="BP20" s="1">
        <v>2.6257623995702501</v>
      </c>
      <c r="BQ20" s="1">
        <v>7.8174347275657396</v>
      </c>
      <c r="BR20" s="1">
        <v>12.810575074260599</v>
      </c>
      <c r="BS20" s="1">
        <v>14.2276606675059</v>
      </c>
      <c r="BT20" s="1">
        <v>14.9785300384733</v>
      </c>
      <c r="BU20" s="1">
        <v>3.6645670469332301</v>
      </c>
      <c r="BV20" s="1">
        <v>0.36299885407518201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7.2946846426473796E-2</v>
      </c>
      <c r="CG20" s="1">
        <v>4.9894194490062403E-2</v>
      </c>
      <c r="CH20" s="1">
        <v>3.7786850515886698E-2</v>
      </c>
      <c r="CI20" s="1">
        <v>47.6459971774933</v>
      </c>
      <c r="CJ20" s="1">
        <v>31.4333594311239</v>
      </c>
      <c r="CK20" s="1">
        <v>16.212637746368902</v>
      </c>
      <c r="CL20" s="1">
        <v>1.9617302845701699E-2</v>
      </c>
      <c r="CM20" s="1">
        <v>27.438926722225901</v>
      </c>
      <c r="CN20" s="1">
        <v>347.47194339096501</v>
      </c>
      <c r="CO20" s="1">
        <v>706.21013827925799</v>
      </c>
      <c r="CP20" s="1">
        <v>15.0614275148126</v>
      </c>
      <c r="CQ20" s="1">
        <v>6.4440036911691603E-3</v>
      </c>
      <c r="CR20" s="1">
        <v>142.38678332095401</v>
      </c>
      <c r="CS20" s="1">
        <v>0</v>
      </c>
      <c r="CT20" s="1">
        <v>0</v>
      </c>
      <c r="CU20" s="1">
        <v>0</v>
      </c>
      <c r="CV20" s="1">
        <v>0</v>
      </c>
      <c r="CW20" s="1">
        <v>394.94351172832501</v>
      </c>
      <c r="CX20" s="1">
        <v>1.28880073823384E-2</v>
      </c>
      <c r="CY20" s="1">
        <v>3.0661910007453001E-2</v>
      </c>
      <c r="CZ20" s="1">
        <v>1.4895831421650199E-2</v>
      </c>
      <c r="DA20" s="1">
        <v>6.0429607051207803E-3</v>
      </c>
      <c r="DB20" s="1">
        <v>0.205451984879371</v>
      </c>
      <c r="DC20" s="1">
        <v>5.7147869520133903E-3</v>
      </c>
      <c r="DD20" s="1">
        <v>2.7755519760695201E-2</v>
      </c>
      <c r="DE20" s="1">
        <v>5.6418082650825201E-2</v>
      </c>
      <c r="DF20" s="1">
        <v>0.23578586149647399</v>
      </c>
      <c r="DG20" s="1">
        <v>0.66531613544023305</v>
      </c>
      <c r="DH20" s="1">
        <v>4.4925392679318596</v>
      </c>
      <c r="DI20" s="1">
        <v>5.4105122670768703E-2</v>
      </c>
      <c r="DJ20" s="1">
        <v>1.3605646941517099E-3</v>
      </c>
      <c r="DK20" s="1">
        <v>1.3968464193291501E-2</v>
      </c>
      <c r="DL20" s="1">
        <v>9.5239528590611404E-3</v>
      </c>
      <c r="DM20" s="1">
        <v>4.9842019962424697E-2</v>
      </c>
      <c r="DN20" s="2">
        <v>8.6169097296325795E-4</v>
      </c>
      <c r="DO20" s="1">
        <v>6.8572460585246506E-2</v>
      </c>
      <c r="DP20" s="1">
        <v>5.8504281848517498E-3</v>
      </c>
      <c r="DQ20" s="1">
        <v>1.9492233130779298E-2</v>
      </c>
    </row>
    <row r="21" spans="1:121" x14ac:dyDescent="0.25">
      <c r="A21" s="1" t="s">
        <v>47</v>
      </c>
      <c r="B21" s="1">
        <v>4</v>
      </c>
      <c r="C21" s="1" t="s">
        <v>34</v>
      </c>
      <c r="D21" s="1" t="s">
        <v>50</v>
      </c>
      <c r="E21" s="1">
        <v>12.9583333333333</v>
      </c>
      <c r="F21" s="1">
        <v>0.19173777777777701</v>
      </c>
      <c r="G21" s="1">
        <v>4.23888888888888</v>
      </c>
      <c r="H21" s="1">
        <v>18.5</v>
      </c>
      <c r="I21" s="1">
        <v>8.0133333333333301</v>
      </c>
      <c r="J21" s="1" t="s">
        <v>31</v>
      </c>
      <c r="K21" s="1" t="s">
        <v>31</v>
      </c>
      <c r="L21" s="1">
        <v>0.86602540378443804</v>
      </c>
      <c r="M21" s="1">
        <v>0.17064035283951501</v>
      </c>
      <c r="N21" s="1">
        <v>3.0845722736079799</v>
      </c>
      <c r="O21" s="1">
        <v>0.109544511501034</v>
      </c>
      <c r="P21" s="1">
        <v>0.31643851430148801</v>
      </c>
      <c r="Q21" s="1" t="s">
        <v>31</v>
      </c>
      <c r="R21" s="1" t="s">
        <v>31</v>
      </c>
      <c r="S21" s="1">
        <v>5.0000000000000001E-3</v>
      </c>
      <c r="T21" s="1">
        <v>0</v>
      </c>
      <c r="U21" s="1">
        <v>2.8821264737406201E-3</v>
      </c>
      <c r="V21" s="1">
        <v>5.5158039452186704E-3</v>
      </c>
      <c r="W21" s="2">
        <v>2.4844900226256398E-4</v>
      </c>
      <c r="X21" s="1" t="s">
        <v>32</v>
      </c>
      <c r="Y21" s="1">
        <v>16.5194444444443</v>
      </c>
      <c r="Z21" s="1">
        <v>0.22222222222222199</v>
      </c>
      <c r="AA21" s="1" t="s">
        <v>46</v>
      </c>
      <c r="AB21" s="1">
        <v>7</v>
      </c>
      <c r="AC21" s="1">
        <v>2</v>
      </c>
      <c r="AD21" s="1">
        <v>0</v>
      </c>
      <c r="AE21" s="1">
        <v>0</v>
      </c>
      <c r="AF21" s="1">
        <v>9</v>
      </c>
      <c r="AG21" s="1">
        <v>2003</v>
      </c>
      <c r="AH21" s="1">
        <v>2006</v>
      </c>
      <c r="AI21" s="1">
        <v>2003</v>
      </c>
      <c r="AJ21" s="1">
        <v>2019.5194444444401</v>
      </c>
      <c r="AK21" s="1">
        <v>0.74123789738162404</v>
      </c>
      <c r="AL21" s="1">
        <v>0.38245833423893399</v>
      </c>
      <c r="AM21" s="1">
        <v>0.10786851858982301</v>
      </c>
      <c r="AN21" s="1">
        <v>725.31027920551503</v>
      </c>
      <c r="AO21" s="1">
        <v>263.75116364291802</v>
      </c>
      <c r="AP21" s="1">
        <v>461.55911556259599</v>
      </c>
      <c r="AQ21" s="1">
        <v>0.15390817741973201</v>
      </c>
      <c r="AR21" s="1">
        <v>270.60783040817103</v>
      </c>
      <c r="AS21" s="1">
        <v>2159.0005680138302</v>
      </c>
      <c r="AT21" s="1">
        <v>2562.84094757414</v>
      </c>
      <c r="AU21" s="1">
        <v>51.259769994317999</v>
      </c>
      <c r="AV21" s="1">
        <v>7.0812255367552701E-2</v>
      </c>
      <c r="AW21" s="1">
        <v>567.36929573348903</v>
      </c>
      <c r="AX21" s="1">
        <v>15.4849999999999</v>
      </c>
      <c r="AY21" s="1">
        <v>49.515000000000001</v>
      </c>
      <c r="AZ21" s="1">
        <v>35</v>
      </c>
      <c r="BA21" s="1">
        <v>84.5150000000001</v>
      </c>
      <c r="BB21" s="1">
        <v>1948.78401428293</v>
      </c>
      <c r="BC21" s="1">
        <v>0.14162451073510399</v>
      </c>
      <c r="BD21" s="1">
        <v>0.197480547755879</v>
      </c>
      <c r="BE21" s="1">
        <v>0.42435438762073102</v>
      </c>
      <c r="BF21" s="1">
        <v>0.110669705678919</v>
      </c>
      <c r="BG21" s="1">
        <v>1.7792289736959099</v>
      </c>
      <c r="BH21" s="1">
        <v>6.8342727442492798E-2</v>
      </c>
      <c r="BI21" s="1">
        <v>2.6816669203344299</v>
      </c>
      <c r="BJ21" s="1">
        <v>5.8223752432941804</v>
      </c>
      <c r="BK21" s="1">
        <v>114.174062612448</v>
      </c>
      <c r="BL21" s="1">
        <v>824.42436882566301</v>
      </c>
      <c r="BM21" s="1">
        <v>2921.5853651330099</v>
      </c>
      <c r="BN21" s="1">
        <v>11.3994303334003</v>
      </c>
      <c r="BO21" s="1">
        <v>0.29606210393796201</v>
      </c>
      <c r="BP21" s="1">
        <v>2.6257623995702501</v>
      </c>
      <c r="BQ21" s="1">
        <v>7.8174347275657396</v>
      </c>
      <c r="BR21" s="1">
        <v>12.810575074260599</v>
      </c>
      <c r="BS21" s="1">
        <v>14.2276606675059</v>
      </c>
      <c r="BT21" s="1">
        <v>14.9785300384733</v>
      </c>
      <c r="BU21" s="1">
        <v>3.6645670469332301</v>
      </c>
      <c r="BV21" s="1">
        <v>0.36299885407518201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7.2946846426473796E-2</v>
      </c>
      <c r="CG21" s="1">
        <v>4.9894194490062403E-2</v>
      </c>
      <c r="CH21" s="1">
        <v>3.7786850515886698E-2</v>
      </c>
      <c r="CI21" s="1">
        <v>47.6459971774933</v>
      </c>
      <c r="CJ21" s="1">
        <v>31.4333594311239</v>
      </c>
      <c r="CK21" s="1">
        <v>16.212637746368902</v>
      </c>
      <c r="CL21" s="1">
        <v>1.9617302845701699E-2</v>
      </c>
      <c r="CM21" s="1">
        <v>27.438926722225901</v>
      </c>
      <c r="CN21" s="1">
        <v>347.47194339096501</v>
      </c>
      <c r="CO21" s="1">
        <v>706.21013827925799</v>
      </c>
      <c r="CP21" s="1">
        <v>15.0614275148126</v>
      </c>
      <c r="CQ21" s="1">
        <v>6.4440036911691603E-3</v>
      </c>
      <c r="CR21" s="1">
        <v>142.38678332095401</v>
      </c>
      <c r="CS21" s="1">
        <v>0</v>
      </c>
      <c r="CT21" s="1">
        <v>0</v>
      </c>
      <c r="CU21" s="1">
        <v>0</v>
      </c>
      <c r="CV21" s="1">
        <v>0</v>
      </c>
      <c r="CW21" s="1">
        <v>394.94351172832501</v>
      </c>
      <c r="CX21" s="1">
        <v>1.28880073823384E-2</v>
      </c>
      <c r="CY21" s="1">
        <v>3.0661910007453001E-2</v>
      </c>
      <c r="CZ21" s="1">
        <v>1.4895831421650199E-2</v>
      </c>
      <c r="DA21" s="1">
        <v>6.0429607051207803E-3</v>
      </c>
      <c r="DB21" s="1">
        <v>0.205451984879371</v>
      </c>
      <c r="DC21" s="1">
        <v>5.7147869520133903E-3</v>
      </c>
      <c r="DD21" s="1">
        <v>2.7755519760695201E-2</v>
      </c>
      <c r="DE21" s="1">
        <v>5.6418082650825201E-2</v>
      </c>
      <c r="DF21" s="1">
        <v>0.23578586149647399</v>
      </c>
      <c r="DG21" s="1">
        <v>0.66531613544023305</v>
      </c>
      <c r="DH21" s="1">
        <v>4.4925392679318596</v>
      </c>
      <c r="DI21" s="1">
        <v>5.4105122670768703E-2</v>
      </c>
      <c r="DJ21" s="1">
        <v>1.3605646941517099E-3</v>
      </c>
      <c r="DK21" s="1">
        <v>1.3968464193291501E-2</v>
      </c>
      <c r="DL21" s="1">
        <v>9.5239528590611404E-3</v>
      </c>
      <c r="DM21" s="1">
        <v>4.9842019962424697E-2</v>
      </c>
      <c r="DN21" s="2">
        <v>8.6169097296325795E-4</v>
      </c>
      <c r="DO21" s="1">
        <v>6.8572460585246506E-2</v>
      </c>
      <c r="DP21" s="1">
        <v>5.8504281848517498E-3</v>
      </c>
      <c r="DQ21" s="1">
        <v>1.9492233130779298E-2</v>
      </c>
    </row>
    <row r="22" spans="1:121" x14ac:dyDescent="0.25">
      <c r="A22" s="1" t="s">
        <v>51</v>
      </c>
      <c r="B22" s="1">
        <v>2</v>
      </c>
      <c r="C22" s="1" t="s">
        <v>29</v>
      </c>
      <c r="D22" s="1" t="s">
        <v>52</v>
      </c>
      <c r="E22" s="1">
        <v>11.8541666666666</v>
      </c>
      <c r="F22" s="1">
        <v>5.4716333333333297E-2</v>
      </c>
      <c r="G22" s="1">
        <v>0.29499999999999998</v>
      </c>
      <c r="H22" s="1">
        <v>20.9</v>
      </c>
      <c r="I22" s="1">
        <v>8.27</v>
      </c>
      <c r="J22" s="1">
        <v>-216.333333333333</v>
      </c>
      <c r="K22" s="1">
        <v>437.53333333333302</v>
      </c>
      <c r="L22" s="1">
        <v>1.0041580220927999</v>
      </c>
      <c r="M22" s="1">
        <v>1.9346238731770701E-2</v>
      </c>
      <c r="N22" s="1">
        <v>0.112205169221386</v>
      </c>
      <c r="O22" s="1">
        <v>0.21908902300206701</v>
      </c>
      <c r="P22" s="1">
        <v>0.199749843554382</v>
      </c>
      <c r="Q22" s="1">
        <v>63.5688865195335</v>
      </c>
      <c r="R22" s="1">
        <v>22.961779838099002</v>
      </c>
      <c r="S22" s="1">
        <v>5.0000000000000001E-3</v>
      </c>
      <c r="T22" s="1">
        <v>0</v>
      </c>
      <c r="U22" s="2">
        <v>8.38799297012302E-4</v>
      </c>
      <c r="V22" s="1">
        <v>1.16520332482425E-3</v>
      </c>
      <c r="W22" s="2">
        <v>5.1239526920035202E-4</v>
      </c>
      <c r="X22" s="1" t="s">
        <v>32</v>
      </c>
      <c r="Y22" s="1">
        <v>15.583333333333201</v>
      </c>
      <c r="Z22" s="1">
        <v>0.3</v>
      </c>
      <c r="AA22" s="1" t="s">
        <v>39</v>
      </c>
      <c r="AB22" s="1">
        <v>7</v>
      </c>
      <c r="AC22" s="1">
        <v>3</v>
      </c>
      <c r="AD22" s="1">
        <v>0</v>
      </c>
      <c r="AE22" s="1">
        <v>0</v>
      </c>
      <c r="AF22" s="1">
        <v>10</v>
      </c>
      <c r="AG22" s="1">
        <v>2004</v>
      </c>
      <c r="AH22" s="1">
        <v>2006</v>
      </c>
      <c r="AI22" s="1">
        <v>2004</v>
      </c>
      <c r="AJ22" s="1">
        <v>2019.5833333333301</v>
      </c>
      <c r="AK22" s="1">
        <v>0.41169198380312799</v>
      </c>
      <c r="AL22" s="1">
        <v>0.460341229598901</v>
      </c>
      <c r="AM22" s="1">
        <v>0.39976246843962798</v>
      </c>
      <c r="AN22" s="1">
        <v>1148.13022540564</v>
      </c>
      <c r="AO22" s="1">
        <v>609.40770866944899</v>
      </c>
      <c r="AP22" s="1">
        <v>538.72251673619303</v>
      </c>
      <c r="AQ22" s="1">
        <v>0.14368950938824801</v>
      </c>
      <c r="AR22" s="1">
        <v>618.819500146937</v>
      </c>
      <c r="AS22" s="1">
        <v>1234.0234512014299</v>
      </c>
      <c r="AT22" s="1">
        <v>6249.59434842049</v>
      </c>
      <c r="AU22" s="1">
        <v>332.79610024556501</v>
      </c>
      <c r="AV22" s="1">
        <v>0.13769728204517101</v>
      </c>
      <c r="AW22" s="1">
        <v>429.61480137186697</v>
      </c>
      <c r="AX22" s="1">
        <v>3.7949999999999999</v>
      </c>
      <c r="AY22" s="1">
        <v>77.454999999999998</v>
      </c>
      <c r="AZ22" s="1">
        <v>18.75</v>
      </c>
      <c r="BA22" s="1">
        <v>96.204999999999998</v>
      </c>
      <c r="BB22" s="1">
        <v>2438.2380565888302</v>
      </c>
      <c r="BC22" s="1">
        <v>0.27539001769117699</v>
      </c>
      <c r="BD22" s="1">
        <v>0.21473000960969499</v>
      </c>
      <c r="BE22" s="1">
        <v>0.23313446276540101</v>
      </c>
      <c r="BF22" s="1">
        <v>0.43333697654188302</v>
      </c>
      <c r="BG22" s="1">
        <v>0.52257561761525995</v>
      </c>
      <c r="BH22" s="1">
        <v>0.14088970910065801</v>
      </c>
      <c r="BI22" s="1">
        <v>2.7821317960566101</v>
      </c>
      <c r="BJ22" s="1">
        <v>8.64296953670374</v>
      </c>
      <c r="BK22" s="1">
        <v>95.631239898280995</v>
      </c>
      <c r="BL22" s="1">
        <v>302.33520181809803</v>
      </c>
      <c r="BM22" s="1">
        <v>2109.8514423439701</v>
      </c>
      <c r="BN22" s="1">
        <v>34.106971652426701</v>
      </c>
      <c r="BO22" s="1">
        <v>0.30988576263902801</v>
      </c>
      <c r="BP22" s="1">
        <v>1.71086291516683</v>
      </c>
      <c r="BQ22" s="1">
        <v>96.023994923255998</v>
      </c>
      <c r="BR22" s="1">
        <v>51.8211599319512</v>
      </c>
      <c r="BS22" s="1">
        <v>104.32038671430701</v>
      </c>
      <c r="BT22" s="1">
        <v>41.7117251956521</v>
      </c>
      <c r="BU22" s="1">
        <v>3.4959642479271902</v>
      </c>
      <c r="BV22" s="1">
        <v>0.53496831405654199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5.11615558366037E-2</v>
      </c>
      <c r="CG22" s="1">
        <v>3.5433260481058902E-2</v>
      </c>
      <c r="CH22" s="1">
        <v>0.108172215862624</v>
      </c>
      <c r="CI22" s="1">
        <v>97.3135622114943</v>
      </c>
      <c r="CJ22" s="1">
        <v>68.083455249514401</v>
      </c>
      <c r="CK22" s="1">
        <v>143.854979649591</v>
      </c>
      <c r="CL22" s="1">
        <v>1.9235110086295599E-2</v>
      </c>
      <c r="CM22" s="1">
        <v>132.188289093723</v>
      </c>
      <c r="CN22" s="1">
        <v>162.23270103994699</v>
      </c>
      <c r="CO22" s="1">
        <v>3358.6208937144302</v>
      </c>
      <c r="CP22" s="1">
        <v>236.730250667983</v>
      </c>
      <c r="CQ22" s="1">
        <v>2.6392867811864298E-2</v>
      </c>
      <c r="CR22" s="1">
        <v>311.70837487323899</v>
      </c>
      <c r="CS22" s="1">
        <v>0</v>
      </c>
      <c r="CT22" s="1">
        <v>0</v>
      </c>
      <c r="CU22" s="1">
        <v>0</v>
      </c>
      <c r="CV22" s="1">
        <v>0</v>
      </c>
      <c r="CW22" s="1">
        <v>1020.79980607164</v>
      </c>
      <c r="CX22" s="1">
        <v>5.2779925092631297E-2</v>
      </c>
      <c r="CY22" s="1">
        <v>6.7327357211133407E-2</v>
      </c>
      <c r="CZ22" s="1">
        <v>2.13689718667496E-2</v>
      </c>
      <c r="DA22" s="1">
        <v>5.1845871127381503E-2</v>
      </c>
      <c r="DB22" s="1">
        <v>0.21261608253450701</v>
      </c>
      <c r="DC22" s="1">
        <v>4.6176830368343601E-2</v>
      </c>
      <c r="DD22" s="1">
        <v>1.4714542862355001E-2</v>
      </c>
      <c r="DE22" s="2">
        <v>5.1629974955654499E-4</v>
      </c>
      <c r="DF22" s="1">
        <v>0.30100275399134002</v>
      </c>
      <c r="DG22" s="1">
        <v>2.1320598157928701</v>
      </c>
      <c r="DH22" s="1">
        <v>14.584951625216201</v>
      </c>
      <c r="DI22" s="1">
        <v>0.372381194367502</v>
      </c>
      <c r="DJ22" s="1">
        <v>1.93612406083622E-3</v>
      </c>
      <c r="DK22" s="1">
        <v>2.3233488730033101E-3</v>
      </c>
      <c r="DL22" s="1">
        <v>0.813430255426002</v>
      </c>
      <c r="DM22" s="1">
        <v>0.60742665535301699</v>
      </c>
      <c r="DN22" s="1">
        <v>0.53579006510207905</v>
      </c>
      <c r="DO22" s="1">
        <v>5.5502223077303403E-2</v>
      </c>
      <c r="DP22" s="1">
        <v>1.75541914849148E-2</v>
      </c>
      <c r="DQ22" s="1">
        <v>9.2815820871024302E-2</v>
      </c>
    </row>
    <row r="23" spans="1:121" x14ac:dyDescent="0.25">
      <c r="A23" s="1" t="s">
        <v>51</v>
      </c>
      <c r="B23" s="1">
        <v>2</v>
      </c>
      <c r="C23" s="1" t="s">
        <v>34</v>
      </c>
      <c r="D23" s="1" t="s">
        <v>52</v>
      </c>
      <c r="E23" s="1">
        <v>12.0375</v>
      </c>
      <c r="F23" s="1">
        <v>3.1295040000000003E-2</v>
      </c>
      <c r="G23" s="1">
        <v>5.4560000000000004</v>
      </c>
      <c r="H23" s="1">
        <v>20.94</v>
      </c>
      <c r="I23" s="1">
        <v>7.94</v>
      </c>
      <c r="J23" s="1">
        <v>278.39999999999998</v>
      </c>
      <c r="K23" s="1">
        <v>487.23333333333301</v>
      </c>
      <c r="L23" s="1">
        <v>1.0041580220927999</v>
      </c>
      <c r="M23" s="1">
        <v>1.35637109637444E-2</v>
      </c>
      <c r="N23" s="1">
        <v>0.80927745551201402</v>
      </c>
      <c r="O23" s="1">
        <v>0.21908902300206701</v>
      </c>
      <c r="P23" s="1">
        <v>0.240208242989286</v>
      </c>
      <c r="Q23" s="1">
        <v>15.1059590890482</v>
      </c>
      <c r="R23" s="1">
        <v>103.620766901878</v>
      </c>
      <c r="S23" s="1">
        <v>5.0000000000000001E-3</v>
      </c>
      <c r="T23" s="1">
        <v>0</v>
      </c>
      <c r="U23" s="2">
        <v>4.3688539979231501E-4</v>
      </c>
      <c r="V23" s="2">
        <v>6.6224300666657297E-4</v>
      </c>
      <c r="W23" s="2">
        <v>2.1152779291805699E-4</v>
      </c>
      <c r="X23" s="1" t="s">
        <v>32</v>
      </c>
      <c r="Y23" s="1">
        <v>15.583333333333201</v>
      </c>
      <c r="Z23" s="1">
        <v>0.3</v>
      </c>
      <c r="AA23" s="1" t="s">
        <v>39</v>
      </c>
      <c r="AB23" s="1">
        <v>7</v>
      </c>
      <c r="AC23" s="1">
        <v>3</v>
      </c>
      <c r="AD23" s="1">
        <v>0</v>
      </c>
      <c r="AE23" s="1">
        <v>0</v>
      </c>
      <c r="AF23" s="1">
        <v>10</v>
      </c>
      <c r="AG23" s="1">
        <v>2004</v>
      </c>
      <c r="AH23" s="1">
        <v>2006</v>
      </c>
      <c r="AI23" s="1">
        <v>2004</v>
      </c>
      <c r="AJ23" s="1">
        <v>2019.5833333333301</v>
      </c>
      <c r="AK23" s="1">
        <v>0.41169198380312799</v>
      </c>
      <c r="AL23" s="1">
        <v>0.460341229598901</v>
      </c>
      <c r="AM23" s="1">
        <v>0.39976246843962798</v>
      </c>
      <c r="AN23" s="1">
        <v>1148.13022540564</v>
      </c>
      <c r="AO23" s="1">
        <v>609.40770866944899</v>
      </c>
      <c r="AP23" s="1">
        <v>538.72251673619303</v>
      </c>
      <c r="AQ23" s="1">
        <v>0.14368950938824801</v>
      </c>
      <c r="AR23" s="1">
        <v>618.819500146937</v>
      </c>
      <c r="AS23" s="1">
        <v>1234.0234512014299</v>
      </c>
      <c r="AT23" s="1">
        <v>6249.59434842049</v>
      </c>
      <c r="AU23" s="1">
        <v>332.79610024556501</v>
      </c>
      <c r="AV23" s="1">
        <v>0.13769728204517101</v>
      </c>
      <c r="AW23" s="1">
        <v>429.61480137186697</v>
      </c>
      <c r="AX23" s="1">
        <v>3.7949999999999999</v>
      </c>
      <c r="AY23" s="1">
        <v>77.454999999999998</v>
      </c>
      <c r="AZ23" s="1">
        <v>18.75</v>
      </c>
      <c r="BA23" s="1">
        <v>96.204999999999998</v>
      </c>
      <c r="BB23" s="1">
        <v>2438.2380565888302</v>
      </c>
      <c r="BC23" s="1">
        <v>0.27539001769117699</v>
      </c>
      <c r="BD23" s="1">
        <v>0.21473000960969499</v>
      </c>
      <c r="BE23" s="1">
        <v>0.23313446276540101</v>
      </c>
      <c r="BF23" s="1">
        <v>0.43333697654188302</v>
      </c>
      <c r="BG23" s="1">
        <v>0.52257561761525995</v>
      </c>
      <c r="BH23" s="1">
        <v>0.14088970910065801</v>
      </c>
      <c r="BI23" s="1">
        <v>2.7821317960566101</v>
      </c>
      <c r="BJ23" s="1">
        <v>8.64296953670374</v>
      </c>
      <c r="BK23" s="1">
        <v>95.631239898280995</v>
      </c>
      <c r="BL23" s="1">
        <v>302.33520181809803</v>
      </c>
      <c r="BM23" s="1">
        <v>2109.8514423439701</v>
      </c>
      <c r="BN23" s="1">
        <v>34.106971652426701</v>
      </c>
      <c r="BO23" s="1">
        <v>0.30988576263902801</v>
      </c>
      <c r="BP23" s="1">
        <v>1.71086291516683</v>
      </c>
      <c r="BQ23" s="1">
        <v>96.023994923255998</v>
      </c>
      <c r="BR23" s="1">
        <v>51.8211599319512</v>
      </c>
      <c r="BS23" s="1">
        <v>104.32038671430701</v>
      </c>
      <c r="BT23" s="1">
        <v>41.7117251956521</v>
      </c>
      <c r="BU23" s="1">
        <v>3.4959642479271902</v>
      </c>
      <c r="BV23" s="1">
        <v>0.53496831405654199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5.11615558366037E-2</v>
      </c>
      <c r="CG23" s="1">
        <v>3.5433260481058902E-2</v>
      </c>
      <c r="CH23" s="1">
        <v>0.108172215862624</v>
      </c>
      <c r="CI23" s="1">
        <v>97.3135622114943</v>
      </c>
      <c r="CJ23" s="1">
        <v>68.083455249514401</v>
      </c>
      <c r="CK23" s="1">
        <v>143.854979649591</v>
      </c>
      <c r="CL23" s="1">
        <v>1.9235110086295599E-2</v>
      </c>
      <c r="CM23" s="1">
        <v>132.188289093723</v>
      </c>
      <c r="CN23" s="1">
        <v>162.23270103994699</v>
      </c>
      <c r="CO23" s="1">
        <v>3358.6208937144302</v>
      </c>
      <c r="CP23" s="1">
        <v>236.730250667983</v>
      </c>
      <c r="CQ23" s="1">
        <v>2.6392867811864298E-2</v>
      </c>
      <c r="CR23" s="1">
        <v>311.70837487323899</v>
      </c>
      <c r="CS23" s="1">
        <v>0</v>
      </c>
      <c r="CT23" s="1">
        <v>0</v>
      </c>
      <c r="CU23" s="1">
        <v>0</v>
      </c>
      <c r="CV23" s="1">
        <v>0</v>
      </c>
      <c r="CW23" s="1">
        <v>1020.79980607164</v>
      </c>
      <c r="CX23" s="1">
        <v>5.2779925092631297E-2</v>
      </c>
      <c r="CY23" s="1">
        <v>6.7327357211133407E-2</v>
      </c>
      <c r="CZ23" s="1">
        <v>2.13689718667496E-2</v>
      </c>
      <c r="DA23" s="1">
        <v>5.1845871127381503E-2</v>
      </c>
      <c r="DB23" s="1">
        <v>0.21261608253450701</v>
      </c>
      <c r="DC23" s="1">
        <v>4.6176830368343601E-2</v>
      </c>
      <c r="DD23" s="1">
        <v>1.4714542862355001E-2</v>
      </c>
      <c r="DE23" s="2">
        <v>5.1629974955654499E-4</v>
      </c>
      <c r="DF23" s="1">
        <v>0.30100275399134002</v>
      </c>
      <c r="DG23" s="1">
        <v>2.1320598157928701</v>
      </c>
      <c r="DH23" s="1">
        <v>14.584951625216201</v>
      </c>
      <c r="DI23" s="1">
        <v>0.372381194367502</v>
      </c>
      <c r="DJ23" s="1">
        <v>1.93612406083622E-3</v>
      </c>
      <c r="DK23" s="1">
        <v>2.3233488730033101E-3</v>
      </c>
      <c r="DL23" s="1">
        <v>0.813430255426002</v>
      </c>
      <c r="DM23" s="1">
        <v>0.60742665535301699</v>
      </c>
      <c r="DN23" s="1">
        <v>0.53579006510207905</v>
      </c>
      <c r="DO23" s="1">
        <v>5.5502223077303403E-2</v>
      </c>
      <c r="DP23" s="1">
        <v>1.75541914849148E-2</v>
      </c>
      <c r="DQ23" s="1">
        <v>9.2815820871024302E-2</v>
      </c>
    </row>
    <row r="24" spans="1:121" x14ac:dyDescent="0.25">
      <c r="A24" s="1" t="s">
        <v>53</v>
      </c>
      <c r="B24" s="1">
        <v>0</v>
      </c>
      <c r="C24" s="1" t="s">
        <v>29</v>
      </c>
      <c r="D24" s="1" t="s">
        <v>54</v>
      </c>
      <c r="E24" s="1">
        <v>12.1197916666666</v>
      </c>
      <c r="F24" s="1">
        <v>5.4714833333333303E-2</v>
      </c>
      <c r="G24" s="1">
        <v>1.1566666666666601</v>
      </c>
      <c r="H24" s="1">
        <v>17.899999999999999</v>
      </c>
      <c r="I24" s="1" t="s">
        <v>31</v>
      </c>
      <c r="J24" s="1" t="s">
        <v>31</v>
      </c>
      <c r="K24" s="1" t="s">
        <v>31</v>
      </c>
      <c r="L24" s="1">
        <v>1.04212584576388</v>
      </c>
      <c r="M24" s="1">
        <v>2.6266694500254401E-2</v>
      </c>
      <c r="N24" s="1">
        <v>0.62357230875209901</v>
      </c>
      <c r="O24" s="1">
        <v>0.12792042981336599</v>
      </c>
      <c r="P24" s="1" t="s">
        <v>31</v>
      </c>
      <c r="Q24" s="1" t="s">
        <v>31</v>
      </c>
      <c r="R24" s="1" t="s">
        <v>31</v>
      </c>
      <c r="S24" s="1">
        <v>5.0000000000000001E-3</v>
      </c>
      <c r="T24" s="1">
        <v>0</v>
      </c>
      <c r="U24" s="2">
        <v>8.2039088955736998E-4</v>
      </c>
      <c r="V24" s="1">
        <v>1.2538421438804299E-3</v>
      </c>
      <c r="W24" s="2">
        <v>3.8693963523430498E-4</v>
      </c>
      <c r="X24" s="1" t="s">
        <v>55</v>
      </c>
      <c r="Y24" s="1">
        <v>26.5194444444443</v>
      </c>
      <c r="Z24" s="1">
        <v>0</v>
      </c>
      <c r="AA24" s="1" t="s">
        <v>46</v>
      </c>
      <c r="AB24" s="1">
        <v>9</v>
      </c>
      <c r="AC24" s="1">
        <v>0</v>
      </c>
      <c r="AD24" s="1">
        <v>0</v>
      </c>
      <c r="AE24" s="1">
        <v>0</v>
      </c>
      <c r="AF24" s="1">
        <v>9</v>
      </c>
      <c r="AG24" s="1" t="s">
        <v>31</v>
      </c>
      <c r="AH24" s="1">
        <v>1993</v>
      </c>
      <c r="AI24" s="1">
        <v>1993</v>
      </c>
      <c r="AJ24" s="1">
        <v>2019.5194444444401</v>
      </c>
      <c r="AK24" s="1">
        <v>0.33312301727064703</v>
      </c>
      <c r="AL24" s="1">
        <v>0.65647601171929204</v>
      </c>
      <c r="AM24" s="1">
        <v>0.52501613296945404</v>
      </c>
      <c r="AN24" s="1">
        <v>1114.6395567427801</v>
      </c>
      <c r="AO24" s="1">
        <v>502.08128396822099</v>
      </c>
      <c r="AP24" s="1">
        <v>612.55827277457104</v>
      </c>
      <c r="AQ24" s="1">
        <v>0.30302184014062</v>
      </c>
      <c r="AR24" s="1">
        <v>644.48084991326198</v>
      </c>
      <c r="AS24" s="1">
        <v>2282.8628813185801</v>
      </c>
      <c r="AT24" s="1">
        <v>4484.0396334296902</v>
      </c>
      <c r="AU24" s="1">
        <v>150.51923196222299</v>
      </c>
      <c r="AV24" s="1">
        <v>0.12636902230536501</v>
      </c>
      <c r="AW24" s="1">
        <v>452.72886837853002</v>
      </c>
      <c r="AX24" s="1">
        <v>6.4499999999999602</v>
      </c>
      <c r="AY24" s="1">
        <v>78.55</v>
      </c>
      <c r="AZ24" s="1">
        <v>15</v>
      </c>
      <c r="BA24" s="1">
        <v>93.55</v>
      </c>
      <c r="BB24" s="1">
        <v>2551.6505076553299</v>
      </c>
      <c r="BC24" s="1">
        <v>0.25273804461072902</v>
      </c>
      <c r="BD24" s="1">
        <v>0.26075716200360499</v>
      </c>
      <c r="BE24" s="1">
        <v>0.26908011943057702</v>
      </c>
      <c r="BF24" s="1">
        <v>0.245886592930047</v>
      </c>
      <c r="BG24" s="1">
        <v>1.0632221339921499</v>
      </c>
      <c r="BH24" s="1">
        <v>9.8090106792645404E-2</v>
      </c>
      <c r="BI24" s="1">
        <v>5.1831100204022897</v>
      </c>
      <c r="BJ24" s="1">
        <v>12.2211486399189</v>
      </c>
      <c r="BK24" s="1">
        <v>91.716234636173397</v>
      </c>
      <c r="BL24" s="1">
        <v>288.80940094387699</v>
      </c>
      <c r="BM24" s="1">
        <v>1726.7250360057001</v>
      </c>
      <c r="BN24" s="1">
        <v>71.663477616410702</v>
      </c>
      <c r="BO24" s="1">
        <v>0.27081274056447802</v>
      </c>
      <c r="BP24" s="1">
        <v>1.3742046446780001</v>
      </c>
      <c r="BQ24" s="1">
        <v>178.134821653957</v>
      </c>
      <c r="BR24" s="1">
        <v>42.3306708687509</v>
      </c>
      <c r="BS24" s="1">
        <v>51.875211412783301</v>
      </c>
      <c r="BT24" s="1">
        <v>80.954908991912703</v>
      </c>
      <c r="BU24" s="1">
        <v>10.479752886773699</v>
      </c>
      <c r="BV24" s="1">
        <v>0.45296003898299098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 t="s">
        <v>31</v>
      </c>
      <c r="CC24" s="1">
        <v>0</v>
      </c>
      <c r="CD24" s="1">
        <v>0</v>
      </c>
      <c r="CE24" s="1">
        <v>0</v>
      </c>
      <c r="CF24" s="2">
        <v>5.9555986953038797E-4</v>
      </c>
      <c r="CG24" s="1">
        <v>2.5609953845408201E-3</v>
      </c>
      <c r="CH24" s="1">
        <v>8.0074928810165105E-2</v>
      </c>
      <c r="CI24" s="1">
        <v>230.53851905272799</v>
      </c>
      <c r="CJ24" s="1">
        <v>77.292095483086399</v>
      </c>
      <c r="CK24" s="1">
        <v>153.246423569646</v>
      </c>
      <c r="CL24" s="1">
        <v>0.153130290058243</v>
      </c>
      <c r="CM24" s="1">
        <v>78.620307589162095</v>
      </c>
      <c r="CN24" s="1">
        <v>150.21450532470101</v>
      </c>
      <c r="CO24" s="1">
        <v>145.97279645251299</v>
      </c>
      <c r="CP24" s="1">
        <v>16.294994429770099</v>
      </c>
      <c r="CQ24" s="1">
        <v>8.7690613348932796E-3</v>
      </c>
      <c r="CR24" s="1">
        <v>24.166209339820998</v>
      </c>
      <c r="CS24" s="1">
        <v>0</v>
      </c>
      <c r="CT24" s="1">
        <v>0</v>
      </c>
      <c r="CU24" s="1">
        <v>0</v>
      </c>
      <c r="CV24" s="1">
        <v>0</v>
      </c>
      <c r="CW24" s="1">
        <v>126.637437789164</v>
      </c>
      <c r="CX24" s="1">
        <v>1.7538122669787E-2</v>
      </c>
      <c r="CY24" s="1">
        <v>2.0648691460486701E-2</v>
      </c>
      <c r="CZ24" s="1">
        <v>8.7031844863233697E-3</v>
      </c>
      <c r="DA24" s="1">
        <v>1.4471354263372401E-2</v>
      </c>
      <c r="DB24" s="1">
        <v>2.6508804067318301E-2</v>
      </c>
      <c r="DC24" s="1">
        <v>1.03657892899201E-2</v>
      </c>
      <c r="DD24" s="1">
        <v>2.20778604773894E-2</v>
      </c>
      <c r="DE24" s="1">
        <v>1.0585275571350399E-2</v>
      </c>
      <c r="DF24" s="1">
        <v>9.7233317033992003E-2</v>
      </c>
      <c r="DG24" s="1">
        <v>6.5802609498194196</v>
      </c>
      <c r="DH24" s="1">
        <v>19.5437455056089</v>
      </c>
      <c r="DI24" s="1">
        <v>0.94874312763799795</v>
      </c>
      <c r="DJ24" s="2">
        <v>9.0730933468727705E-4</v>
      </c>
      <c r="DK24" s="1">
        <v>1.3912076465204599E-2</v>
      </c>
      <c r="DL24" s="1">
        <v>4.9549674949496501</v>
      </c>
      <c r="DM24" s="1">
        <v>2.3438824479427502E-2</v>
      </c>
      <c r="DN24" s="1">
        <v>2.7672934707971698E-2</v>
      </c>
      <c r="DO24" s="1">
        <v>1.5032603493543499</v>
      </c>
      <c r="DP24" s="1">
        <v>1.08877120162443E-2</v>
      </c>
      <c r="DQ24" s="1">
        <v>2.4342076261321399E-2</v>
      </c>
    </row>
    <row r="25" spans="1:121" x14ac:dyDescent="0.25">
      <c r="A25" s="1" t="s">
        <v>53</v>
      </c>
      <c r="B25" s="1">
        <v>0</v>
      </c>
      <c r="C25" s="1" t="s">
        <v>34</v>
      </c>
      <c r="D25" s="1" t="s">
        <v>54</v>
      </c>
      <c r="E25" s="1">
        <v>12.1197916666666</v>
      </c>
      <c r="F25" s="1">
        <v>2.6090916666666599E-2</v>
      </c>
      <c r="G25" s="1">
        <v>6.4974999999999996</v>
      </c>
      <c r="H25" s="1">
        <v>17.899999999999999</v>
      </c>
      <c r="I25" s="1" t="s">
        <v>31</v>
      </c>
      <c r="J25" s="1" t="s">
        <v>31</v>
      </c>
      <c r="K25" s="1" t="s">
        <v>31</v>
      </c>
      <c r="L25" s="1">
        <v>1.04212584576388</v>
      </c>
      <c r="M25" s="1">
        <v>1.2001582633956899E-2</v>
      </c>
      <c r="N25" s="1">
        <v>0.84156915126663001</v>
      </c>
      <c r="O25" s="1">
        <v>0.12792042981336599</v>
      </c>
      <c r="P25" s="1" t="s">
        <v>31</v>
      </c>
      <c r="Q25" s="1" t="s">
        <v>31</v>
      </c>
      <c r="R25" s="1" t="s">
        <v>31</v>
      </c>
      <c r="S25" s="1">
        <v>5.0000000000000001E-3</v>
      </c>
      <c r="T25" s="1">
        <v>0</v>
      </c>
      <c r="U25" s="2">
        <v>3.4804091104426198E-4</v>
      </c>
      <c r="V25" s="2">
        <v>5.4609023340951703E-4</v>
      </c>
      <c r="W25" s="2">
        <v>1.49991588679008E-4</v>
      </c>
      <c r="X25" s="1" t="s">
        <v>55</v>
      </c>
      <c r="Y25" s="1">
        <v>26.5194444444443</v>
      </c>
      <c r="Z25" s="1">
        <v>0</v>
      </c>
      <c r="AA25" s="1" t="s">
        <v>46</v>
      </c>
      <c r="AB25" s="1">
        <v>9</v>
      </c>
      <c r="AC25" s="1">
        <v>0</v>
      </c>
      <c r="AD25" s="1">
        <v>0</v>
      </c>
      <c r="AE25" s="1">
        <v>0</v>
      </c>
      <c r="AF25" s="1">
        <v>9</v>
      </c>
      <c r="AG25" s="1" t="s">
        <v>31</v>
      </c>
      <c r="AH25" s="1">
        <v>1993</v>
      </c>
      <c r="AI25" s="1">
        <v>1993</v>
      </c>
      <c r="AJ25" s="1">
        <v>2019.5194444444401</v>
      </c>
      <c r="AK25" s="1">
        <v>0.33312301727064703</v>
      </c>
      <c r="AL25" s="1">
        <v>0.65647601171929204</v>
      </c>
      <c r="AM25" s="1">
        <v>0.52501613296945404</v>
      </c>
      <c r="AN25" s="1">
        <v>1114.6395567427801</v>
      </c>
      <c r="AO25" s="1">
        <v>502.08128396822099</v>
      </c>
      <c r="AP25" s="1">
        <v>612.55827277457104</v>
      </c>
      <c r="AQ25" s="1">
        <v>0.30302184014062</v>
      </c>
      <c r="AR25" s="1">
        <v>644.48084991326198</v>
      </c>
      <c r="AS25" s="1">
        <v>2282.8628813185801</v>
      </c>
      <c r="AT25" s="1">
        <v>4484.0396334296902</v>
      </c>
      <c r="AU25" s="1">
        <v>150.51923196222299</v>
      </c>
      <c r="AV25" s="1">
        <v>0.12636902230536501</v>
      </c>
      <c r="AW25" s="1">
        <v>452.72886837853002</v>
      </c>
      <c r="AX25" s="1">
        <v>6.4499999999999602</v>
      </c>
      <c r="AY25" s="1">
        <v>78.55</v>
      </c>
      <c r="AZ25" s="1">
        <v>15</v>
      </c>
      <c r="BA25" s="1">
        <v>93.55</v>
      </c>
      <c r="BB25" s="1">
        <v>2551.6505076553299</v>
      </c>
      <c r="BC25" s="1">
        <v>0.25273804461072902</v>
      </c>
      <c r="BD25" s="1">
        <v>0.26075716200360499</v>
      </c>
      <c r="BE25" s="1">
        <v>0.26908011943057702</v>
      </c>
      <c r="BF25" s="1">
        <v>0.245886592930047</v>
      </c>
      <c r="BG25" s="1">
        <v>1.0632221339921499</v>
      </c>
      <c r="BH25" s="1">
        <v>9.8090106792645404E-2</v>
      </c>
      <c r="BI25" s="1">
        <v>5.1831100204022897</v>
      </c>
      <c r="BJ25" s="1">
        <v>12.2211486399189</v>
      </c>
      <c r="BK25" s="1">
        <v>91.716234636173397</v>
      </c>
      <c r="BL25" s="1">
        <v>288.80940094387699</v>
      </c>
      <c r="BM25" s="1">
        <v>1726.7250360057001</v>
      </c>
      <c r="BN25" s="1">
        <v>71.663477616410702</v>
      </c>
      <c r="BO25" s="1">
        <v>0.27081274056447802</v>
      </c>
      <c r="BP25" s="1">
        <v>1.3742046446780001</v>
      </c>
      <c r="BQ25" s="1">
        <v>178.134821653957</v>
      </c>
      <c r="BR25" s="1">
        <v>42.3306708687509</v>
      </c>
      <c r="BS25" s="1">
        <v>51.875211412783301</v>
      </c>
      <c r="BT25" s="1">
        <v>80.954908991912703</v>
      </c>
      <c r="BU25" s="1">
        <v>10.479752886773699</v>
      </c>
      <c r="BV25" s="1">
        <v>0.45296003898299098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 t="s">
        <v>31</v>
      </c>
      <c r="CC25" s="1">
        <v>0</v>
      </c>
      <c r="CD25" s="1">
        <v>0</v>
      </c>
      <c r="CE25" s="1">
        <v>0</v>
      </c>
      <c r="CF25" s="2">
        <v>5.9555986953038797E-4</v>
      </c>
      <c r="CG25" s="1">
        <v>2.5609953845408201E-3</v>
      </c>
      <c r="CH25" s="1">
        <v>8.0074928810165105E-2</v>
      </c>
      <c r="CI25" s="1">
        <v>230.53851905272799</v>
      </c>
      <c r="CJ25" s="1">
        <v>77.292095483086399</v>
      </c>
      <c r="CK25" s="1">
        <v>153.246423569646</v>
      </c>
      <c r="CL25" s="1">
        <v>0.153130290058243</v>
      </c>
      <c r="CM25" s="1">
        <v>78.620307589162095</v>
      </c>
      <c r="CN25" s="1">
        <v>150.21450532470101</v>
      </c>
      <c r="CO25" s="1">
        <v>145.97279645251299</v>
      </c>
      <c r="CP25" s="1">
        <v>16.294994429770099</v>
      </c>
      <c r="CQ25" s="1">
        <v>8.7690613348932796E-3</v>
      </c>
      <c r="CR25" s="1">
        <v>24.166209339820998</v>
      </c>
      <c r="CS25" s="1">
        <v>0</v>
      </c>
      <c r="CT25" s="1">
        <v>0</v>
      </c>
      <c r="CU25" s="1">
        <v>0</v>
      </c>
      <c r="CV25" s="1">
        <v>0</v>
      </c>
      <c r="CW25" s="1">
        <v>126.637437789164</v>
      </c>
      <c r="CX25" s="1">
        <v>1.7538122669787E-2</v>
      </c>
      <c r="CY25" s="1">
        <v>2.0648691460486701E-2</v>
      </c>
      <c r="CZ25" s="1">
        <v>8.7031844863233697E-3</v>
      </c>
      <c r="DA25" s="1">
        <v>1.4471354263372401E-2</v>
      </c>
      <c r="DB25" s="1">
        <v>2.6508804067318301E-2</v>
      </c>
      <c r="DC25" s="1">
        <v>1.03657892899201E-2</v>
      </c>
      <c r="DD25" s="1">
        <v>2.20778604773894E-2</v>
      </c>
      <c r="DE25" s="1">
        <v>1.0585275571350399E-2</v>
      </c>
      <c r="DF25" s="1">
        <v>9.7233317033992003E-2</v>
      </c>
      <c r="DG25" s="1">
        <v>6.5802609498194196</v>
      </c>
      <c r="DH25" s="1">
        <v>19.5437455056089</v>
      </c>
      <c r="DI25" s="1">
        <v>0.94874312763799795</v>
      </c>
      <c r="DJ25" s="2">
        <v>9.0730933468727705E-4</v>
      </c>
      <c r="DK25" s="1">
        <v>1.3912076465204599E-2</v>
      </c>
      <c r="DL25" s="1">
        <v>4.9549674949496501</v>
      </c>
      <c r="DM25" s="1">
        <v>2.3438824479427502E-2</v>
      </c>
      <c r="DN25" s="1">
        <v>2.7672934707971698E-2</v>
      </c>
      <c r="DO25" s="1">
        <v>1.5032603493543499</v>
      </c>
      <c r="DP25" s="1">
        <v>1.08877120162443E-2</v>
      </c>
      <c r="DQ25" s="1">
        <v>2.4342076261321399E-2</v>
      </c>
    </row>
    <row r="26" spans="1:121" x14ac:dyDescent="0.25">
      <c r="A26" s="1" t="s">
        <v>53</v>
      </c>
      <c r="B26" s="1">
        <v>2</v>
      </c>
      <c r="C26" s="1" t="s">
        <v>29</v>
      </c>
      <c r="D26" s="1" t="s">
        <v>56</v>
      </c>
      <c r="E26" s="1">
        <v>11.7708333333333</v>
      </c>
      <c r="F26" s="1">
        <v>6.5570000000000003E-2</v>
      </c>
      <c r="G26" s="1">
        <v>0.43666666666666598</v>
      </c>
      <c r="H26" s="1">
        <v>22</v>
      </c>
      <c r="I26" s="1">
        <v>7.8483333333333301</v>
      </c>
      <c r="J26" s="1">
        <v>-172.5</v>
      </c>
      <c r="K26" s="1">
        <v>332.55</v>
      </c>
      <c r="L26" s="1">
        <v>0.992747135478113</v>
      </c>
      <c r="M26" s="1">
        <v>3.1894877958694202E-2</v>
      </c>
      <c r="N26" s="1">
        <v>0.25835376263307303</v>
      </c>
      <c r="O26" s="1">
        <v>0.42426406871192801</v>
      </c>
      <c r="P26" s="1">
        <v>0.17837226989267799</v>
      </c>
      <c r="Q26" s="1">
        <v>52.388472014365902</v>
      </c>
      <c r="R26" s="1">
        <v>31.332267712376002</v>
      </c>
      <c r="S26" s="1">
        <v>5.0000000000000001E-3</v>
      </c>
      <c r="T26" s="1">
        <v>0</v>
      </c>
      <c r="U26" s="1">
        <v>1.0291539823008801E-3</v>
      </c>
      <c r="V26" s="1">
        <v>1.5710846520415301E-3</v>
      </c>
      <c r="W26" s="2">
        <v>4.8722331256023898E-4</v>
      </c>
      <c r="X26" s="1" t="s">
        <v>55</v>
      </c>
      <c r="Y26" s="1">
        <v>26.5194444444443</v>
      </c>
      <c r="Z26" s="1">
        <v>0</v>
      </c>
      <c r="AA26" s="1" t="s">
        <v>46</v>
      </c>
      <c r="AB26" s="1">
        <v>9</v>
      </c>
      <c r="AC26" s="1">
        <v>0</v>
      </c>
      <c r="AD26" s="1">
        <v>0</v>
      </c>
      <c r="AE26" s="1">
        <v>0</v>
      </c>
      <c r="AF26" s="1">
        <v>9</v>
      </c>
      <c r="AG26" s="1" t="s">
        <v>31</v>
      </c>
      <c r="AH26" s="1">
        <v>1993</v>
      </c>
      <c r="AI26" s="1">
        <v>1993</v>
      </c>
      <c r="AJ26" s="1">
        <v>2019.5194444444401</v>
      </c>
      <c r="AK26" s="1">
        <v>0.47284390966879403</v>
      </c>
      <c r="AL26" s="1">
        <v>0.54379696664868704</v>
      </c>
      <c r="AM26" s="1">
        <v>0.203529966317747</v>
      </c>
      <c r="AN26" s="1">
        <v>1124.7627898767701</v>
      </c>
      <c r="AO26" s="1">
        <v>319.06536980308198</v>
      </c>
      <c r="AP26" s="1">
        <v>805.69742007369302</v>
      </c>
      <c r="AQ26" s="1">
        <v>0.18842595944789201</v>
      </c>
      <c r="AR26" s="1">
        <v>628.38136114431904</v>
      </c>
      <c r="AS26" s="1">
        <v>1876.2518450289299</v>
      </c>
      <c r="AT26" s="1">
        <v>5504.8570685315399</v>
      </c>
      <c r="AU26" s="1">
        <v>251.57924664585801</v>
      </c>
      <c r="AV26" s="1">
        <v>0.12152131348389</v>
      </c>
      <c r="AW26" s="1">
        <v>489.95117351585998</v>
      </c>
      <c r="AX26" s="1">
        <v>6.2550000000000203</v>
      </c>
      <c r="AY26" s="1">
        <v>83.744999999999905</v>
      </c>
      <c r="AZ26" s="1">
        <v>10</v>
      </c>
      <c r="BA26" s="1">
        <v>93.744999999999905</v>
      </c>
      <c r="BB26" s="1">
        <v>2600.7733364190199</v>
      </c>
      <c r="BC26" s="1">
        <v>0.24304262696778001</v>
      </c>
      <c r="BD26" s="1">
        <v>0.20934665656757701</v>
      </c>
      <c r="BE26" s="1">
        <v>0.32741199388191999</v>
      </c>
      <c r="BF26" s="1">
        <v>0.29172216053198702</v>
      </c>
      <c r="BG26" s="1">
        <v>0.71405662278584003</v>
      </c>
      <c r="BH26" s="1">
        <v>6.2335354267258503E-2</v>
      </c>
      <c r="BI26" s="1">
        <v>5.2198101878999497</v>
      </c>
      <c r="BJ26" s="1">
        <v>13.601632980240399</v>
      </c>
      <c r="BK26" s="1">
        <v>102.55628505271601</v>
      </c>
      <c r="BL26" s="1">
        <v>191.40379623987201</v>
      </c>
      <c r="BM26" s="1">
        <v>1520.7974000546999</v>
      </c>
      <c r="BN26" s="1">
        <v>51.599732249488802</v>
      </c>
      <c r="BO26" s="1">
        <v>0.154529385440733</v>
      </c>
      <c r="BP26" s="1">
        <v>1.3350238663586</v>
      </c>
      <c r="BQ26" s="1">
        <v>158.08743809709699</v>
      </c>
      <c r="BR26" s="1">
        <v>59.587034978752698</v>
      </c>
      <c r="BS26" s="1">
        <v>35.1396714648235</v>
      </c>
      <c r="BT26" s="1">
        <v>31.230254698562899</v>
      </c>
      <c r="BU26" s="1">
        <v>4.25763387525555</v>
      </c>
      <c r="BV26" s="1">
        <v>0.28378285616759902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 t="s">
        <v>31</v>
      </c>
      <c r="CC26" s="1">
        <v>0</v>
      </c>
      <c r="CD26" s="1">
        <v>0</v>
      </c>
      <c r="CE26" s="1">
        <v>0</v>
      </c>
      <c r="CF26" s="1">
        <v>1.8699374886488401E-2</v>
      </c>
      <c r="CG26" s="1">
        <v>1.9331131614821001E-2</v>
      </c>
      <c r="CH26" s="1">
        <v>3.7506975316254999E-2</v>
      </c>
      <c r="CI26" s="1">
        <v>92.437311405105206</v>
      </c>
      <c r="CJ26" s="1">
        <v>31.270564969390701</v>
      </c>
      <c r="CK26" s="1">
        <v>70.706102089412994</v>
      </c>
      <c r="CL26" s="1">
        <v>6.9673932908379602E-2</v>
      </c>
      <c r="CM26" s="1">
        <v>60.766904347572002</v>
      </c>
      <c r="CN26" s="1">
        <v>157.389384516549</v>
      </c>
      <c r="CO26" s="1">
        <v>565.815340063191</v>
      </c>
      <c r="CP26" s="1">
        <v>68.614603051017298</v>
      </c>
      <c r="CQ26" s="1">
        <v>1.4063252994677099E-2</v>
      </c>
      <c r="CR26" s="1">
        <v>100.20456400027901</v>
      </c>
      <c r="CS26" s="1">
        <v>0</v>
      </c>
      <c r="CT26" s="1">
        <v>0</v>
      </c>
      <c r="CU26" s="1">
        <v>0</v>
      </c>
      <c r="CV26" s="1">
        <v>0</v>
      </c>
      <c r="CW26" s="1">
        <v>198.28011734645099</v>
      </c>
      <c r="CX26" s="1">
        <v>2.8126505989354501E-2</v>
      </c>
      <c r="CY26" s="1">
        <v>3.2363675347579599E-2</v>
      </c>
      <c r="CZ26" s="1">
        <v>1.1610274298572899E-2</v>
      </c>
      <c r="DA26" s="1">
        <v>1.6879897156679501E-2</v>
      </c>
      <c r="DB26" s="1">
        <v>7.7312317230872299E-2</v>
      </c>
      <c r="DC26" s="1">
        <v>1.06229958737505E-2</v>
      </c>
      <c r="DD26" s="1">
        <v>8.0577589407042502E-2</v>
      </c>
      <c r="DE26" s="1">
        <v>0.118243240548899</v>
      </c>
      <c r="DF26" s="1">
        <v>1.66562890156594</v>
      </c>
      <c r="DG26" s="1">
        <v>1.99574142978781</v>
      </c>
      <c r="DH26" s="1">
        <v>8.4139683843600093</v>
      </c>
      <c r="DI26" s="1">
        <v>0.14501275689614701</v>
      </c>
      <c r="DJ26" s="1">
        <v>1.3452018264948501E-3</v>
      </c>
      <c r="DK26" s="1">
        <v>1.7218583379134299E-2</v>
      </c>
      <c r="DL26" s="1">
        <v>0.74443469078223701</v>
      </c>
      <c r="DM26" s="1">
        <v>0.61731311817849399</v>
      </c>
      <c r="DN26" s="1">
        <v>4.4795220822279901E-2</v>
      </c>
      <c r="DO26" s="1">
        <v>0.21079312621174001</v>
      </c>
      <c r="DP26" s="1">
        <v>7.2506378448073006E-2</v>
      </c>
      <c r="DQ26" s="1">
        <v>1.6762223280280399E-2</v>
      </c>
    </row>
    <row r="27" spans="1:121" x14ac:dyDescent="0.25">
      <c r="A27" s="1" t="s">
        <v>53</v>
      </c>
      <c r="B27" s="1">
        <v>2</v>
      </c>
      <c r="C27" s="1" t="s">
        <v>34</v>
      </c>
      <c r="D27" s="1" t="s">
        <v>56</v>
      </c>
      <c r="E27" s="1">
        <v>11.7708333333333</v>
      </c>
      <c r="F27" s="1">
        <v>1.88066666666666E-2</v>
      </c>
      <c r="G27" s="1">
        <v>5.4349999999999996</v>
      </c>
      <c r="H27" s="1">
        <v>22.066666666666599</v>
      </c>
      <c r="I27" s="1">
        <v>7.57666666666666</v>
      </c>
      <c r="J27" s="1">
        <v>43</v>
      </c>
      <c r="K27" s="1">
        <v>288.46666666666601</v>
      </c>
      <c r="L27" s="1">
        <v>0.992747135478113</v>
      </c>
      <c r="M27" s="1">
        <v>6.0025483477158803E-3</v>
      </c>
      <c r="N27" s="1">
        <v>0.49090732322913999</v>
      </c>
      <c r="O27" s="1">
        <v>0.47609522856952202</v>
      </c>
      <c r="P27" s="1">
        <v>5.3913510984415297E-2</v>
      </c>
      <c r="Q27" s="1">
        <v>63.661259805316398</v>
      </c>
      <c r="R27" s="1">
        <v>11.9822646718667</v>
      </c>
      <c r="S27" s="1">
        <v>5.0000000000000001E-3</v>
      </c>
      <c r="T27" s="1">
        <v>0</v>
      </c>
      <c r="U27" s="2">
        <v>2.34591150442477E-4</v>
      </c>
      <c r="V27" s="2">
        <v>3.3658135245676502E-4</v>
      </c>
      <c r="W27" s="2">
        <v>1.3260094842819001E-4</v>
      </c>
      <c r="X27" s="1" t="s">
        <v>55</v>
      </c>
      <c r="Y27" s="1">
        <v>26.5194444444443</v>
      </c>
      <c r="Z27" s="1">
        <v>0</v>
      </c>
      <c r="AA27" s="1" t="s">
        <v>46</v>
      </c>
      <c r="AB27" s="1">
        <v>9</v>
      </c>
      <c r="AC27" s="1">
        <v>0</v>
      </c>
      <c r="AD27" s="1">
        <v>0</v>
      </c>
      <c r="AE27" s="1">
        <v>0</v>
      </c>
      <c r="AF27" s="1">
        <v>9</v>
      </c>
      <c r="AG27" s="1" t="s">
        <v>31</v>
      </c>
      <c r="AH27" s="1">
        <v>1993</v>
      </c>
      <c r="AI27" s="1">
        <v>1993</v>
      </c>
      <c r="AJ27" s="1">
        <v>2019.5194444444401</v>
      </c>
      <c r="AK27" s="1">
        <v>0.47284390966879403</v>
      </c>
      <c r="AL27" s="1">
        <v>0.54379696664868704</v>
      </c>
      <c r="AM27" s="1">
        <v>0.203529966317747</v>
      </c>
      <c r="AN27" s="1">
        <v>1124.7627898767701</v>
      </c>
      <c r="AO27" s="1">
        <v>319.06536980308198</v>
      </c>
      <c r="AP27" s="1">
        <v>805.69742007369302</v>
      </c>
      <c r="AQ27" s="1">
        <v>0.18842595944789201</v>
      </c>
      <c r="AR27" s="1">
        <v>628.38136114431904</v>
      </c>
      <c r="AS27" s="1">
        <v>1876.2518450289299</v>
      </c>
      <c r="AT27" s="1">
        <v>5504.8570685315399</v>
      </c>
      <c r="AU27" s="1">
        <v>251.57924664585801</v>
      </c>
      <c r="AV27" s="1">
        <v>0.12152131348389</v>
      </c>
      <c r="AW27" s="1">
        <v>489.95117351585998</v>
      </c>
      <c r="AX27" s="1">
        <v>6.2550000000000203</v>
      </c>
      <c r="AY27" s="1">
        <v>83.744999999999905</v>
      </c>
      <c r="AZ27" s="1">
        <v>10</v>
      </c>
      <c r="BA27" s="1">
        <v>93.744999999999905</v>
      </c>
      <c r="BB27" s="1">
        <v>2600.7733364190199</v>
      </c>
      <c r="BC27" s="1">
        <v>0.24304262696778001</v>
      </c>
      <c r="BD27" s="1">
        <v>0.20934665656757701</v>
      </c>
      <c r="BE27" s="1">
        <v>0.32741199388191999</v>
      </c>
      <c r="BF27" s="1">
        <v>0.29172216053198702</v>
      </c>
      <c r="BG27" s="1">
        <v>0.71405662278584003</v>
      </c>
      <c r="BH27" s="1">
        <v>6.2335354267258503E-2</v>
      </c>
      <c r="BI27" s="1">
        <v>5.2198101878999497</v>
      </c>
      <c r="BJ27" s="1">
        <v>13.601632980240399</v>
      </c>
      <c r="BK27" s="1">
        <v>102.55628505271601</v>
      </c>
      <c r="BL27" s="1">
        <v>191.40379623987201</v>
      </c>
      <c r="BM27" s="1">
        <v>1520.7974000546999</v>
      </c>
      <c r="BN27" s="1">
        <v>51.599732249488802</v>
      </c>
      <c r="BO27" s="1">
        <v>0.154529385440733</v>
      </c>
      <c r="BP27" s="1">
        <v>1.3350238663586</v>
      </c>
      <c r="BQ27" s="1">
        <v>158.08743809709699</v>
      </c>
      <c r="BR27" s="1">
        <v>59.587034978752698</v>
      </c>
      <c r="BS27" s="1">
        <v>35.1396714648235</v>
      </c>
      <c r="BT27" s="1">
        <v>31.230254698562899</v>
      </c>
      <c r="BU27" s="1">
        <v>4.25763387525555</v>
      </c>
      <c r="BV27" s="1">
        <v>0.28378285616759902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 t="s">
        <v>31</v>
      </c>
      <c r="CC27" s="1">
        <v>0</v>
      </c>
      <c r="CD27" s="1">
        <v>0</v>
      </c>
      <c r="CE27" s="1">
        <v>0</v>
      </c>
      <c r="CF27" s="1">
        <v>1.8699374886488401E-2</v>
      </c>
      <c r="CG27" s="1">
        <v>1.9331131614821001E-2</v>
      </c>
      <c r="CH27" s="1">
        <v>3.7506975316254999E-2</v>
      </c>
      <c r="CI27" s="1">
        <v>92.437311405105206</v>
      </c>
      <c r="CJ27" s="1">
        <v>31.270564969390701</v>
      </c>
      <c r="CK27" s="1">
        <v>70.706102089412994</v>
      </c>
      <c r="CL27" s="1">
        <v>6.9673932908379602E-2</v>
      </c>
      <c r="CM27" s="1">
        <v>60.766904347572002</v>
      </c>
      <c r="CN27" s="1">
        <v>157.389384516549</v>
      </c>
      <c r="CO27" s="1">
        <v>565.815340063191</v>
      </c>
      <c r="CP27" s="1">
        <v>68.614603051017298</v>
      </c>
      <c r="CQ27" s="1">
        <v>1.4063252994677099E-2</v>
      </c>
      <c r="CR27" s="1">
        <v>100.20456400027901</v>
      </c>
      <c r="CS27" s="1">
        <v>0</v>
      </c>
      <c r="CT27" s="1">
        <v>0</v>
      </c>
      <c r="CU27" s="1">
        <v>0</v>
      </c>
      <c r="CV27" s="1">
        <v>0</v>
      </c>
      <c r="CW27" s="1">
        <v>198.28011734645099</v>
      </c>
      <c r="CX27" s="1">
        <v>2.8126505989354501E-2</v>
      </c>
      <c r="CY27" s="1">
        <v>3.2363675347579599E-2</v>
      </c>
      <c r="CZ27" s="1">
        <v>1.1610274298572899E-2</v>
      </c>
      <c r="DA27" s="1">
        <v>1.6879897156679501E-2</v>
      </c>
      <c r="DB27" s="1">
        <v>7.7312317230872299E-2</v>
      </c>
      <c r="DC27" s="1">
        <v>1.06229958737505E-2</v>
      </c>
      <c r="DD27" s="1">
        <v>8.0577589407042502E-2</v>
      </c>
      <c r="DE27" s="1">
        <v>0.118243240548899</v>
      </c>
      <c r="DF27" s="1">
        <v>1.66562890156594</v>
      </c>
      <c r="DG27" s="1">
        <v>1.99574142978781</v>
      </c>
      <c r="DH27" s="1">
        <v>8.4139683843600093</v>
      </c>
      <c r="DI27" s="1">
        <v>0.14501275689614701</v>
      </c>
      <c r="DJ27" s="1">
        <v>1.3452018264948501E-3</v>
      </c>
      <c r="DK27" s="1">
        <v>1.7218583379134299E-2</v>
      </c>
      <c r="DL27" s="1">
        <v>0.74443469078223701</v>
      </c>
      <c r="DM27" s="1">
        <v>0.61731311817849399</v>
      </c>
      <c r="DN27" s="1">
        <v>4.4795220822279901E-2</v>
      </c>
      <c r="DO27" s="1">
        <v>0.21079312621174001</v>
      </c>
      <c r="DP27" s="1">
        <v>7.2506378448073006E-2</v>
      </c>
      <c r="DQ27" s="1">
        <v>1.6762223280280399E-2</v>
      </c>
    </row>
    <row r="28" spans="1:121" x14ac:dyDescent="0.25">
      <c r="A28" s="1" t="s">
        <v>53</v>
      </c>
      <c r="B28" s="1">
        <v>4</v>
      </c>
      <c r="C28" s="1" t="s">
        <v>29</v>
      </c>
      <c r="D28" s="1" t="s">
        <v>57</v>
      </c>
      <c r="E28" s="1">
        <v>12.1197916666666</v>
      </c>
      <c r="F28" s="1">
        <v>6.0130666666666603E-2</v>
      </c>
      <c r="G28" s="1">
        <v>0.99166666666666603</v>
      </c>
      <c r="H28" s="1">
        <v>17.899999999999999</v>
      </c>
      <c r="I28" s="1" t="s">
        <v>31</v>
      </c>
      <c r="J28" s="1" t="s">
        <v>31</v>
      </c>
      <c r="K28" s="1" t="s">
        <v>31</v>
      </c>
      <c r="L28" s="1">
        <v>1.04212584576388</v>
      </c>
      <c r="M28" s="1">
        <v>1.80524161230231E-2</v>
      </c>
      <c r="N28" s="1">
        <v>0.55856688918783004</v>
      </c>
      <c r="O28" s="1">
        <v>0.12792042981336599</v>
      </c>
      <c r="P28" s="1" t="s">
        <v>31</v>
      </c>
      <c r="Q28" s="1" t="s">
        <v>31</v>
      </c>
      <c r="R28" s="1" t="s">
        <v>31</v>
      </c>
      <c r="S28" s="1">
        <v>5.0000000000000001E-3</v>
      </c>
      <c r="T28" s="1">
        <v>0</v>
      </c>
      <c r="U28" s="2">
        <v>9.09762612806188E-4</v>
      </c>
      <c r="V28" s="1">
        <v>1.20766238896608E-3</v>
      </c>
      <c r="W28" s="2">
        <v>6.1186283664628601E-4</v>
      </c>
      <c r="X28" s="1" t="s">
        <v>55</v>
      </c>
      <c r="Y28" s="1">
        <v>26.5194444444443</v>
      </c>
      <c r="Z28" s="1">
        <v>0</v>
      </c>
      <c r="AA28" s="1" t="s">
        <v>46</v>
      </c>
      <c r="AB28" s="1">
        <v>9</v>
      </c>
      <c r="AC28" s="1">
        <v>0</v>
      </c>
      <c r="AD28" s="1">
        <v>0</v>
      </c>
      <c r="AE28" s="1">
        <v>0</v>
      </c>
      <c r="AF28" s="1">
        <v>9</v>
      </c>
      <c r="AG28" s="1" t="s">
        <v>31</v>
      </c>
      <c r="AH28" s="1">
        <v>1993</v>
      </c>
      <c r="AI28" s="1">
        <v>1993</v>
      </c>
      <c r="AJ28" s="1">
        <v>2019.5194444444401</v>
      </c>
      <c r="AK28" s="1">
        <v>0.59431958810368402</v>
      </c>
      <c r="AL28" s="1">
        <v>0.413627733844882</v>
      </c>
      <c r="AM28" s="1">
        <v>0.138822827405715</v>
      </c>
      <c r="AN28" s="1">
        <v>943.75135985731799</v>
      </c>
      <c r="AO28" s="1">
        <v>259.754963013907</v>
      </c>
      <c r="AP28" s="1">
        <v>683.99639684341196</v>
      </c>
      <c r="AQ28" s="1">
        <v>0.18059922159706801</v>
      </c>
      <c r="AR28" s="1">
        <v>465.33438524518499</v>
      </c>
      <c r="AS28" s="1">
        <v>1751.8427429657199</v>
      </c>
      <c r="AT28" s="1">
        <v>5406.8132160123796</v>
      </c>
      <c r="AU28" s="1">
        <v>347.76991194175599</v>
      </c>
      <c r="AV28" s="1">
        <v>9.29082874792765E-2</v>
      </c>
      <c r="AW28" s="1">
        <v>610.61856295060602</v>
      </c>
      <c r="AX28" s="1">
        <v>15.989999999999901</v>
      </c>
      <c r="AY28" s="1">
        <v>75.260000000000005</v>
      </c>
      <c r="AZ28" s="1">
        <v>8.75</v>
      </c>
      <c r="BA28" s="1">
        <v>84.010000000000105</v>
      </c>
      <c r="BB28" s="1">
        <v>2502.2161585948602</v>
      </c>
      <c r="BC28" s="1">
        <v>0.185816574958552</v>
      </c>
      <c r="BD28" s="1">
        <v>0.15593862720573001</v>
      </c>
      <c r="BE28" s="1">
        <v>0.32237982773053397</v>
      </c>
      <c r="BF28" s="1">
        <v>0.23059508656810701</v>
      </c>
      <c r="BG28" s="1">
        <v>0.67292471591054204</v>
      </c>
      <c r="BH28" s="1">
        <v>5.1861053127169002E-2</v>
      </c>
      <c r="BI28" s="1">
        <v>3.4466178634137998</v>
      </c>
      <c r="BJ28" s="1">
        <v>8.9545252898724605</v>
      </c>
      <c r="BK28" s="1">
        <v>75.080368592446007</v>
      </c>
      <c r="BL28" s="1">
        <v>257.38838741191699</v>
      </c>
      <c r="BM28" s="1">
        <v>1925.69640124225</v>
      </c>
      <c r="BN28" s="1">
        <v>31.834045768519601</v>
      </c>
      <c r="BO28" s="1">
        <v>9.0458195713213493E-2</v>
      </c>
      <c r="BP28" s="1">
        <v>0.44266650938652902</v>
      </c>
      <c r="BQ28" s="1">
        <v>11.498467160680899</v>
      </c>
      <c r="BR28" s="1">
        <v>52.988597195256901</v>
      </c>
      <c r="BS28" s="1">
        <v>24.872106775164099</v>
      </c>
      <c r="BT28" s="1">
        <v>13.9556424455256</v>
      </c>
      <c r="BU28" s="1">
        <v>1.2716225818179001</v>
      </c>
      <c r="BV28" s="1">
        <v>0.27179772432126797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 t="s">
        <v>31</v>
      </c>
      <c r="CC28" s="1">
        <v>0</v>
      </c>
      <c r="CD28" s="1">
        <v>0</v>
      </c>
      <c r="CE28" s="1">
        <v>0</v>
      </c>
      <c r="CF28" s="1">
        <v>5.2366185697412998E-2</v>
      </c>
      <c r="CG28" s="1">
        <v>2.95893373184704E-2</v>
      </c>
      <c r="CH28" s="1">
        <v>2.4740546720106199E-2</v>
      </c>
      <c r="CI28" s="1">
        <v>195.48557730124799</v>
      </c>
      <c r="CJ28" s="1">
        <v>84.469236835007095</v>
      </c>
      <c r="CK28" s="1">
        <v>111.016340466244</v>
      </c>
      <c r="CL28" s="1">
        <v>9.1992407245965205E-2</v>
      </c>
      <c r="CM28" s="1">
        <v>80.734555081149495</v>
      </c>
      <c r="CN28" s="1">
        <v>133.06064171302799</v>
      </c>
      <c r="CO28" s="1">
        <v>149.681084286355</v>
      </c>
      <c r="CP28" s="1">
        <v>16.035473444585499</v>
      </c>
      <c r="CQ28" s="1">
        <v>1.48384997574793E-2</v>
      </c>
      <c r="CR28" s="1">
        <v>65.703011172274202</v>
      </c>
      <c r="CS28" s="1">
        <v>0</v>
      </c>
      <c r="CT28" s="1">
        <v>0</v>
      </c>
      <c r="CU28" s="1">
        <v>0</v>
      </c>
      <c r="CV28" s="1">
        <v>0</v>
      </c>
      <c r="CW28" s="1">
        <v>34.957078857850803</v>
      </c>
      <c r="CX28" s="1">
        <v>2.9676999514958498E-2</v>
      </c>
      <c r="CY28" s="1">
        <v>3.1272258743976697E-2</v>
      </c>
      <c r="CZ28" s="1">
        <v>2.2643508644453501E-2</v>
      </c>
      <c r="DA28" s="1">
        <v>2.2706379311009901E-2</v>
      </c>
      <c r="DB28" s="1">
        <v>6.9536229985433795E-2</v>
      </c>
      <c r="DC28" s="1">
        <v>1.6278690848393999E-2</v>
      </c>
      <c r="DD28" s="1">
        <v>8.5523325391383007E-2</v>
      </c>
      <c r="DE28" s="1">
        <v>0.19625600565019799</v>
      </c>
      <c r="DF28" s="1">
        <v>1.57476007414875</v>
      </c>
      <c r="DG28" s="1">
        <v>5.8431514959550501</v>
      </c>
      <c r="DH28" s="1">
        <v>32.640931321483102</v>
      </c>
      <c r="DI28" s="1">
        <v>0.54848016945216704</v>
      </c>
      <c r="DJ28" s="1">
        <v>1.64921013151422E-3</v>
      </c>
      <c r="DK28" s="1">
        <v>1.8848115788733799E-3</v>
      </c>
      <c r="DL28" s="1">
        <v>0.10578504986427199</v>
      </c>
      <c r="DM28" s="1">
        <v>1.33185498192145</v>
      </c>
      <c r="DN28" s="1">
        <v>0.21840254170196299</v>
      </c>
      <c r="DO28" s="1">
        <v>0.29026098314651</v>
      </c>
      <c r="DP28" s="1">
        <v>2.8978978025179299E-2</v>
      </c>
      <c r="DQ28" s="1">
        <v>3.3204404380022402E-2</v>
      </c>
    </row>
    <row r="29" spans="1:121" x14ac:dyDescent="0.25">
      <c r="A29" s="1" t="s">
        <v>53</v>
      </c>
      <c r="B29" s="1">
        <v>4</v>
      </c>
      <c r="C29" s="1" t="s">
        <v>34</v>
      </c>
      <c r="D29" s="1" t="s">
        <v>57</v>
      </c>
      <c r="E29" s="1">
        <v>12.1197916666666</v>
      </c>
      <c r="F29" s="1">
        <v>2.2963916666666601E-2</v>
      </c>
      <c r="G29" s="1">
        <v>7.2925000000000004</v>
      </c>
      <c r="H29" s="1">
        <v>17.899999999999999</v>
      </c>
      <c r="I29" s="1" t="s">
        <v>31</v>
      </c>
      <c r="J29" s="1" t="s">
        <v>31</v>
      </c>
      <c r="K29" s="1" t="s">
        <v>31</v>
      </c>
      <c r="L29" s="1">
        <v>1.04212584576388</v>
      </c>
      <c r="M29" s="1">
        <v>5.7500183945687301E-3</v>
      </c>
      <c r="N29" s="1">
        <v>0.56053748556833605</v>
      </c>
      <c r="O29" s="1">
        <v>0.12792042981336599</v>
      </c>
      <c r="P29" s="1" t="s">
        <v>31</v>
      </c>
      <c r="Q29" s="1" t="s">
        <v>31</v>
      </c>
      <c r="R29" s="1" t="s">
        <v>31</v>
      </c>
      <c r="S29" s="1">
        <v>5.0000000000000001E-3</v>
      </c>
      <c r="T29" s="1">
        <v>0</v>
      </c>
      <c r="U29" s="2">
        <v>2.96439363987967E-4</v>
      </c>
      <c r="V29" s="2">
        <v>3.9132578700104797E-4</v>
      </c>
      <c r="W29" s="2">
        <v>2.0155294097488601E-4</v>
      </c>
      <c r="X29" s="1" t="s">
        <v>55</v>
      </c>
      <c r="Y29" s="1">
        <v>26.5194444444443</v>
      </c>
      <c r="Z29" s="1">
        <v>0</v>
      </c>
      <c r="AA29" s="1" t="s">
        <v>46</v>
      </c>
      <c r="AB29" s="1">
        <v>9</v>
      </c>
      <c r="AC29" s="1">
        <v>0</v>
      </c>
      <c r="AD29" s="1">
        <v>0</v>
      </c>
      <c r="AE29" s="1">
        <v>0</v>
      </c>
      <c r="AF29" s="1">
        <v>9</v>
      </c>
      <c r="AG29" s="1" t="s">
        <v>31</v>
      </c>
      <c r="AH29" s="1">
        <v>1993</v>
      </c>
      <c r="AI29" s="1">
        <v>1993</v>
      </c>
      <c r="AJ29" s="1">
        <v>2019.5194444444401</v>
      </c>
      <c r="AK29" s="1">
        <v>0.59431958810368402</v>
      </c>
      <c r="AL29" s="1">
        <v>0.413627733844882</v>
      </c>
      <c r="AM29" s="1">
        <v>0.138822827405715</v>
      </c>
      <c r="AN29" s="1">
        <v>943.75135985731799</v>
      </c>
      <c r="AO29" s="1">
        <v>259.754963013907</v>
      </c>
      <c r="AP29" s="1">
        <v>683.99639684341196</v>
      </c>
      <c r="AQ29" s="1">
        <v>0.18059922159706801</v>
      </c>
      <c r="AR29" s="1">
        <v>465.33438524518499</v>
      </c>
      <c r="AS29" s="1">
        <v>1751.8427429657199</v>
      </c>
      <c r="AT29" s="1">
        <v>5406.8132160123796</v>
      </c>
      <c r="AU29" s="1">
        <v>347.76991194175599</v>
      </c>
      <c r="AV29" s="1">
        <v>9.29082874792765E-2</v>
      </c>
      <c r="AW29" s="1">
        <v>610.61856295060602</v>
      </c>
      <c r="AX29" s="1">
        <v>15.989999999999901</v>
      </c>
      <c r="AY29" s="1">
        <v>75.260000000000005</v>
      </c>
      <c r="AZ29" s="1">
        <v>8.75</v>
      </c>
      <c r="BA29" s="1">
        <v>84.010000000000105</v>
      </c>
      <c r="BB29" s="1">
        <v>2502.2161585948602</v>
      </c>
      <c r="BC29" s="1">
        <v>0.185816574958552</v>
      </c>
      <c r="BD29" s="1">
        <v>0.15593862720573001</v>
      </c>
      <c r="BE29" s="1">
        <v>0.32237982773053397</v>
      </c>
      <c r="BF29" s="1">
        <v>0.23059508656810701</v>
      </c>
      <c r="BG29" s="1">
        <v>0.67292471591054204</v>
      </c>
      <c r="BH29" s="1">
        <v>5.1861053127169002E-2</v>
      </c>
      <c r="BI29" s="1">
        <v>3.4466178634137998</v>
      </c>
      <c r="BJ29" s="1">
        <v>8.9545252898724605</v>
      </c>
      <c r="BK29" s="1">
        <v>75.080368592446007</v>
      </c>
      <c r="BL29" s="1">
        <v>257.38838741191699</v>
      </c>
      <c r="BM29" s="1">
        <v>1925.69640124225</v>
      </c>
      <c r="BN29" s="1">
        <v>31.834045768519601</v>
      </c>
      <c r="BO29" s="1">
        <v>9.0458195713213493E-2</v>
      </c>
      <c r="BP29" s="1">
        <v>0.44266650938652902</v>
      </c>
      <c r="BQ29" s="1">
        <v>11.498467160680899</v>
      </c>
      <c r="BR29" s="1">
        <v>52.988597195256901</v>
      </c>
      <c r="BS29" s="1">
        <v>24.872106775164099</v>
      </c>
      <c r="BT29" s="1">
        <v>13.9556424455256</v>
      </c>
      <c r="BU29" s="1">
        <v>1.2716225818179001</v>
      </c>
      <c r="BV29" s="1">
        <v>0.27179772432126797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 t="s">
        <v>31</v>
      </c>
      <c r="CC29" s="1">
        <v>0</v>
      </c>
      <c r="CD29" s="1">
        <v>0</v>
      </c>
      <c r="CE29" s="1">
        <v>0</v>
      </c>
      <c r="CF29" s="1">
        <v>5.2366185697412998E-2</v>
      </c>
      <c r="CG29" s="1">
        <v>2.95893373184704E-2</v>
      </c>
      <c r="CH29" s="1">
        <v>2.4740546720106199E-2</v>
      </c>
      <c r="CI29" s="1">
        <v>195.48557730124799</v>
      </c>
      <c r="CJ29" s="1">
        <v>84.469236835007095</v>
      </c>
      <c r="CK29" s="1">
        <v>111.016340466244</v>
      </c>
      <c r="CL29" s="1">
        <v>9.1992407245965205E-2</v>
      </c>
      <c r="CM29" s="1">
        <v>80.734555081149495</v>
      </c>
      <c r="CN29" s="1">
        <v>133.06064171302799</v>
      </c>
      <c r="CO29" s="1">
        <v>149.681084286355</v>
      </c>
      <c r="CP29" s="1">
        <v>16.035473444585499</v>
      </c>
      <c r="CQ29" s="1">
        <v>1.48384997574793E-2</v>
      </c>
      <c r="CR29" s="1">
        <v>65.703011172274202</v>
      </c>
      <c r="CS29" s="1">
        <v>0</v>
      </c>
      <c r="CT29" s="1">
        <v>0</v>
      </c>
      <c r="CU29" s="1">
        <v>0</v>
      </c>
      <c r="CV29" s="1">
        <v>0</v>
      </c>
      <c r="CW29" s="1">
        <v>34.957078857850803</v>
      </c>
      <c r="CX29" s="1">
        <v>2.9676999514958498E-2</v>
      </c>
      <c r="CY29" s="1">
        <v>3.1272258743976697E-2</v>
      </c>
      <c r="CZ29" s="1">
        <v>2.2643508644453501E-2</v>
      </c>
      <c r="DA29" s="1">
        <v>2.2706379311009901E-2</v>
      </c>
      <c r="DB29" s="1">
        <v>6.9536229985433795E-2</v>
      </c>
      <c r="DC29" s="1">
        <v>1.6278690848393999E-2</v>
      </c>
      <c r="DD29" s="1">
        <v>8.5523325391383007E-2</v>
      </c>
      <c r="DE29" s="1">
        <v>0.19625600565019799</v>
      </c>
      <c r="DF29" s="1">
        <v>1.57476007414875</v>
      </c>
      <c r="DG29" s="1">
        <v>5.8431514959550501</v>
      </c>
      <c r="DH29" s="1">
        <v>32.640931321483102</v>
      </c>
      <c r="DI29" s="1">
        <v>0.54848016945216704</v>
      </c>
      <c r="DJ29" s="1">
        <v>1.64921013151422E-3</v>
      </c>
      <c r="DK29" s="1">
        <v>1.8848115788733799E-3</v>
      </c>
      <c r="DL29" s="1">
        <v>0.10578504986427199</v>
      </c>
      <c r="DM29" s="1">
        <v>1.33185498192145</v>
      </c>
      <c r="DN29" s="1">
        <v>0.21840254170196299</v>
      </c>
      <c r="DO29" s="1">
        <v>0.29026098314651</v>
      </c>
      <c r="DP29" s="1">
        <v>2.8978978025179299E-2</v>
      </c>
      <c r="DQ29" s="1">
        <v>3.3204404380022402E-2</v>
      </c>
    </row>
    <row r="30" spans="1:121" x14ac:dyDescent="0.25">
      <c r="A30" s="1" t="s">
        <v>53</v>
      </c>
      <c r="B30" s="1" t="s">
        <v>58</v>
      </c>
      <c r="C30" s="1" t="s">
        <v>29</v>
      </c>
      <c r="D30" s="1" t="s">
        <v>59</v>
      </c>
      <c r="E30" s="1">
        <v>11.2552083333333</v>
      </c>
      <c r="F30" s="1">
        <v>0.42969616666666599</v>
      </c>
      <c r="G30" s="1">
        <v>1.24</v>
      </c>
      <c r="H30" s="1">
        <v>19.05</v>
      </c>
      <c r="I30" s="1">
        <v>7.7566666666666597</v>
      </c>
      <c r="J30" s="1" t="s">
        <v>31</v>
      </c>
      <c r="K30" s="1" t="s">
        <v>31</v>
      </c>
      <c r="L30" s="1">
        <v>0.57624977404189304</v>
      </c>
      <c r="M30" s="1">
        <v>0.275736950199581</v>
      </c>
      <c r="N30" s="1">
        <v>0.89603571357396194</v>
      </c>
      <c r="O30" s="1">
        <v>5.47722557505173E-2</v>
      </c>
      <c r="P30" s="1">
        <v>5.7735026918962297E-2</v>
      </c>
      <c r="Q30" s="1" t="s">
        <v>31</v>
      </c>
      <c r="R30" s="1" t="s">
        <v>31</v>
      </c>
      <c r="S30" s="1">
        <v>5.0000000000000001E-3</v>
      </c>
      <c r="T30" s="1">
        <v>0</v>
      </c>
      <c r="U30" s="1">
        <v>7.5466602498843096E-3</v>
      </c>
      <c r="V30" s="1">
        <v>1.2446382085915701E-2</v>
      </c>
      <c r="W30" s="1">
        <v>2.6469384138528701E-3</v>
      </c>
      <c r="X30" s="1" t="s">
        <v>32</v>
      </c>
      <c r="Y30" s="1">
        <v>1.5250000000000901</v>
      </c>
      <c r="Z30" s="1">
        <v>0.77777777777777701</v>
      </c>
      <c r="AA30" s="1" t="s">
        <v>33</v>
      </c>
      <c r="AB30" s="1">
        <v>2</v>
      </c>
      <c r="AC30" s="1">
        <v>7</v>
      </c>
      <c r="AD30" s="1">
        <v>0</v>
      </c>
      <c r="AE30" s="1">
        <v>0</v>
      </c>
      <c r="AF30" s="1">
        <v>9</v>
      </c>
      <c r="AG30" s="1">
        <v>2020</v>
      </c>
      <c r="AH30" s="1">
        <v>2003</v>
      </c>
      <c r="AI30" s="1">
        <v>2020</v>
      </c>
      <c r="AJ30" s="1">
        <v>2021.5250000000001</v>
      </c>
      <c r="AK30" s="1">
        <v>0.89328194559999996</v>
      </c>
      <c r="AL30" s="1">
        <v>0.32516383160930601</v>
      </c>
      <c r="AM30" s="1">
        <v>1.9349446529643399</v>
      </c>
      <c r="AN30" s="1">
        <v>862.75380592789895</v>
      </c>
      <c r="AO30" s="1">
        <v>461.127522810431</v>
      </c>
      <c r="AP30" s="1">
        <v>401.62628311747</v>
      </c>
      <c r="AQ30" s="1">
        <v>7.1362740775622199E-2</v>
      </c>
      <c r="AR30" s="1">
        <v>343.24721965868002</v>
      </c>
      <c r="AS30" s="1">
        <v>1048.6418898346301</v>
      </c>
      <c r="AT30" s="1">
        <v>2783.3674996530199</v>
      </c>
      <c r="AU30" s="1">
        <v>65.206931417916195</v>
      </c>
      <c r="AV30" s="1">
        <v>0.124212205514316</v>
      </c>
      <c r="AW30" s="1">
        <v>246.882408226199</v>
      </c>
      <c r="AX30" s="1">
        <v>30.066666666666599</v>
      </c>
      <c r="AY30" s="1">
        <v>62.433333333333302</v>
      </c>
      <c r="AZ30" s="1">
        <v>7.5</v>
      </c>
      <c r="BA30" s="1">
        <v>69.933333333333294</v>
      </c>
      <c r="BB30" s="1">
        <v>1372.3944834532001</v>
      </c>
      <c r="BC30" s="1">
        <v>0.248424411028631</v>
      </c>
      <c r="BD30" s="1">
        <v>0.22238999248574701</v>
      </c>
      <c r="BE30" s="1">
        <v>0.48022110608883001</v>
      </c>
      <c r="BF30" s="1">
        <v>0.28190110452329997</v>
      </c>
      <c r="BG30" s="1">
        <v>0.78257678795149199</v>
      </c>
      <c r="BH30" s="1">
        <v>0.16727018896228099</v>
      </c>
      <c r="BI30" s="1">
        <v>3.8613185094476701</v>
      </c>
      <c r="BJ30" s="1">
        <v>6.6742942120209099</v>
      </c>
      <c r="BK30" s="1">
        <v>44.958209975673498</v>
      </c>
      <c r="BL30" s="1">
        <v>104.02148721726201</v>
      </c>
      <c r="BM30" s="1">
        <v>1212.2644015015601</v>
      </c>
      <c r="BN30" s="1">
        <v>24.970849149968501</v>
      </c>
      <c r="BO30" s="1">
        <v>0.15146867894920399</v>
      </c>
      <c r="BP30" s="1">
        <v>0.65092398122606099</v>
      </c>
      <c r="BQ30" s="1">
        <v>24.752699985908301</v>
      </c>
      <c r="BR30" s="1">
        <v>5.4276086378133899</v>
      </c>
      <c r="BS30" s="1">
        <v>19.446783227591101</v>
      </c>
      <c r="BT30" s="1">
        <v>8.63337876099982</v>
      </c>
      <c r="BU30" s="1">
        <v>2.1055717108656</v>
      </c>
      <c r="BV30" s="1">
        <v>0.53334798562680097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5.0491775652686602E-2</v>
      </c>
      <c r="CG30" s="1">
        <v>2.1821789033451399E-2</v>
      </c>
      <c r="CH30" s="1">
        <v>0.10831717274128901</v>
      </c>
      <c r="CI30" s="1">
        <v>55.484117717976403</v>
      </c>
      <c r="CJ30" s="1">
        <v>67.772542690092706</v>
      </c>
      <c r="CK30" s="1">
        <v>42.357458881857497</v>
      </c>
      <c r="CL30" s="1">
        <v>5.1506192285910796E-3</v>
      </c>
      <c r="CM30" s="1">
        <v>17.7642896917888</v>
      </c>
      <c r="CN30" s="1">
        <v>32.204105857101702</v>
      </c>
      <c r="CO30" s="1">
        <v>52.474808597452402</v>
      </c>
      <c r="CP30" s="1">
        <v>17.345159859742601</v>
      </c>
      <c r="CQ30" s="1">
        <v>6.66940694295698E-3</v>
      </c>
      <c r="CR30" s="1">
        <v>20.450008178427801</v>
      </c>
      <c r="CS30" s="1">
        <v>4.5390894828515203</v>
      </c>
      <c r="CT30" s="1">
        <v>4.5390894828515203</v>
      </c>
      <c r="CU30" s="1">
        <v>0</v>
      </c>
      <c r="CV30" s="1">
        <v>4.5390894828515203</v>
      </c>
      <c r="CW30" s="1">
        <v>13.206742511236801</v>
      </c>
      <c r="CX30" s="1">
        <v>1.33388138859137E-2</v>
      </c>
      <c r="CY30" s="1">
        <v>1.28704577728812E-2</v>
      </c>
      <c r="CZ30" s="1">
        <v>2.06623586245843E-2</v>
      </c>
      <c r="DA30" s="1">
        <v>1.4104816199425401E-2</v>
      </c>
      <c r="DB30" s="1">
        <v>3.48163582430231E-2</v>
      </c>
      <c r="DC30" s="1">
        <v>2.58519602566392E-2</v>
      </c>
      <c r="DD30" s="1">
        <v>0.400009211049216</v>
      </c>
      <c r="DE30" s="1">
        <v>0.53783998559461599</v>
      </c>
      <c r="DF30" s="1">
        <v>6.4935732532379502</v>
      </c>
      <c r="DG30" s="1">
        <v>3.6646396603629201</v>
      </c>
      <c r="DH30" s="1">
        <v>178.19652873560301</v>
      </c>
      <c r="DI30" s="1">
        <v>3.5398617183674999</v>
      </c>
      <c r="DJ30" s="1">
        <v>1.9101725448385901E-2</v>
      </c>
      <c r="DK30" s="1">
        <v>0.10698617310056401</v>
      </c>
      <c r="DL30" s="1">
        <v>4.08225614782768</v>
      </c>
      <c r="DM30" s="1">
        <v>0.168596434061106</v>
      </c>
      <c r="DN30" s="1">
        <v>4.3606072722193101</v>
      </c>
      <c r="DO30" s="1">
        <v>1.2417919495682701</v>
      </c>
      <c r="DP30" s="1">
        <v>0.16284849337205301</v>
      </c>
      <c r="DQ30" s="1">
        <v>5.4031690884456599E-2</v>
      </c>
    </row>
    <row r="31" spans="1:121" x14ac:dyDescent="0.25">
      <c r="A31" s="1" t="s">
        <v>53</v>
      </c>
      <c r="B31" s="1" t="s">
        <v>58</v>
      </c>
      <c r="C31" s="1" t="s">
        <v>34</v>
      </c>
      <c r="D31" s="1" t="s">
        <v>59</v>
      </c>
      <c r="E31" s="1">
        <v>11.2552083333333</v>
      </c>
      <c r="F31" s="1">
        <v>0.32922950000000001</v>
      </c>
      <c r="G31" s="1">
        <v>5.3783333333333303</v>
      </c>
      <c r="H31" s="1">
        <v>19.05</v>
      </c>
      <c r="I31" s="1">
        <v>7.39333333333333</v>
      </c>
      <c r="J31" s="1" t="s">
        <v>31</v>
      </c>
      <c r="K31" s="1" t="s">
        <v>31</v>
      </c>
      <c r="L31" s="1">
        <v>0.57624977404189304</v>
      </c>
      <c r="M31" s="1">
        <v>0.29898559301996402</v>
      </c>
      <c r="N31" s="1">
        <v>1.8592623985512799</v>
      </c>
      <c r="O31" s="1">
        <v>5.47722557505173E-2</v>
      </c>
      <c r="P31" s="1">
        <v>0.345880518869353</v>
      </c>
      <c r="Q31" s="1" t="s">
        <v>31</v>
      </c>
      <c r="R31" s="1" t="s">
        <v>31</v>
      </c>
      <c r="S31" s="1">
        <v>5.0000000000000001E-3</v>
      </c>
      <c r="T31" s="1">
        <v>0</v>
      </c>
      <c r="U31" s="1">
        <v>5.7614126793151298E-3</v>
      </c>
      <c r="V31" s="1">
        <v>1.10742524627332E-2</v>
      </c>
      <c r="W31" s="2">
        <v>4.4857289589697E-4</v>
      </c>
      <c r="X31" s="1" t="s">
        <v>32</v>
      </c>
      <c r="Y31" s="1">
        <v>1.5250000000000901</v>
      </c>
      <c r="Z31" s="1">
        <v>0.77777777777777701</v>
      </c>
      <c r="AA31" s="1" t="s">
        <v>33</v>
      </c>
      <c r="AB31" s="1">
        <v>2</v>
      </c>
      <c r="AC31" s="1">
        <v>7</v>
      </c>
      <c r="AD31" s="1">
        <v>0</v>
      </c>
      <c r="AE31" s="1">
        <v>0</v>
      </c>
      <c r="AF31" s="1">
        <v>9</v>
      </c>
      <c r="AG31" s="1">
        <v>2020</v>
      </c>
      <c r="AH31" s="1">
        <v>2003</v>
      </c>
      <c r="AI31" s="1">
        <v>2020</v>
      </c>
      <c r="AJ31" s="1">
        <v>2021.5250000000001</v>
      </c>
      <c r="AK31" s="1">
        <v>0.89328194559999996</v>
      </c>
      <c r="AL31" s="1">
        <v>0.32516383160930601</v>
      </c>
      <c r="AM31" s="1">
        <v>1.9349446529643399</v>
      </c>
      <c r="AN31" s="1">
        <v>862.75380592789895</v>
      </c>
      <c r="AO31" s="1">
        <v>461.127522810431</v>
      </c>
      <c r="AP31" s="1">
        <v>401.62628311747</v>
      </c>
      <c r="AQ31" s="1">
        <v>7.1362740775622199E-2</v>
      </c>
      <c r="AR31" s="1">
        <v>343.24721965868002</v>
      </c>
      <c r="AS31" s="1">
        <v>1048.6418898346301</v>
      </c>
      <c r="AT31" s="1">
        <v>2783.3674996530199</v>
      </c>
      <c r="AU31" s="1">
        <v>65.206931417916195</v>
      </c>
      <c r="AV31" s="1">
        <v>0.124212205514316</v>
      </c>
      <c r="AW31" s="1">
        <v>246.882408226199</v>
      </c>
      <c r="AX31" s="1">
        <v>30.066666666666599</v>
      </c>
      <c r="AY31" s="1">
        <v>62.433333333333302</v>
      </c>
      <c r="AZ31" s="1">
        <v>7.5</v>
      </c>
      <c r="BA31" s="1">
        <v>69.933333333333294</v>
      </c>
      <c r="BB31" s="1">
        <v>1372.3944834532001</v>
      </c>
      <c r="BC31" s="1">
        <v>0.248424411028631</v>
      </c>
      <c r="BD31" s="1">
        <v>0.22238999248574701</v>
      </c>
      <c r="BE31" s="1">
        <v>0.48022110608883001</v>
      </c>
      <c r="BF31" s="1">
        <v>0.28190110452329997</v>
      </c>
      <c r="BG31" s="1">
        <v>0.78257678795149199</v>
      </c>
      <c r="BH31" s="1">
        <v>0.16727018896228099</v>
      </c>
      <c r="BI31" s="1">
        <v>3.8613185094476701</v>
      </c>
      <c r="BJ31" s="1">
        <v>6.6742942120209099</v>
      </c>
      <c r="BK31" s="1">
        <v>44.958209975673498</v>
      </c>
      <c r="BL31" s="1">
        <v>104.02148721726201</v>
      </c>
      <c r="BM31" s="1">
        <v>1212.2644015015601</v>
      </c>
      <c r="BN31" s="1">
        <v>24.970849149968501</v>
      </c>
      <c r="BO31" s="1">
        <v>0.15146867894920399</v>
      </c>
      <c r="BP31" s="1">
        <v>0.65092398122606099</v>
      </c>
      <c r="BQ31" s="1">
        <v>24.752699985908301</v>
      </c>
      <c r="BR31" s="1">
        <v>5.4276086378133899</v>
      </c>
      <c r="BS31" s="1">
        <v>19.446783227591101</v>
      </c>
      <c r="BT31" s="1">
        <v>8.63337876099982</v>
      </c>
      <c r="BU31" s="1">
        <v>2.1055717108656</v>
      </c>
      <c r="BV31" s="1">
        <v>0.53334798562680097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5.0491775652686602E-2</v>
      </c>
      <c r="CG31" s="1">
        <v>2.1821789033451399E-2</v>
      </c>
      <c r="CH31" s="1">
        <v>0.10831717274128901</v>
      </c>
      <c r="CI31" s="1">
        <v>55.484117717976403</v>
      </c>
      <c r="CJ31" s="1">
        <v>67.772542690092706</v>
      </c>
      <c r="CK31" s="1">
        <v>42.357458881857497</v>
      </c>
      <c r="CL31" s="1">
        <v>5.1506192285910796E-3</v>
      </c>
      <c r="CM31" s="1">
        <v>17.7642896917888</v>
      </c>
      <c r="CN31" s="1">
        <v>32.204105857101702</v>
      </c>
      <c r="CO31" s="1">
        <v>52.474808597452402</v>
      </c>
      <c r="CP31" s="1">
        <v>17.345159859742601</v>
      </c>
      <c r="CQ31" s="1">
        <v>6.66940694295698E-3</v>
      </c>
      <c r="CR31" s="1">
        <v>20.450008178427801</v>
      </c>
      <c r="CS31" s="1">
        <v>4.5390894828515203</v>
      </c>
      <c r="CT31" s="1">
        <v>4.5390894828515203</v>
      </c>
      <c r="CU31" s="1">
        <v>0</v>
      </c>
      <c r="CV31" s="1">
        <v>4.5390894828515203</v>
      </c>
      <c r="CW31" s="1">
        <v>13.206742511236801</v>
      </c>
      <c r="CX31" s="1">
        <v>1.33388138859137E-2</v>
      </c>
      <c r="CY31" s="1">
        <v>1.28704577728812E-2</v>
      </c>
      <c r="CZ31" s="1">
        <v>2.06623586245843E-2</v>
      </c>
      <c r="DA31" s="1">
        <v>1.4104816199425401E-2</v>
      </c>
      <c r="DB31" s="1">
        <v>3.48163582430231E-2</v>
      </c>
      <c r="DC31" s="1">
        <v>2.58519602566392E-2</v>
      </c>
      <c r="DD31" s="1">
        <v>0.400009211049216</v>
      </c>
      <c r="DE31" s="1">
        <v>0.53783998559461599</v>
      </c>
      <c r="DF31" s="1">
        <v>6.4935732532379502</v>
      </c>
      <c r="DG31" s="1">
        <v>3.6646396603629201</v>
      </c>
      <c r="DH31" s="1">
        <v>178.19652873560301</v>
      </c>
      <c r="DI31" s="1">
        <v>3.5398617183674999</v>
      </c>
      <c r="DJ31" s="1">
        <v>1.9101725448385901E-2</v>
      </c>
      <c r="DK31" s="1">
        <v>0.10698617310056401</v>
      </c>
      <c r="DL31" s="1">
        <v>4.08225614782768</v>
      </c>
      <c r="DM31" s="1">
        <v>0.168596434061106</v>
      </c>
      <c r="DN31" s="1">
        <v>4.3606072722193101</v>
      </c>
      <c r="DO31" s="1">
        <v>1.2417919495682701</v>
      </c>
      <c r="DP31" s="1">
        <v>0.16284849337205301</v>
      </c>
      <c r="DQ31" s="1">
        <v>5.4031690884456599E-2</v>
      </c>
    </row>
    <row r="32" spans="1:121" x14ac:dyDescent="0.25">
      <c r="A32" s="1" t="s">
        <v>53</v>
      </c>
      <c r="B32" s="1" t="s">
        <v>60</v>
      </c>
      <c r="C32" s="1" t="s">
        <v>29</v>
      </c>
      <c r="D32" s="1" t="s">
        <v>61</v>
      </c>
      <c r="E32" s="1">
        <v>11.2552083333333</v>
      </c>
      <c r="F32" s="1">
        <v>0.71520966666666597</v>
      </c>
      <c r="G32" s="1">
        <v>0.41166666666666601</v>
      </c>
      <c r="H32" s="1">
        <v>19.05</v>
      </c>
      <c r="I32" s="1">
        <v>7.4833333333333298</v>
      </c>
      <c r="J32" s="1" t="s">
        <v>31</v>
      </c>
      <c r="K32" s="1" t="s">
        <v>31</v>
      </c>
      <c r="L32" s="1">
        <v>0.57624977404189304</v>
      </c>
      <c r="M32" s="1">
        <v>0.24447438187071099</v>
      </c>
      <c r="N32" s="1">
        <v>0.129833226358535</v>
      </c>
      <c r="O32" s="1">
        <v>5.47722557505173E-2</v>
      </c>
      <c r="P32" s="1">
        <v>6.6583281184793494E-2</v>
      </c>
      <c r="Q32" s="1" t="s">
        <v>31</v>
      </c>
      <c r="R32" s="1" t="s">
        <v>31</v>
      </c>
      <c r="S32" s="1">
        <v>5.0000000000000001E-3</v>
      </c>
      <c r="T32" s="1">
        <v>0</v>
      </c>
      <c r="U32" s="1">
        <v>1.2620106987505699E-2</v>
      </c>
      <c r="V32" s="1">
        <v>1.6964307017045498E-2</v>
      </c>
      <c r="W32" s="1">
        <v>8.2759069579660602E-3</v>
      </c>
      <c r="X32" s="1" t="s">
        <v>32</v>
      </c>
      <c r="Y32" s="1">
        <v>5.5250000000000901</v>
      </c>
      <c r="Z32" s="1">
        <v>0.55555555555555503</v>
      </c>
      <c r="AA32" s="1" t="s">
        <v>39</v>
      </c>
      <c r="AB32" s="1">
        <v>4</v>
      </c>
      <c r="AC32" s="1">
        <v>5</v>
      </c>
      <c r="AD32" s="1">
        <v>0</v>
      </c>
      <c r="AE32" s="1">
        <v>0</v>
      </c>
      <c r="AF32" s="1">
        <v>9</v>
      </c>
      <c r="AG32" s="1">
        <v>2016</v>
      </c>
      <c r="AH32" s="1">
        <v>2003</v>
      </c>
      <c r="AI32" s="1">
        <v>2016</v>
      </c>
      <c r="AJ32" s="1">
        <v>2021.5250000000001</v>
      </c>
      <c r="AK32" s="1">
        <v>0.92230202558333296</v>
      </c>
      <c r="AL32" s="1">
        <v>0.298136534599105</v>
      </c>
      <c r="AM32" s="1">
        <v>2.5412732072770701</v>
      </c>
      <c r="AN32" s="1">
        <v>1023.29111747548</v>
      </c>
      <c r="AO32" s="1">
        <v>706.84274174270899</v>
      </c>
      <c r="AP32" s="1">
        <v>316.44837573277601</v>
      </c>
      <c r="AQ32" s="1">
        <v>5.2967151213186701E-2</v>
      </c>
      <c r="AR32" s="1">
        <v>548.03490252379402</v>
      </c>
      <c r="AS32" s="1">
        <v>1021.31996501504</v>
      </c>
      <c r="AT32" s="1">
        <v>3121.1058182710899</v>
      </c>
      <c r="AU32" s="1">
        <v>88.965879661242397</v>
      </c>
      <c r="AV32" s="1">
        <v>0.19028631707386701</v>
      </c>
      <c r="AW32" s="1">
        <v>75.547148580167402</v>
      </c>
      <c r="AX32" s="1">
        <v>27.066666666666599</v>
      </c>
      <c r="AY32" s="1">
        <v>65.433333333333294</v>
      </c>
      <c r="AZ32" s="1">
        <v>7.5</v>
      </c>
      <c r="BA32" s="1">
        <v>72.933333333333294</v>
      </c>
      <c r="BB32" s="1">
        <v>1450.1908165208299</v>
      </c>
      <c r="BC32" s="1">
        <v>0.38057263414773401</v>
      </c>
      <c r="BD32" s="1">
        <v>0.32394458305540502</v>
      </c>
      <c r="BE32" s="1">
        <v>0.43795742763722301</v>
      </c>
      <c r="BF32" s="1">
        <v>0.46668266449401302</v>
      </c>
      <c r="BG32" s="1">
        <v>0.69057550157206105</v>
      </c>
      <c r="BH32" s="1">
        <v>0.245339904774284</v>
      </c>
      <c r="BI32" s="1">
        <v>8.2403694855644893</v>
      </c>
      <c r="BJ32" s="1">
        <v>11.564061203016699</v>
      </c>
      <c r="BK32" s="1">
        <v>91.069035014278896</v>
      </c>
      <c r="BL32" s="1">
        <v>111.437967941656</v>
      </c>
      <c r="BM32" s="1">
        <v>600.32821025290195</v>
      </c>
      <c r="BN32" s="1">
        <v>41.967549225129702</v>
      </c>
      <c r="BO32" s="1">
        <v>0.108996751660212</v>
      </c>
      <c r="BP32" s="1">
        <v>1.5964167178587301</v>
      </c>
      <c r="BQ32" s="1">
        <v>76.769496266439702</v>
      </c>
      <c r="BR32" s="1">
        <v>7.0666161502264702</v>
      </c>
      <c r="BS32" s="1">
        <v>13.372025800745901</v>
      </c>
      <c r="BT32" s="1">
        <v>7.4634385681538999</v>
      </c>
      <c r="BU32" s="1">
        <v>2.7998181706704299</v>
      </c>
      <c r="BV32" s="1">
        <v>0.69047620369140605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2.2565381213596299E-2</v>
      </c>
      <c r="CG32" s="1">
        <v>9.9503486919185497E-3</v>
      </c>
      <c r="CH32" s="1">
        <v>0.45941524568339398</v>
      </c>
      <c r="CI32" s="1">
        <v>21.266061921319299</v>
      </c>
      <c r="CJ32" s="1">
        <v>40.859576893893902</v>
      </c>
      <c r="CK32" s="1">
        <v>24.811084894678</v>
      </c>
      <c r="CL32" s="1">
        <v>3.9581906959328204E-3</v>
      </c>
      <c r="CM32" s="1">
        <v>18.0382553166178</v>
      </c>
      <c r="CN32" s="1">
        <v>13.2855252088012</v>
      </c>
      <c r="CO32" s="1">
        <v>274.50547988331101</v>
      </c>
      <c r="CP32" s="1">
        <v>33.107100465640002</v>
      </c>
      <c r="CQ32" s="1">
        <v>9.4505813832901908E-3</v>
      </c>
      <c r="CR32" s="1">
        <v>31.7056316491526</v>
      </c>
      <c r="CS32" s="1">
        <v>2.0502032419575702</v>
      </c>
      <c r="CT32" s="1">
        <v>2.05020324195756</v>
      </c>
      <c r="CU32" s="1">
        <v>0</v>
      </c>
      <c r="CV32" s="1">
        <v>2.05020324195756</v>
      </c>
      <c r="CW32" s="1">
        <v>79.301289004118104</v>
      </c>
      <c r="CX32" s="1">
        <v>1.89011627665805E-2</v>
      </c>
      <c r="CY32" s="1">
        <v>2.52277326572517E-2</v>
      </c>
      <c r="CZ32" s="1">
        <v>1.06993439075714E-2</v>
      </c>
      <c r="DA32" s="1">
        <v>9.6811417530287894E-3</v>
      </c>
      <c r="DB32" s="1">
        <v>5.2634537089806401E-2</v>
      </c>
      <c r="DC32" s="1">
        <v>2.6221049838131699E-2</v>
      </c>
      <c r="DD32" s="1">
        <v>2.74129782071895</v>
      </c>
      <c r="DE32" s="1">
        <v>2.7806363672723702</v>
      </c>
      <c r="DF32" s="1">
        <v>4.4809623515590298</v>
      </c>
      <c r="DG32" s="1">
        <v>11.890197116340399</v>
      </c>
      <c r="DH32" s="1">
        <v>13.9230858005941</v>
      </c>
      <c r="DI32" s="1">
        <v>2.8868593834310801</v>
      </c>
      <c r="DJ32" s="1">
        <v>7.2879320275442703E-3</v>
      </c>
      <c r="DK32" s="1">
        <v>0.47341775851586998</v>
      </c>
      <c r="DL32" s="1">
        <v>14.032454217771701</v>
      </c>
      <c r="DM32" s="1">
        <v>1.2556230590981801</v>
      </c>
      <c r="DN32" s="1">
        <v>0.83517156066674503</v>
      </c>
      <c r="DO32" s="1">
        <v>0.97142846198155797</v>
      </c>
      <c r="DP32" s="1">
        <v>0.827202781952456</v>
      </c>
      <c r="DQ32" s="1">
        <v>2.8080674043036699E-2</v>
      </c>
    </row>
    <row r="33" spans="1:121" x14ac:dyDescent="0.25">
      <c r="A33" s="1" t="s">
        <v>53</v>
      </c>
      <c r="B33" s="1" t="s">
        <v>60</v>
      </c>
      <c r="C33" s="1" t="s">
        <v>34</v>
      </c>
      <c r="D33" s="1" t="s">
        <v>61</v>
      </c>
      <c r="E33" s="1">
        <v>11.2552083333333</v>
      </c>
      <c r="F33" s="1">
        <v>0.33264783333333298</v>
      </c>
      <c r="G33" s="1">
        <v>6.94</v>
      </c>
      <c r="H33" s="1">
        <v>19.05</v>
      </c>
      <c r="I33" s="1">
        <v>7.34</v>
      </c>
      <c r="J33" s="1" t="s">
        <v>31</v>
      </c>
      <c r="K33" s="1" t="s">
        <v>31</v>
      </c>
      <c r="L33" s="1">
        <v>0.57624977404189304</v>
      </c>
      <c r="M33" s="1">
        <v>0.23829296967591501</v>
      </c>
      <c r="N33" s="1">
        <v>0.75583066886704098</v>
      </c>
      <c r="O33" s="1">
        <v>5.47722557505173E-2</v>
      </c>
      <c r="P33" s="1">
        <v>0.13076696830622001</v>
      </c>
      <c r="Q33" s="1" t="s">
        <v>31</v>
      </c>
      <c r="R33" s="1" t="s">
        <v>31</v>
      </c>
      <c r="S33" s="1">
        <v>5.0000000000000001E-3</v>
      </c>
      <c r="T33" s="1">
        <v>0</v>
      </c>
      <c r="U33" s="1">
        <v>5.8221549282739399E-3</v>
      </c>
      <c r="V33" s="1">
        <v>1.00565140377395E-2</v>
      </c>
      <c r="W33" s="1">
        <v>1.58779581880835E-3</v>
      </c>
      <c r="X33" s="1" t="s">
        <v>32</v>
      </c>
      <c r="Y33" s="1">
        <v>5.5250000000000901</v>
      </c>
      <c r="Z33" s="1">
        <v>0.55555555555555503</v>
      </c>
      <c r="AA33" s="1" t="s">
        <v>39</v>
      </c>
      <c r="AB33" s="1">
        <v>4</v>
      </c>
      <c r="AC33" s="1">
        <v>5</v>
      </c>
      <c r="AD33" s="1">
        <v>0</v>
      </c>
      <c r="AE33" s="1">
        <v>0</v>
      </c>
      <c r="AF33" s="1">
        <v>9</v>
      </c>
      <c r="AG33" s="1">
        <v>2016</v>
      </c>
      <c r="AH33" s="1">
        <v>2003</v>
      </c>
      <c r="AI33" s="1">
        <v>2016</v>
      </c>
      <c r="AJ33" s="1">
        <v>2021.5250000000001</v>
      </c>
      <c r="AK33" s="1">
        <v>0.92230202558333296</v>
      </c>
      <c r="AL33" s="1">
        <v>0.298136534599105</v>
      </c>
      <c r="AM33" s="1">
        <v>2.5412732072770701</v>
      </c>
      <c r="AN33" s="1">
        <v>1023.29111747548</v>
      </c>
      <c r="AO33" s="1">
        <v>706.84274174270899</v>
      </c>
      <c r="AP33" s="1">
        <v>316.44837573277601</v>
      </c>
      <c r="AQ33" s="1">
        <v>5.2967151213186701E-2</v>
      </c>
      <c r="AR33" s="1">
        <v>548.03490252379402</v>
      </c>
      <c r="AS33" s="1">
        <v>1021.31996501504</v>
      </c>
      <c r="AT33" s="1">
        <v>3121.1058182710899</v>
      </c>
      <c r="AU33" s="1">
        <v>88.965879661242397</v>
      </c>
      <c r="AV33" s="1">
        <v>0.19028631707386701</v>
      </c>
      <c r="AW33" s="1">
        <v>75.547148580167402</v>
      </c>
      <c r="AX33" s="1">
        <v>27.066666666666599</v>
      </c>
      <c r="AY33" s="1">
        <v>65.433333333333294</v>
      </c>
      <c r="AZ33" s="1">
        <v>7.5</v>
      </c>
      <c r="BA33" s="1">
        <v>72.933333333333294</v>
      </c>
      <c r="BB33" s="1">
        <v>1450.1908165208299</v>
      </c>
      <c r="BC33" s="1">
        <v>0.38057263414773401</v>
      </c>
      <c r="BD33" s="1">
        <v>0.32394458305540502</v>
      </c>
      <c r="BE33" s="1">
        <v>0.43795742763722301</v>
      </c>
      <c r="BF33" s="1">
        <v>0.46668266449401302</v>
      </c>
      <c r="BG33" s="1">
        <v>0.69057550157206105</v>
      </c>
      <c r="BH33" s="1">
        <v>0.245339904774284</v>
      </c>
      <c r="BI33" s="1">
        <v>8.2403694855644893</v>
      </c>
      <c r="BJ33" s="1">
        <v>11.564061203016699</v>
      </c>
      <c r="BK33" s="1">
        <v>91.069035014278896</v>
      </c>
      <c r="BL33" s="1">
        <v>111.437967941656</v>
      </c>
      <c r="BM33" s="1">
        <v>600.32821025290195</v>
      </c>
      <c r="BN33" s="1">
        <v>41.967549225129702</v>
      </c>
      <c r="BO33" s="1">
        <v>0.108996751660212</v>
      </c>
      <c r="BP33" s="1">
        <v>1.5964167178587301</v>
      </c>
      <c r="BQ33" s="1">
        <v>76.769496266439702</v>
      </c>
      <c r="BR33" s="1">
        <v>7.0666161502264702</v>
      </c>
      <c r="BS33" s="1">
        <v>13.372025800745901</v>
      </c>
      <c r="BT33" s="1">
        <v>7.4634385681538999</v>
      </c>
      <c r="BU33" s="1">
        <v>2.7998181706704299</v>
      </c>
      <c r="BV33" s="1">
        <v>0.69047620369140605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2.2565381213596299E-2</v>
      </c>
      <c r="CG33" s="1">
        <v>9.9503486919185497E-3</v>
      </c>
      <c r="CH33" s="1">
        <v>0.45941524568339398</v>
      </c>
      <c r="CI33" s="1">
        <v>21.266061921319299</v>
      </c>
      <c r="CJ33" s="1">
        <v>40.859576893893902</v>
      </c>
      <c r="CK33" s="1">
        <v>24.811084894678</v>
      </c>
      <c r="CL33" s="1">
        <v>3.9581906959328204E-3</v>
      </c>
      <c r="CM33" s="1">
        <v>18.0382553166178</v>
      </c>
      <c r="CN33" s="1">
        <v>13.2855252088012</v>
      </c>
      <c r="CO33" s="1">
        <v>274.50547988331101</v>
      </c>
      <c r="CP33" s="1">
        <v>33.107100465640002</v>
      </c>
      <c r="CQ33" s="1">
        <v>9.4505813832901908E-3</v>
      </c>
      <c r="CR33" s="1">
        <v>31.7056316491526</v>
      </c>
      <c r="CS33" s="1">
        <v>2.0502032419575702</v>
      </c>
      <c r="CT33" s="1">
        <v>2.05020324195756</v>
      </c>
      <c r="CU33" s="1">
        <v>0</v>
      </c>
      <c r="CV33" s="1">
        <v>2.05020324195756</v>
      </c>
      <c r="CW33" s="1">
        <v>79.301289004118104</v>
      </c>
      <c r="CX33" s="1">
        <v>1.89011627665805E-2</v>
      </c>
      <c r="CY33" s="1">
        <v>2.52277326572517E-2</v>
      </c>
      <c r="CZ33" s="1">
        <v>1.06993439075714E-2</v>
      </c>
      <c r="DA33" s="1">
        <v>9.6811417530287894E-3</v>
      </c>
      <c r="DB33" s="1">
        <v>5.2634537089806401E-2</v>
      </c>
      <c r="DC33" s="1">
        <v>2.6221049838131699E-2</v>
      </c>
      <c r="DD33" s="1">
        <v>2.74129782071895</v>
      </c>
      <c r="DE33" s="1">
        <v>2.7806363672723702</v>
      </c>
      <c r="DF33" s="1">
        <v>4.4809623515590298</v>
      </c>
      <c r="DG33" s="1">
        <v>11.890197116340399</v>
      </c>
      <c r="DH33" s="1">
        <v>13.9230858005941</v>
      </c>
      <c r="DI33" s="1">
        <v>2.8868593834310801</v>
      </c>
      <c r="DJ33" s="1">
        <v>7.2879320275442703E-3</v>
      </c>
      <c r="DK33" s="1">
        <v>0.47341775851586998</v>
      </c>
      <c r="DL33" s="1">
        <v>14.032454217771701</v>
      </c>
      <c r="DM33" s="1">
        <v>1.2556230590981801</v>
      </c>
      <c r="DN33" s="1">
        <v>0.83517156066674503</v>
      </c>
      <c r="DO33" s="1">
        <v>0.97142846198155797</v>
      </c>
      <c r="DP33" s="1">
        <v>0.827202781952456</v>
      </c>
      <c r="DQ33" s="1">
        <v>2.8080674043036699E-2</v>
      </c>
    </row>
    <row r="34" spans="1:121" x14ac:dyDescent="0.25">
      <c r="A34" s="1" t="s">
        <v>62</v>
      </c>
      <c r="B34" s="1">
        <v>0</v>
      </c>
      <c r="C34" s="1" t="s">
        <v>29</v>
      </c>
      <c r="D34" s="1" t="s">
        <v>63</v>
      </c>
      <c r="E34" s="1">
        <v>12.1197916666666</v>
      </c>
      <c r="F34" s="1">
        <v>0.22923774999999999</v>
      </c>
      <c r="G34" s="1">
        <v>0.63416666666666599</v>
      </c>
      <c r="H34" s="1">
        <v>17.899999999999999</v>
      </c>
      <c r="I34" s="1" t="s">
        <v>31</v>
      </c>
      <c r="J34" s="1" t="s">
        <v>31</v>
      </c>
      <c r="K34" s="1" t="s">
        <v>31</v>
      </c>
      <c r="L34" s="1">
        <v>1.04212584576388</v>
      </c>
      <c r="M34" s="1">
        <v>0.14749388096036301</v>
      </c>
      <c r="N34" s="1">
        <v>0.30826371040314599</v>
      </c>
      <c r="O34" s="1">
        <v>0.12792042981336599</v>
      </c>
      <c r="P34" s="1" t="s">
        <v>31</v>
      </c>
      <c r="Q34" s="1" t="s">
        <v>31</v>
      </c>
      <c r="R34" s="1" t="s">
        <v>31</v>
      </c>
      <c r="S34" s="1">
        <v>5.0000000000000001E-3</v>
      </c>
      <c r="T34" s="1">
        <v>0</v>
      </c>
      <c r="U34" s="1">
        <v>3.7003565105285701E-3</v>
      </c>
      <c r="V34" s="1">
        <v>6.1342907730459698E-3</v>
      </c>
      <c r="W34" s="1">
        <v>1.2664222480111801E-3</v>
      </c>
      <c r="X34" s="1" t="s">
        <v>32</v>
      </c>
      <c r="Y34" s="1">
        <v>24.5194444444443</v>
      </c>
      <c r="Z34" s="1">
        <v>0.11111111111111099</v>
      </c>
      <c r="AA34" s="1" t="s">
        <v>46</v>
      </c>
      <c r="AB34" s="1">
        <v>8</v>
      </c>
      <c r="AC34" s="1">
        <v>1</v>
      </c>
      <c r="AD34" s="1">
        <v>0</v>
      </c>
      <c r="AE34" s="1">
        <v>0</v>
      </c>
      <c r="AF34" s="1">
        <v>9</v>
      </c>
      <c r="AG34" s="1">
        <v>1995</v>
      </c>
      <c r="AH34" s="1">
        <v>2003</v>
      </c>
      <c r="AI34" s="1">
        <v>1995</v>
      </c>
      <c r="AJ34" s="1">
        <v>2019.5194444444401</v>
      </c>
      <c r="AK34" s="1">
        <v>0.27047592054380798</v>
      </c>
      <c r="AL34" s="1">
        <v>0.64717912661341903</v>
      </c>
      <c r="AM34" s="1">
        <v>0.58157565965082303</v>
      </c>
      <c r="AN34" s="1">
        <v>1242.1097226449499</v>
      </c>
      <c r="AO34" s="1">
        <v>305.08535211814899</v>
      </c>
      <c r="AP34" s="1">
        <v>937.02437052680398</v>
      </c>
      <c r="AQ34" s="1">
        <v>0.32709633171386598</v>
      </c>
      <c r="AR34" s="1">
        <v>543.65797472317297</v>
      </c>
      <c r="AS34" s="1">
        <v>2051.2022291256799</v>
      </c>
      <c r="AT34" s="1">
        <v>1738.9262235138899</v>
      </c>
      <c r="AU34" s="1">
        <v>47.257351325836197</v>
      </c>
      <c r="AV34" s="1">
        <v>0.163217065738644</v>
      </c>
      <c r="AW34" s="1">
        <v>169.64836691129199</v>
      </c>
      <c r="AX34" s="1">
        <v>1.4549999999999801</v>
      </c>
      <c r="AY34" s="1">
        <v>87.295000000000002</v>
      </c>
      <c r="AZ34" s="1">
        <v>11.25</v>
      </c>
      <c r="BA34" s="1">
        <v>98.045000000000002</v>
      </c>
      <c r="BB34" s="1">
        <v>1658.85195728945</v>
      </c>
      <c r="BC34" s="1">
        <v>0.326434131477288</v>
      </c>
      <c r="BD34" s="1">
        <v>0.59894811135373904</v>
      </c>
      <c r="BE34" s="1">
        <v>0.25253495682655902</v>
      </c>
      <c r="BF34" s="1">
        <v>0.22870726550166401</v>
      </c>
      <c r="BG34" s="1">
        <v>2.62847018258176</v>
      </c>
      <c r="BH34" s="1">
        <v>9.6544771812381497E-2</v>
      </c>
      <c r="BI34" s="1">
        <v>6.6456183035764997</v>
      </c>
      <c r="BJ34" s="1">
        <v>16.3495465114074</v>
      </c>
      <c r="BK34" s="1">
        <v>126.91381964883099</v>
      </c>
      <c r="BL34" s="1">
        <v>280.26996103438898</v>
      </c>
      <c r="BM34" s="1">
        <v>2778.1988778047698</v>
      </c>
      <c r="BN34" s="1">
        <v>44.351737160544303</v>
      </c>
      <c r="BO34" s="1">
        <v>0.271573761783377</v>
      </c>
      <c r="BP34" s="1">
        <v>0.41431188126131102</v>
      </c>
      <c r="BQ34" s="1">
        <v>39.867173313364802</v>
      </c>
      <c r="BR34" s="1">
        <v>22.169675710698801</v>
      </c>
      <c r="BS34" s="1">
        <v>59.423900913100297</v>
      </c>
      <c r="BT34" s="1">
        <v>65.541403384358702</v>
      </c>
      <c r="BU34" s="1">
        <v>3.1611247436335801</v>
      </c>
      <c r="BV34" s="1">
        <v>0.24548713890509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9.4058296486090306E-2</v>
      </c>
      <c r="CG34" s="1">
        <v>9.1664161803858099E-2</v>
      </c>
      <c r="CH34" s="1">
        <v>3.0351463935271002E-2</v>
      </c>
      <c r="CI34" s="1">
        <v>22.137618828352799</v>
      </c>
      <c r="CJ34" s="1">
        <v>23.7696643204869</v>
      </c>
      <c r="CK34" s="1">
        <v>1.6320454921327501</v>
      </c>
      <c r="CL34" s="1">
        <v>0.160768366063579</v>
      </c>
      <c r="CM34" s="1">
        <v>172.63236201366999</v>
      </c>
      <c r="CN34" s="1">
        <v>534.36365873647401</v>
      </c>
      <c r="CO34" s="1">
        <v>233.99263640984901</v>
      </c>
      <c r="CP34" s="1">
        <v>4.5781302200965399</v>
      </c>
      <c r="CQ34" s="1">
        <v>1.4093881736470901E-2</v>
      </c>
      <c r="CR34" s="1">
        <v>12.874401119533101</v>
      </c>
      <c r="CS34" s="1">
        <v>0</v>
      </c>
      <c r="CT34" s="1">
        <v>0</v>
      </c>
      <c r="CU34" s="1">
        <v>0</v>
      </c>
      <c r="CV34" s="1">
        <v>0.70710678118655701</v>
      </c>
      <c r="CW34" s="1">
        <v>371.53014161427302</v>
      </c>
      <c r="CX34" s="1">
        <v>2.8187763472942599E-2</v>
      </c>
      <c r="CY34" s="1">
        <v>6.5686742473313506E-2</v>
      </c>
      <c r="CZ34" s="1">
        <v>6.4662077338374702E-2</v>
      </c>
      <c r="DA34" s="1">
        <v>1.39914988269295E-2</v>
      </c>
      <c r="DB34" s="1">
        <v>0.103408821223021</v>
      </c>
      <c r="DC34" s="1">
        <v>3.0436320431082801E-2</v>
      </c>
      <c r="DD34" s="1">
        <v>4.6396465852425503E-2</v>
      </c>
      <c r="DE34" s="1">
        <v>8.1366745194537501E-2</v>
      </c>
      <c r="DF34" s="1">
        <v>0.53605723439876396</v>
      </c>
      <c r="DG34" s="1">
        <v>1.23121002536499</v>
      </c>
      <c r="DH34" s="1">
        <v>6.6441737402350096</v>
      </c>
      <c r="DI34" s="1">
        <v>0.111418128101717</v>
      </c>
      <c r="DJ34" s="1">
        <v>2.0751594334879001E-3</v>
      </c>
      <c r="DK34" s="2">
        <v>2.5619252265289202E-4</v>
      </c>
      <c r="DL34" s="1">
        <v>0.16114509674862701</v>
      </c>
      <c r="DM34" s="1">
        <v>0.111571843615308</v>
      </c>
      <c r="DN34" s="1">
        <v>0.269514533830779</v>
      </c>
      <c r="DO34" s="1">
        <v>0.28347702631534499</v>
      </c>
      <c r="DP34" s="1">
        <v>3.0948056736463201E-2</v>
      </c>
      <c r="DQ34" s="1">
        <v>1.4761307538193999E-2</v>
      </c>
    </row>
    <row r="35" spans="1:121" x14ac:dyDescent="0.25">
      <c r="A35" s="1" t="s">
        <v>62</v>
      </c>
      <c r="B35" s="1">
        <v>0</v>
      </c>
      <c r="C35" s="1" t="s">
        <v>34</v>
      </c>
      <c r="D35" s="1" t="s">
        <v>63</v>
      </c>
      <c r="E35" s="1">
        <v>12.1197916666666</v>
      </c>
      <c r="F35" s="1">
        <v>0.11172225</v>
      </c>
      <c r="G35" s="1">
        <v>6.5166666666666604</v>
      </c>
      <c r="H35" s="1">
        <v>17.899999999999999</v>
      </c>
      <c r="I35" s="1" t="s">
        <v>31</v>
      </c>
      <c r="J35" s="1" t="s">
        <v>31</v>
      </c>
      <c r="K35" s="1" t="s">
        <v>31</v>
      </c>
      <c r="L35" s="1">
        <v>1.04212584576388</v>
      </c>
      <c r="M35" s="1">
        <v>8.7647463110229695E-2</v>
      </c>
      <c r="N35" s="1">
        <v>0.53510123652756902</v>
      </c>
      <c r="O35" s="1">
        <v>0.12792042981336599</v>
      </c>
      <c r="P35" s="1" t="s">
        <v>31</v>
      </c>
      <c r="Q35" s="1" t="s">
        <v>31</v>
      </c>
      <c r="R35" s="1" t="s">
        <v>31</v>
      </c>
      <c r="S35" s="1">
        <v>5.0000000000000001E-3</v>
      </c>
      <c r="T35" s="1">
        <v>0</v>
      </c>
      <c r="U35" s="1">
        <v>1.7611235066609301E-3</v>
      </c>
      <c r="V35" s="1">
        <v>3.2074761424292302E-3</v>
      </c>
      <c r="W35" s="2">
        <v>3.1477087089264101E-4</v>
      </c>
      <c r="X35" s="1" t="s">
        <v>32</v>
      </c>
      <c r="Y35" s="1">
        <v>24.5194444444443</v>
      </c>
      <c r="Z35" s="1">
        <v>0.11111111111111099</v>
      </c>
      <c r="AA35" s="1" t="s">
        <v>46</v>
      </c>
      <c r="AB35" s="1">
        <v>8</v>
      </c>
      <c r="AC35" s="1">
        <v>1</v>
      </c>
      <c r="AD35" s="1">
        <v>0</v>
      </c>
      <c r="AE35" s="1">
        <v>0</v>
      </c>
      <c r="AF35" s="1">
        <v>9</v>
      </c>
      <c r="AG35" s="1">
        <v>1995</v>
      </c>
      <c r="AH35" s="1">
        <v>2003</v>
      </c>
      <c r="AI35" s="1">
        <v>1995</v>
      </c>
      <c r="AJ35" s="1">
        <v>2019.5194444444401</v>
      </c>
      <c r="AK35" s="1">
        <v>0.27047592054380798</v>
      </c>
      <c r="AL35" s="1">
        <v>0.64717912661341903</v>
      </c>
      <c r="AM35" s="1">
        <v>0.58157565965082303</v>
      </c>
      <c r="AN35" s="1">
        <v>1242.1097226449499</v>
      </c>
      <c r="AO35" s="1">
        <v>305.08535211814899</v>
      </c>
      <c r="AP35" s="1">
        <v>937.02437052680398</v>
      </c>
      <c r="AQ35" s="1">
        <v>0.32709633171386598</v>
      </c>
      <c r="AR35" s="1">
        <v>543.65797472317297</v>
      </c>
      <c r="AS35" s="1">
        <v>2051.2022291256799</v>
      </c>
      <c r="AT35" s="1">
        <v>1738.9262235138899</v>
      </c>
      <c r="AU35" s="1">
        <v>47.257351325836197</v>
      </c>
      <c r="AV35" s="1">
        <v>0.163217065738644</v>
      </c>
      <c r="AW35" s="1">
        <v>169.64836691129199</v>
      </c>
      <c r="AX35" s="1">
        <v>1.4549999999999801</v>
      </c>
      <c r="AY35" s="1">
        <v>87.295000000000002</v>
      </c>
      <c r="AZ35" s="1">
        <v>11.25</v>
      </c>
      <c r="BA35" s="1">
        <v>98.045000000000002</v>
      </c>
      <c r="BB35" s="1">
        <v>1658.85195728945</v>
      </c>
      <c r="BC35" s="1">
        <v>0.326434131477288</v>
      </c>
      <c r="BD35" s="1">
        <v>0.59894811135373904</v>
      </c>
      <c r="BE35" s="1">
        <v>0.25253495682655902</v>
      </c>
      <c r="BF35" s="1">
        <v>0.22870726550166401</v>
      </c>
      <c r="BG35" s="1">
        <v>2.62847018258176</v>
      </c>
      <c r="BH35" s="1">
        <v>9.6544771812381497E-2</v>
      </c>
      <c r="BI35" s="1">
        <v>6.6456183035764997</v>
      </c>
      <c r="BJ35" s="1">
        <v>16.3495465114074</v>
      </c>
      <c r="BK35" s="1">
        <v>126.91381964883099</v>
      </c>
      <c r="BL35" s="1">
        <v>280.26996103438898</v>
      </c>
      <c r="BM35" s="1">
        <v>2778.1988778047698</v>
      </c>
      <c r="BN35" s="1">
        <v>44.351737160544303</v>
      </c>
      <c r="BO35" s="1">
        <v>0.271573761783377</v>
      </c>
      <c r="BP35" s="1">
        <v>0.41431188126131102</v>
      </c>
      <c r="BQ35" s="1">
        <v>39.867173313364802</v>
      </c>
      <c r="BR35" s="1">
        <v>22.169675710698801</v>
      </c>
      <c r="BS35" s="1">
        <v>59.423900913100297</v>
      </c>
      <c r="BT35" s="1">
        <v>65.541403384358702</v>
      </c>
      <c r="BU35" s="1">
        <v>3.1611247436335801</v>
      </c>
      <c r="BV35" s="1">
        <v>0.24548713890509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9.4058296486090306E-2</v>
      </c>
      <c r="CG35" s="1">
        <v>9.1664161803858099E-2</v>
      </c>
      <c r="CH35" s="1">
        <v>3.0351463935271002E-2</v>
      </c>
      <c r="CI35" s="1">
        <v>22.137618828352799</v>
      </c>
      <c r="CJ35" s="1">
        <v>23.7696643204869</v>
      </c>
      <c r="CK35" s="1">
        <v>1.6320454921327501</v>
      </c>
      <c r="CL35" s="1">
        <v>0.160768366063579</v>
      </c>
      <c r="CM35" s="1">
        <v>172.63236201366999</v>
      </c>
      <c r="CN35" s="1">
        <v>534.36365873647401</v>
      </c>
      <c r="CO35" s="1">
        <v>233.99263640984901</v>
      </c>
      <c r="CP35" s="1">
        <v>4.5781302200965399</v>
      </c>
      <c r="CQ35" s="1">
        <v>1.4093881736470901E-2</v>
      </c>
      <c r="CR35" s="1">
        <v>12.874401119533101</v>
      </c>
      <c r="CS35" s="1">
        <v>0</v>
      </c>
      <c r="CT35" s="1">
        <v>0</v>
      </c>
      <c r="CU35" s="1">
        <v>0</v>
      </c>
      <c r="CV35" s="1">
        <v>0.70710678118655701</v>
      </c>
      <c r="CW35" s="1">
        <v>371.53014161427302</v>
      </c>
      <c r="CX35" s="1">
        <v>2.8187763472942599E-2</v>
      </c>
      <c r="CY35" s="1">
        <v>6.5686742473313506E-2</v>
      </c>
      <c r="CZ35" s="1">
        <v>6.4662077338374702E-2</v>
      </c>
      <c r="DA35" s="1">
        <v>1.39914988269295E-2</v>
      </c>
      <c r="DB35" s="1">
        <v>0.103408821223021</v>
      </c>
      <c r="DC35" s="1">
        <v>3.0436320431082801E-2</v>
      </c>
      <c r="DD35" s="1">
        <v>4.6396465852425503E-2</v>
      </c>
      <c r="DE35" s="1">
        <v>8.1366745194537501E-2</v>
      </c>
      <c r="DF35" s="1">
        <v>0.53605723439876396</v>
      </c>
      <c r="DG35" s="1">
        <v>1.23121002536499</v>
      </c>
      <c r="DH35" s="1">
        <v>6.6441737402350096</v>
      </c>
      <c r="DI35" s="1">
        <v>0.111418128101717</v>
      </c>
      <c r="DJ35" s="1">
        <v>2.0751594334879001E-3</v>
      </c>
      <c r="DK35" s="2">
        <v>2.5619252265289202E-4</v>
      </c>
      <c r="DL35" s="1">
        <v>0.16114509674862701</v>
      </c>
      <c r="DM35" s="1">
        <v>0.111571843615308</v>
      </c>
      <c r="DN35" s="1">
        <v>0.269514533830779</v>
      </c>
      <c r="DO35" s="1">
        <v>0.28347702631534499</v>
      </c>
      <c r="DP35" s="1">
        <v>3.0948056736463201E-2</v>
      </c>
      <c r="DQ35" s="1">
        <v>1.4761307538193999E-2</v>
      </c>
    </row>
    <row r="36" spans="1:121" x14ac:dyDescent="0.25">
      <c r="A36" s="1" t="s">
        <v>62</v>
      </c>
      <c r="B36" s="1">
        <v>2</v>
      </c>
      <c r="C36" s="1" t="s">
        <v>29</v>
      </c>
      <c r="D36" s="1" t="s">
        <v>64</v>
      </c>
      <c r="E36" s="1">
        <v>11.5895833333333</v>
      </c>
      <c r="F36" s="1">
        <v>0.40854600000000002</v>
      </c>
      <c r="G36" s="1">
        <v>0.42199999999999999</v>
      </c>
      <c r="H36" s="1">
        <v>21.82</v>
      </c>
      <c r="I36" s="1">
        <v>8.1359999999999992</v>
      </c>
      <c r="J36" s="1">
        <v>-106.96</v>
      </c>
      <c r="K36" s="1">
        <v>292.7</v>
      </c>
      <c r="L36" s="1">
        <v>0.992747135478113</v>
      </c>
      <c r="M36" s="1">
        <v>0.191528954547347</v>
      </c>
      <c r="N36" s="1">
        <v>0.138455769110571</v>
      </c>
      <c r="O36" s="1">
        <v>0.44384682042344298</v>
      </c>
      <c r="P36" s="1">
        <v>0.12660963628413099</v>
      </c>
      <c r="Q36" s="1">
        <v>152.35610588355101</v>
      </c>
      <c r="R36" s="1">
        <v>45.867145104093801</v>
      </c>
      <c r="S36" s="1">
        <v>5.0000000000000001E-3</v>
      </c>
      <c r="T36" s="1">
        <v>0</v>
      </c>
      <c r="U36" s="1">
        <v>6.9639431961172E-3</v>
      </c>
      <c r="V36" s="1">
        <v>1.0269134574248599E-2</v>
      </c>
      <c r="W36" s="1">
        <v>3.6587518179857299E-3</v>
      </c>
      <c r="X36" s="1" t="s">
        <v>32</v>
      </c>
      <c r="Y36" s="1">
        <v>24.5194444444443</v>
      </c>
      <c r="Z36" s="1">
        <v>0.11111111111111099</v>
      </c>
      <c r="AA36" s="1" t="s">
        <v>46</v>
      </c>
      <c r="AB36" s="1">
        <v>8</v>
      </c>
      <c r="AC36" s="1">
        <v>1</v>
      </c>
      <c r="AD36" s="1">
        <v>0</v>
      </c>
      <c r="AE36" s="1">
        <v>0</v>
      </c>
      <c r="AF36" s="1">
        <v>9</v>
      </c>
      <c r="AG36" s="1">
        <v>1995</v>
      </c>
      <c r="AH36" s="1">
        <v>2003</v>
      </c>
      <c r="AI36" s="1">
        <v>1995</v>
      </c>
      <c r="AJ36" s="1">
        <v>2019.5194444444401</v>
      </c>
      <c r="AK36" s="1">
        <v>0.45644743224393503</v>
      </c>
      <c r="AL36" s="1">
        <v>0.53870668865301097</v>
      </c>
      <c r="AM36" s="1">
        <v>0.97853149213206903</v>
      </c>
      <c r="AN36" s="1">
        <v>1247.49871099491</v>
      </c>
      <c r="AO36" s="1">
        <v>381.04146601614502</v>
      </c>
      <c r="AP36" s="1">
        <v>866.45724497876301</v>
      </c>
      <c r="AQ36" s="1">
        <v>0.20461676055729</v>
      </c>
      <c r="AR36" s="1">
        <v>751.91126606140097</v>
      </c>
      <c r="AS36" s="1">
        <v>2450.7341212871602</v>
      </c>
      <c r="AT36" s="1">
        <v>2252.1975113679</v>
      </c>
      <c r="AU36" s="1">
        <v>47.7678473615264</v>
      </c>
      <c r="AV36" s="1">
        <v>0.184991182957184</v>
      </c>
      <c r="AW36" s="1">
        <v>121.10871184034001</v>
      </c>
      <c r="AX36" s="1">
        <v>2.9650000000000101</v>
      </c>
      <c r="AY36" s="1">
        <v>82.034999999999897</v>
      </c>
      <c r="AZ36" s="1">
        <v>15</v>
      </c>
      <c r="BA36" s="1">
        <v>97.034999999999997</v>
      </c>
      <c r="BB36" s="1">
        <v>2030.2790183761399</v>
      </c>
      <c r="BC36" s="1">
        <v>0.36998236591436801</v>
      </c>
      <c r="BD36" s="1">
        <v>0.60529705583392401</v>
      </c>
      <c r="BE36" s="1">
        <v>0.33493663470519602</v>
      </c>
      <c r="BF36" s="1">
        <v>0.26861681373658097</v>
      </c>
      <c r="BG36" s="1">
        <v>2.2970093299478598</v>
      </c>
      <c r="BH36" s="1">
        <v>9.0452349302538995E-2</v>
      </c>
      <c r="BI36" s="1">
        <v>5.6581459535301404</v>
      </c>
      <c r="BJ36" s="1">
        <v>14.1886228943704</v>
      </c>
      <c r="BK36" s="1">
        <v>105.079155179897</v>
      </c>
      <c r="BL36" s="1">
        <v>174.996782524671</v>
      </c>
      <c r="BM36" s="1">
        <v>2078.0962526726098</v>
      </c>
      <c r="BN36" s="1">
        <v>56.875845524932103</v>
      </c>
      <c r="BO36" s="1">
        <v>0.19300819597855801</v>
      </c>
      <c r="BP36" s="1">
        <v>0.69941725317246595</v>
      </c>
      <c r="BQ36" s="1">
        <v>88.149146134761807</v>
      </c>
      <c r="BR36" s="1">
        <v>21.551418320465501</v>
      </c>
      <c r="BS36" s="1">
        <v>37.492965135211001</v>
      </c>
      <c r="BT36" s="1">
        <v>54.581160408939802</v>
      </c>
      <c r="BU36" s="1">
        <v>3.1757341643433898</v>
      </c>
      <c r="BV36" s="1">
        <v>0.30788771376326801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2.2600360841931202E-2</v>
      </c>
      <c r="CG36" s="1">
        <v>2.6407000554662E-2</v>
      </c>
      <c r="CH36" s="1">
        <v>0.23630170251504601</v>
      </c>
      <c r="CI36" s="1">
        <v>185.91797669714501</v>
      </c>
      <c r="CJ36" s="1">
        <v>27.132223861201901</v>
      </c>
      <c r="CK36" s="1">
        <v>158.795251887608</v>
      </c>
      <c r="CL36" s="1">
        <v>4.9906568969360299E-2</v>
      </c>
      <c r="CM36" s="1">
        <v>67.132915016994005</v>
      </c>
      <c r="CN36" s="1">
        <v>54.0618587443509</v>
      </c>
      <c r="CO36" s="1">
        <v>91.261636561572999</v>
      </c>
      <c r="CP36" s="1">
        <v>2.30004738945992</v>
      </c>
      <c r="CQ36" s="1">
        <v>1.13375415833636E-2</v>
      </c>
      <c r="CR36" s="1">
        <v>42.925880648489198</v>
      </c>
      <c r="CS36" s="1">
        <v>0</v>
      </c>
      <c r="CT36" s="1">
        <v>0</v>
      </c>
      <c r="CU36" s="1">
        <v>0</v>
      </c>
      <c r="CV36" s="1">
        <v>0</v>
      </c>
      <c r="CW36" s="1">
        <v>56.2954287639648</v>
      </c>
      <c r="CX36" s="1">
        <v>2.2675083166726898E-2</v>
      </c>
      <c r="CY36" s="1">
        <v>2.5130355315454999E-2</v>
      </c>
      <c r="CZ36" s="1">
        <v>1.0158426129290099E-2</v>
      </c>
      <c r="DA36" s="1">
        <v>1.60610085838119E-2</v>
      </c>
      <c r="DB36" s="1">
        <v>8.7598395336175097E-2</v>
      </c>
      <c r="DC36" s="1">
        <v>2.23691681821377E-3</v>
      </c>
      <c r="DD36" s="1">
        <v>0.102971573451656</v>
      </c>
      <c r="DE36" s="1">
        <v>0.22208463679573301</v>
      </c>
      <c r="DF36" s="1">
        <v>2.1945468714946701</v>
      </c>
      <c r="DG36" s="1">
        <v>3.33502662285923</v>
      </c>
      <c r="DH36" s="1">
        <v>22.500958608485998</v>
      </c>
      <c r="DI36" s="1">
        <v>0.36067880863065899</v>
      </c>
      <c r="DJ36" s="1">
        <v>2.9221662736280498E-3</v>
      </c>
      <c r="DK36" s="1">
        <v>4.0353724731053298E-3</v>
      </c>
      <c r="DL36" s="1">
        <v>0.61003699731359495</v>
      </c>
      <c r="DM36" s="1">
        <v>0.40381554886041199</v>
      </c>
      <c r="DN36" s="1">
        <v>0.49690741729170701</v>
      </c>
      <c r="DO36" s="1">
        <v>1.58520562805575</v>
      </c>
      <c r="DP36" s="1">
        <v>0.108955056773845</v>
      </c>
      <c r="DQ36" s="1">
        <v>2.4730269824550202E-2</v>
      </c>
    </row>
    <row r="37" spans="1:121" x14ac:dyDescent="0.25">
      <c r="A37" s="1" t="s">
        <v>62</v>
      </c>
      <c r="B37" s="1">
        <v>2</v>
      </c>
      <c r="C37" s="1" t="s">
        <v>34</v>
      </c>
      <c r="D37" s="1" t="s">
        <v>64</v>
      </c>
      <c r="E37" s="1">
        <v>11.7708333333333</v>
      </c>
      <c r="F37" s="1">
        <v>0.15793333333333301</v>
      </c>
      <c r="G37" s="1">
        <v>5.0466666666666598</v>
      </c>
      <c r="H37" s="1">
        <v>22.066666666666599</v>
      </c>
      <c r="I37" s="1">
        <v>7.3449999999999998</v>
      </c>
      <c r="J37" s="1">
        <v>55.6</v>
      </c>
      <c r="K37" s="1">
        <v>268.7</v>
      </c>
      <c r="L37" s="1">
        <v>0.992747135478113</v>
      </c>
      <c r="M37" s="1">
        <v>0.103897560638672</v>
      </c>
      <c r="N37" s="1">
        <v>0.82011381323976396</v>
      </c>
      <c r="O37" s="1">
        <v>0.47609522856952202</v>
      </c>
      <c r="P37" s="1">
        <v>0.10821275340735</v>
      </c>
      <c r="Q37" s="1">
        <v>80.804801837514503</v>
      </c>
      <c r="R37" s="1">
        <v>28.850788550748401</v>
      </c>
      <c r="S37" s="1">
        <v>5.0000000000000001E-3</v>
      </c>
      <c r="T37" s="1">
        <v>0</v>
      </c>
      <c r="U37" s="1">
        <v>2.59851327433628E-3</v>
      </c>
      <c r="V37" s="1">
        <v>4.3638523577544299E-3</v>
      </c>
      <c r="W37" s="2">
        <v>8.3317419091812799E-4</v>
      </c>
      <c r="X37" s="1" t="s">
        <v>32</v>
      </c>
      <c r="Y37" s="1">
        <v>24.5194444444443</v>
      </c>
      <c r="Z37" s="1">
        <v>0.11111111111111099</v>
      </c>
      <c r="AA37" s="1" t="s">
        <v>46</v>
      </c>
      <c r="AB37" s="1">
        <v>8</v>
      </c>
      <c r="AC37" s="1">
        <v>1</v>
      </c>
      <c r="AD37" s="1">
        <v>0</v>
      </c>
      <c r="AE37" s="1">
        <v>0</v>
      </c>
      <c r="AF37" s="1">
        <v>9</v>
      </c>
      <c r="AG37" s="1">
        <v>1995</v>
      </c>
      <c r="AH37" s="1">
        <v>2003</v>
      </c>
      <c r="AI37" s="1">
        <v>1995</v>
      </c>
      <c r="AJ37" s="1">
        <v>2019.5194444444401</v>
      </c>
      <c r="AK37" s="1">
        <v>0.45644743224393503</v>
      </c>
      <c r="AL37" s="1">
        <v>0.53870668865301097</v>
      </c>
      <c r="AM37" s="1">
        <v>0.97853149213206903</v>
      </c>
      <c r="AN37" s="1">
        <v>1247.49871099491</v>
      </c>
      <c r="AO37" s="1">
        <v>381.04146601614502</v>
      </c>
      <c r="AP37" s="1">
        <v>866.45724497876301</v>
      </c>
      <c r="AQ37" s="1">
        <v>0.20461676055729</v>
      </c>
      <c r="AR37" s="1">
        <v>751.91126606140097</v>
      </c>
      <c r="AS37" s="1">
        <v>2450.7341212871602</v>
      </c>
      <c r="AT37" s="1">
        <v>2252.1975113679</v>
      </c>
      <c r="AU37" s="1">
        <v>47.7678473615264</v>
      </c>
      <c r="AV37" s="1">
        <v>0.184991182957184</v>
      </c>
      <c r="AW37" s="1">
        <v>121.10871184034001</v>
      </c>
      <c r="AX37" s="1">
        <v>2.9650000000000101</v>
      </c>
      <c r="AY37" s="1">
        <v>82.034999999999897</v>
      </c>
      <c r="AZ37" s="1">
        <v>15</v>
      </c>
      <c r="BA37" s="1">
        <v>97.034999999999997</v>
      </c>
      <c r="BB37" s="1">
        <v>2030.2790183761399</v>
      </c>
      <c r="BC37" s="1">
        <v>0.36998236591436801</v>
      </c>
      <c r="BD37" s="1">
        <v>0.60529705583392401</v>
      </c>
      <c r="BE37" s="1">
        <v>0.33493663470519602</v>
      </c>
      <c r="BF37" s="1">
        <v>0.26861681373658097</v>
      </c>
      <c r="BG37" s="1">
        <v>2.2970093299478598</v>
      </c>
      <c r="BH37" s="1">
        <v>9.0452349302538995E-2</v>
      </c>
      <c r="BI37" s="1">
        <v>5.6581459535301404</v>
      </c>
      <c r="BJ37" s="1">
        <v>14.1886228943704</v>
      </c>
      <c r="BK37" s="1">
        <v>105.079155179897</v>
      </c>
      <c r="BL37" s="1">
        <v>174.996782524671</v>
      </c>
      <c r="BM37" s="1">
        <v>2078.0962526726098</v>
      </c>
      <c r="BN37" s="1">
        <v>56.875845524932103</v>
      </c>
      <c r="BO37" s="1">
        <v>0.19300819597855801</v>
      </c>
      <c r="BP37" s="1">
        <v>0.69941725317246595</v>
      </c>
      <c r="BQ37" s="1">
        <v>88.149146134761807</v>
      </c>
      <c r="BR37" s="1">
        <v>21.551418320465501</v>
      </c>
      <c r="BS37" s="1">
        <v>37.492965135211001</v>
      </c>
      <c r="BT37" s="1">
        <v>54.581160408939802</v>
      </c>
      <c r="BU37" s="1">
        <v>3.1757341643433898</v>
      </c>
      <c r="BV37" s="1">
        <v>0.30788771376326801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2.2600360841931202E-2</v>
      </c>
      <c r="CG37" s="1">
        <v>2.6407000554662E-2</v>
      </c>
      <c r="CH37" s="1">
        <v>0.23630170251504601</v>
      </c>
      <c r="CI37" s="1">
        <v>185.91797669714501</v>
      </c>
      <c r="CJ37" s="1">
        <v>27.132223861201901</v>
      </c>
      <c r="CK37" s="1">
        <v>158.795251887608</v>
      </c>
      <c r="CL37" s="1">
        <v>4.9906568969360299E-2</v>
      </c>
      <c r="CM37" s="1">
        <v>67.132915016994005</v>
      </c>
      <c r="CN37" s="1">
        <v>54.0618587443509</v>
      </c>
      <c r="CO37" s="1">
        <v>91.261636561572999</v>
      </c>
      <c r="CP37" s="1">
        <v>2.30004738945992</v>
      </c>
      <c r="CQ37" s="1">
        <v>1.13375415833636E-2</v>
      </c>
      <c r="CR37" s="1">
        <v>42.925880648489198</v>
      </c>
      <c r="CS37" s="1">
        <v>0</v>
      </c>
      <c r="CT37" s="1">
        <v>0</v>
      </c>
      <c r="CU37" s="1">
        <v>0</v>
      </c>
      <c r="CV37" s="1">
        <v>0</v>
      </c>
      <c r="CW37" s="1">
        <v>56.2954287639648</v>
      </c>
      <c r="CX37" s="1">
        <v>2.2675083166726898E-2</v>
      </c>
      <c r="CY37" s="1">
        <v>2.5130355315454999E-2</v>
      </c>
      <c r="CZ37" s="1">
        <v>1.0158426129290099E-2</v>
      </c>
      <c r="DA37" s="1">
        <v>1.60610085838119E-2</v>
      </c>
      <c r="DB37" s="1">
        <v>8.7598395336175097E-2</v>
      </c>
      <c r="DC37" s="1">
        <v>2.23691681821377E-3</v>
      </c>
      <c r="DD37" s="1">
        <v>0.102971573451656</v>
      </c>
      <c r="DE37" s="1">
        <v>0.22208463679573301</v>
      </c>
      <c r="DF37" s="1">
        <v>2.1945468714946701</v>
      </c>
      <c r="DG37" s="1">
        <v>3.33502662285923</v>
      </c>
      <c r="DH37" s="1">
        <v>22.500958608485998</v>
      </c>
      <c r="DI37" s="1">
        <v>0.36067880863065899</v>
      </c>
      <c r="DJ37" s="1">
        <v>2.9221662736280498E-3</v>
      </c>
      <c r="DK37" s="1">
        <v>4.0353724731053298E-3</v>
      </c>
      <c r="DL37" s="1">
        <v>0.61003699731359495</v>
      </c>
      <c r="DM37" s="1">
        <v>0.40381554886041199</v>
      </c>
      <c r="DN37" s="1">
        <v>0.49690741729170701</v>
      </c>
      <c r="DO37" s="1">
        <v>1.58520562805575</v>
      </c>
      <c r="DP37" s="1">
        <v>0.108955056773845</v>
      </c>
      <c r="DQ37" s="1">
        <v>2.4730269824550202E-2</v>
      </c>
    </row>
    <row r="38" spans="1:121" x14ac:dyDescent="0.25">
      <c r="A38" s="1" t="s">
        <v>62</v>
      </c>
      <c r="B38" s="1">
        <v>4</v>
      </c>
      <c r="C38" s="1" t="s">
        <v>29</v>
      </c>
      <c r="D38" s="1" t="s">
        <v>65</v>
      </c>
      <c r="E38" s="1">
        <v>12.2518939393939</v>
      </c>
      <c r="F38" s="1">
        <v>0.14547490909090899</v>
      </c>
      <c r="G38" s="1">
        <v>0.65818181818181798</v>
      </c>
      <c r="H38" s="1">
        <v>17.899999999999999</v>
      </c>
      <c r="I38" s="1" t="s">
        <v>31</v>
      </c>
      <c r="J38" s="1" t="s">
        <v>31</v>
      </c>
      <c r="K38" s="1" t="s">
        <v>31</v>
      </c>
      <c r="L38" s="1">
        <v>0.98197533990514096</v>
      </c>
      <c r="M38" s="1">
        <v>8.70951850235758E-2</v>
      </c>
      <c r="N38" s="1">
        <v>0.503047078946258</v>
      </c>
      <c r="O38" s="1">
        <v>0.134164078649987</v>
      </c>
      <c r="P38" s="1" t="s">
        <v>31</v>
      </c>
      <c r="Q38" s="1" t="s">
        <v>31</v>
      </c>
      <c r="R38" s="1" t="s">
        <v>31</v>
      </c>
      <c r="S38" s="1">
        <v>5.0000000000000001E-3</v>
      </c>
      <c r="T38" s="1">
        <v>0</v>
      </c>
      <c r="U38" s="1">
        <v>2.2931133714638998E-3</v>
      </c>
      <c r="V38" s="1">
        <v>3.7148557641814199E-3</v>
      </c>
      <c r="W38" s="2">
        <v>8.7137097874638895E-4</v>
      </c>
      <c r="X38" s="1" t="s">
        <v>32</v>
      </c>
      <c r="Y38" s="1">
        <v>24.5194444444443</v>
      </c>
      <c r="Z38" s="1">
        <v>0.11111111111111099</v>
      </c>
      <c r="AA38" s="1" t="s">
        <v>46</v>
      </c>
      <c r="AB38" s="1">
        <v>8</v>
      </c>
      <c r="AC38" s="1">
        <v>1</v>
      </c>
      <c r="AD38" s="1">
        <v>0</v>
      </c>
      <c r="AE38" s="1">
        <v>0</v>
      </c>
      <c r="AF38" s="1">
        <v>9</v>
      </c>
      <c r="AG38" s="1">
        <v>1995</v>
      </c>
      <c r="AH38" s="1">
        <v>2003</v>
      </c>
      <c r="AI38" s="1">
        <v>1995</v>
      </c>
      <c r="AJ38" s="1">
        <v>2019.5194444444401</v>
      </c>
      <c r="AK38" s="1">
        <v>0.720683304602866</v>
      </c>
      <c r="AL38" s="1">
        <v>0.29884991026422603</v>
      </c>
      <c r="AM38" s="1">
        <v>0.44714683380354198</v>
      </c>
      <c r="AN38" s="1">
        <v>906.24387051801705</v>
      </c>
      <c r="AO38" s="1">
        <v>390.78152264750901</v>
      </c>
      <c r="AP38" s="1">
        <v>515.46234787050696</v>
      </c>
      <c r="AQ38" s="1">
        <v>0.17104405728785901</v>
      </c>
      <c r="AR38" s="1">
        <v>501.90942102140099</v>
      </c>
      <c r="AS38" s="1">
        <v>1142.1259586460401</v>
      </c>
      <c r="AT38" s="1">
        <v>4452.5365429721896</v>
      </c>
      <c r="AU38" s="1">
        <v>206.84254516651899</v>
      </c>
      <c r="AV38" s="1">
        <v>0.13352646463204901</v>
      </c>
      <c r="AW38" s="1">
        <v>309.95784511326099</v>
      </c>
      <c r="AX38" s="1">
        <v>24.085000000000001</v>
      </c>
      <c r="AY38" s="1">
        <v>68.414999999999907</v>
      </c>
      <c r="AZ38" s="1">
        <v>7.5</v>
      </c>
      <c r="BA38" s="1">
        <v>75.914999999999907</v>
      </c>
      <c r="BB38" s="1">
        <v>1888.0634096154899</v>
      </c>
      <c r="BC38" s="1">
        <v>0.26705292926409702</v>
      </c>
      <c r="BD38" s="1">
        <v>0.205595797411082</v>
      </c>
      <c r="BE38" s="1">
        <v>0.30128155258195399</v>
      </c>
      <c r="BF38" s="1">
        <v>0.385690416158606</v>
      </c>
      <c r="BG38" s="1">
        <v>0.53720192488156504</v>
      </c>
      <c r="BH38" s="1">
        <v>0.10393037293433199</v>
      </c>
      <c r="BI38" s="1">
        <v>3.3944973134533898</v>
      </c>
      <c r="BJ38" s="1">
        <v>9.5217893910490297</v>
      </c>
      <c r="BK38" s="1">
        <v>50.193035750835101</v>
      </c>
      <c r="BL38" s="1">
        <v>130.57873057777201</v>
      </c>
      <c r="BM38" s="1">
        <v>1031.79190041164</v>
      </c>
      <c r="BN38" s="1">
        <v>39.105691023912797</v>
      </c>
      <c r="BO38" s="1">
        <v>7.1573507861925706E-2</v>
      </c>
      <c r="BP38" s="1">
        <v>0.55302959852997702</v>
      </c>
      <c r="BQ38" s="1">
        <v>73.555845756187907</v>
      </c>
      <c r="BR38" s="1">
        <v>33.785967470691901</v>
      </c>
      <c r="BS38" s="1">
        <v>15.679751099041701</v>
      </c>
      <c r="BT38" s="1">
        <v>13.1261576630531</v>
      </c>
      <c r="BU38" s="1">
        <v>1.6609699130069899</v>
      </c>
      <c r="BV38" s="1">
        <v>0.43402086236368398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2.31797437063293E-2</v>
      </c>
      <c r="CG38" s="1">
        <v>1.41531991813009E-2</v>
      </c>
      <c r="CH38" s="1">
        <v>0.29493136884147497</v>
      </c>
      <c r="CI38" s="1">
        <v>113.11045423895099</v>
      </c>
      <c r="CJ38" s="1">
        <v>8.2754556644305701</v>
      </c>
      <c r="CK38" s="1">
        <v>104.83499857452</v>
      </c>
      <c r="CL38" s="1">
        <v>0.12847847027488801</v>
      </c>
      <c r="CM38" s="1">
        <v>12.8345717658036</v>
      </c>
      <c r="CN38" s="1">
        <v>21.6942190159577</v>
      </c>
      <c r="CO38" s="1">
        <v>30.0436630085415</v>
      </c>
      <c r="CP38" s="1">
        <v>3.88219107615061</v>
      </c>
      <c r="CQ38" s="1">
        <v>2.78908786219903E-3</v>
      </c>
      <c r="CR38" s="1">
        <v>14.6140975123737</v>
      </c>
      <c r="CS38" s="1">
        <v>0</v>
      </c>
      <c r="CT38" s="1">
        <v>0</v>
      </c>
      <c r="CU38" s="1">
        <v>0</v>
      </c>
      <c r="CV38" s="1">
        <v>0</v>
      </c>
      <c r="CW38" s="1">
        <v>4.1384319687668203</v>
      </c>
      <c r="CX38" s="1">
        <v>5.5781757243985102E-3</v>
      </c>
      <c r="CY38" s="1">
        <v>1.6230886930994699E-3</v>
      </c>
      <c r="CZ38" s="1">
        <v>2.5383515836692599E-2</v>
      </c>
      <c r="DA38" s="1">
        <v>2.03961232500697E-2</v>
      </c>
      <c r="DB38" s="1">
        <v>1.7223481654015601E-2</v>
      </c>
      <c r="DC38" s="1">
        <v>2.8612422366358402E-3</v>
      </c>
      <c r="DD38" s="1">
        <v>1.7765013466757299E-2</v>
      </c>
      <c r="DE38" s="1">
        <v>3.12550236928507E-2</v>
      </c>
      <c r="DF38" s="1">
        <v>0.15257011565567599</v>
      </c>
      <c r="DG38" s="1">
        <v>0.61465046593537997</v>
      </c>
      <c r="DH38" s="1">
        <v>3.9648280055354999</v>
      </c>
      <c r="DI38" s="1">
        <v>9.6235072950934905E-2</v>
      </c>
      <c r="DJ38" s="2">
        <v>1.4250010802212799E-4</v>
      </c>
      <c r="DK38" s="1">
        <v>1.2350009361915899E-3</v>
      </c>
      <c r="DL38" s="1">
        <v>4.9732537699710998E-2</v>
      </c>
      <c r="DM38" s="1">
        <v>2.06150156271982E-2</v>
      </c>
      <c r="DN38" s="1">
        <v>7.2675055091264299E-3</v>
      </c>
      <c r="DO38" s="1">
        <v>2.71225205602099E-2</v>
      </c>
      <c r="DP38" s="1">
        <v>4.4650033846932802E-3</v>
      </c>
      <c r="DQ38" s="1">
        <v>4.5039577705916697E-2</v>
      </c>
    </row>
    <row r="39" spans="1:121" x14ac:dyDescent="0.25">
      <c r="A39" s="1" t="s">
        <v>62</v>
      </c>
      <c r="B39" s="1">
        <v>4</v>
      </c>
      <c r="C39" s="1" t="s">
        <v>34</v>
      </c>
      <c r="D39" s="1" t="s">
        <v>65</v>
      </c>
      <c r="E39" s="1">
        <v>12.1197916666666</v>
      </c>
      <c r="F39" s="1">
        <v>2.2903E-2</v>
      </c>
      <c r="G39" s="1">
        <v>7.6566666666666601</v>
      </c>
      <c r="H39" s="1">
        <v>17.899999999999999</v>
      </c>
      <c r="I39" s="1" t="s">
        <v>31</v>
      </c>
      <c r="J39" s="1" t="s">
        <v>31</v>
      </c>
      <c r="K39" s="1" t="s">
        <v>31</v>
      </c>
      <c r="L39" s="1">
        <v>1.04212584576388</v>
      </c>
      <c r="M39" s="1">
        <v>1.08808549797756E-2</v>
      </c>
      <c r="N39" s="1">
        <v>0.250720174817676</v>
      </c>
      <c r="O39" s="1">
        <v>0.12792042981336599</v>
      </c>
      <c r="P39" s="1" t="s">
        <v>31</v>
      </c>
      <c r="Q39" s="1" t="s">
        <v>31</v>
      </c>
      <c r="R39" s="1" t="s">
        <v>31</v>
      </c>
      <c r="S39" s="1">
        <v>5.0000000000000001E-3</v>
      </c>
      <c r="T39" s="1">
        <v>0</v>
      </c>
      <c r="U39" s="2">
        <v>2.95434121186076E-4</v>
      </c>
      <c r="V39" s="2">
        <v>4.7498926997137299E-4</v>
      </c>
      <c r="W39" s="2">
        <v>1.15878972400779E-4</v>
      </c>
      <c r="X39" s="1" t="s">
        <v>32</v>
      </c>
      <c r="Y39" s="1">
        <v>24.5194444444443</v>
      </c>
      <c r="Z39" s="1">
        <v>0.11111111111111099</v>
      </c>
      <c r="AA39" s="1" t="s">
        <v>46</v>
      </c>
      <c r="AB39" s="1">
        <v>8</v>
      </c>
      <c r="AC39" s="1">
        <v>1</v>
      </c>
      <c r="AD39" s="1">
        <v>0</v>
      </c>
      <c r="AE39" s="1">
        <v>0</v>
      </c>
      <c r="AF39" s="1">
        <v>9</v>
      </c>
      <c r="AG39" s="1">
        <v>1995</v>
      </c>
      <c r="AH39" s="1">
        <v>2003</v>
      </c>
      <c r="AI39" s="1">
        <v>1995</v>
      </c>
      <c r="AJ39" s="1">
        <v>2019.5194444444401</v>
      </c>
      <c r="AK39" s="1">
        <v>0.720683304602866</v>
      </c>
      <c r="AL39" s="1">
        <v>0.29884991026422603</v>
      </c>
      <c r="AM39" s="1">
        <v>0.44714683380354198</v>
      </c>
      <c r="AN39" s="1">
        <v>906.24387051801705</v>
      </c>
      <c r="AO39" s="1">
        <v>390.78152264750901</v>
      </c>
      <c r="AP39" s="1">
        <v>515.46234787050696</v>
      </c>
      <c r="AQ39" s="1">
        <v>0.17104405728785901</v>
      </c>
      <c r="AR39" s="1">
        <v>501.90942102140099</v>
      </c>
      <c r="AS39" s="1">
        <v>1142.1259586460401</v>
      </c>
      <c r="AT39" s="1">
        <v>4452.5365429721896</v>
      </c>
      <c r="AU39" s="1">
        <v>206.84254516651899</v>
      </c>
      <c r="AV39" s="1">
        <v>0.13352646463204901</v>
      </c>
      <c r="AW39" s="1">
        <v>309.95784511326099</v>
      </c>
      <c r="AX39" s="1">
        <v>24.085000000000001</v>
      </c>
      <c r="AY39" s="1">
        <v>68.414999999999907</v>
      </c>
      <c r="AZ39" s="1">
        <v>7.5</v>
      </c>
      <c r="BA39" s="1">
        <v>75.914999999999907</v>
      </c>
      <c r="BB39" s="1">
        <v>1888.0634096154899</v>
      </c>
      <c r="BC39" s="1">
        <v>0.26705292926409702</v>
      </c>
      <c r="BD39" s="1">
        <v>0.205595797411082</v>
      </c>
      <c r="BE39" s="1">
        <v>0.30128155258195399</v>
      </c>
      <c r="BF39" s="1">
        <v>0.385690416158606</v>
      </c>
      <c r="BG39" s="1">
        <v>0.53720192488156504</v>
      </c>
      <c r="BH39" s="1">
        <v>0.10393037293433199</v>
      </c>
      <c r="BI39" s="1">
        <v>3.3944973134533898</v>
      </c>
      <c r="BJ39" s="1">
        <v>9.5217893910490297</v>
      </c>
      <c r="BK39" s="1">
        <v>50.193035750835101</v>
      </c>
      <c r="BL39" s="1">
        <v>130.57873057777201</v>
      </c>
      <c r="BM39" s="1">
        <v>1031.79190041164</v>
      </c>
      <c r="BN39" s="1">
        <v>39.105691023912797</v>
      </c>
      <c r="BO39" s="1">
        <v>7.1573507861925706E-2</v>
      </c>
      <c r="BP39" s="1">
        <v>0.55302959852997702</v>
      </c>
      <c r="BQ39" s="1">
        <v>73.555845756187907</v>
      </c>
      <c r="BR39" s="1">
        <v>33.785967470691901</v>
      </c>
      <c r="BS39" s="1">
        <v>15.679751099041701</v>
      </c>
      <c r="BT39" s="1">
        <v>13.1261576630531</v>
      </c>
      <c r="BU39" s="1">
        <v>1.6609699130069899</v>
      </c>
      <c r="BV39" s="1">
        <v>0.43402086236368398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2.31797437063293E-2</v>
      </c>
      <c r="CG39" s="1">
        <v>1.41531991813009E-2</v>
      </c>
      <c r="CH39" s="1">
        <v>0.29493136884147497</v>
      </c>
      <c r="CI39" s="1">
        <v>113.11045423895099</v>
      </c>
      <c r="CJ39" s="1">
        <v>8.2754556644305701</v>
      </c>
      <c r="CK39" s="1">
        <v>104.83499857452</v>
      </c>
      <c r="CL39" s="1">
        <v>0.12847847027488801</v>
      </c>
      <c r="CM39" s="1">
        <v>12.8345717658036</v>
      </c>
      <c r="CN39" s="1">
        <v>21.6942190159577</v>
      </c>
      <c r="CO39" s="1">
        <v>30.0436630085415</v>
      </c>
      <c r="CP39" s="1">
        <v>3.88219107615061</v>
      </c>
      <c r="CQ39" s="1">
        <v>2.78908786219903E-3</v>
      </c>
      <c r="CR39" s="1">
        <v>14.6140975123737</v>
      </c>
      <c r="CS39" s="1">
        <v>0</v>
      </c>
      <c r="CT39" s="1">
        <v>0</v>
      </c>
      <c r="CU39" s="1">
        <v>0</v>
      </c>
      <c r="CV39" s="1">
        <v>0</v>
      </c>
      <c r="CW39" s="1">
        <v>4.1384319687668203</v>
      </c>
      <c r="CX39" s="1">
        <v>5.5781757243985102E-3</v>
      </c>
      <c r="CY39" s="1">
        <v>1.6230886930994699E-3</v>
      </c>
      <c r="CZ39" s="1">
        <v>2.5383515836692599E-2</v>
      </c>
      <c r="DA39" s="1">
        <v>2.03961232500697E-2</v>
      </c>
      <c r="DB39" s="1">
        <v>1.7223481654015601E-2</v>
      </c>
      <c r="DC39" s="1">
        <v>2.8612422366358402E-3</v>
      </c>
      <c r="DD39" s="1">
        <v>1.7765013466757299E-2</v>
      </c>
      <c r="DE39" s="1">
        <v>3.12550236928507E-2</v>
      </c>
      <c r="DF39" s="1">
        <v>0.15257011565567599</v>
      </c>
      <c r="DG39" s="1">
        <v>0.61465046593537997</v>
      </c>
      <c r="DH39" s="1">
        <v>3.9648280055354999</v>
      </c>
      <c r="DI39" s="1">
        <v>9.6235072950934905E-2</v>
      </c>
      <c r="DJ39" s="2">
        <v>1.4250010802212799E-4</v>
      </c>
      <c r="DK39" s="1">
        <v>1.2350009361915899E-3</v>
      </c>
      <c r="DL39" s="1">
        <v>4.9732537699710998E-2</v>
      </c>
      <c r="DM39" s="1">
        <v>2.06150156271982E-2</v>
      </c>
      <c r="DN39" s="1">
        <v>7.2675055091264299E-3</v>
      </c>
      <c r="DO39" s="1">
        <v>2.71225205602099E-2</v>
      </c>
      <c r="DP39" s="1">
        <v>4.4650033846932802E-3</v>
      </c>
      <c r="DQ39" s="1">
        <v>4.5039577705916697E-2</v>
      </c>
    </row>
    <row r="40" spans="1:121" x14ac:dyDescent="0.25">
      <c r="A40" s="1" t="s">
        <v>66</v>
      </c>
      <c r="B40" s="1">
        <v>2</v>
      </c>
      <c r="C40" s="1" t="s">
        <v>29</v>
      </c>
      <c r="D40" s="1" t="s">
        <v>67</v>
      </c>
      <c r="E40" s="1">
        <v>12.8680555555555</v>
      </c>
      <c r="F40" s="1">
        <v>0.89026836356883798</v>
      </c>
      <c r="G40" s="1">
        <v>0.206666666666666</v>
      </c>
      <c r="H40" s="1">
        <v>21.6</v>
      </c>
      <c r="I40" s="1" t="s">
        <v>31</v>
      </c>
      <c r="J40" s="1" t="s">
        <v>31</v>
      </c>
      <c r="K40" s="1" t="s">
        <v>31</v>
      </c>
      <c r="L40" s="1">
        <v>1.38888888888821E-3</v>
      </c>
      <c r="M40" s="1">
        <v>0.53235413461535896</v>
      </c>
      <c r="N40" s="1">
        <v>4.6188021535170001E-2</v>
      </c>
      <c r="O40" s="1">
        <v>0</v>
      </c>
      <c r="P40" s="1" t="s">
        <v>31</v>
      </c>
      <c r="Q40" s="1" t="s">
        <v>31</v>
      </c>
      <c r="R40" s="1" t="s">
        <v>31</v>
      </c>
      <c r="S40" s="1">
        <v>1.03E-2</v>
      </c>
      <c r="T40" s="1">
        <v>0</v>
      </c>
      <c r="U40" s="1">
        <v>1.3676788381426001E-2</v>
      </c>
      <c r="V40" s="1">
        <v>2.19508299771747E-2</v>
      </c>
      <c r="W40" s="1">
        <v>5.4027467856773799E-3</v>
      </c>
      <c r="X40" s="1" t="s">
        <v>32</v>
      </c>
      <c r="Y40" s="1">
        <v>9.5805555555555202</v>
      </c>
      <c r="Z40" s="1">
        <v>0.55555555555555503</v>
      </c>
      <c r="AA40" s="1" t="s">
        <v>39</v>
      </c>
      <c r="AB40" s="1">
        <v>4</v>
      </c>
      <c r="AC40" s="1">
        <v>5</v>
      </c>
      <c r="AD40" s="1">
        <v>0</v>
      </c>
      <c r="AE40" s="1">
        <v>0</v>
      </c>
      <c r="AF40" s="1">
        <v>9</v>
      </c>
      <c r="AG40" s="1">
        <v>2009</v>
      </c>
      <c r="AH40" s="1">
        <v>2011</v>
      </c>
      <c r="AI40" s="1">
        <v>2009</v>
      </c>
      <c r="AJ40" s="1">
        <v>2018.5805555555501</v>
      </c>
      <c r="AK40" s="1">
        <v>0.83619163140850095</v>
      </c>
      <c r="AL40" s="1">
        <v>0.25974466131806201</v>
      </c>
      <c r="AM40" s="1">
        <v>1.5382287032965001</v>
      </c>
      <c r="AN40" s="1">
        <v>1175</v>
      </c>
      <c r="AO40" s="1">
        <v>535.64516129032199</v>
      </c>
      <c r="AP40" s="1">
        <v>639.35483870967698</v>
      </c>
      <c r="AQ40" s="1">
        <v>0.212389380530974</v>
      </c>
      <c r="AR40" s="1">
        <v>742</v>
      </c>
      <c r="AS40" s="1">
        <v>2140</v>
      </c>
      <c r="AT40" s="1">
        <v>3540</v>
      </c>
      <c r="AU40" s="1">
        <v>206</v>
      </c>
      <c r="AV40" s="1">
        <v>0.167999496856852</v>
      </c>
      <c r="AW40" s="1">
        <v>207.58617724867699</v>
      </c>
      <c r="AX40" s="1" t="s">
        <v>31</v>
      </c>
      <c r="AY40" s="1" t="s">
        <v>31</v>
      </c>
      <c r="AZ40" s="1" t="s">
        <v>31</v>
      </c>
      <c r="BA40" s="1" t="s">
        <v>31</v>
      </c>
      <c r="BB40" s="1">
        <v>2208.3399470899399</v>
      </c>
      <c r="BC40" s="1">
        <v>0.33599899371370501</v>
      </c>
      <c r="BD40" s="1">
        <v>0.37864042281756799</v>
      </c>
      <c r="BE40" s="1">
        <v>0.31732692219549902</v>
      </c>
      <c r="BF40" s="1">
        <v>0.30198974977389198</v>
      </c>
      <c r="BG40" s="1">
        <v>1.25381879054195</v>
      </c>
      <c r="BH40" s="1">
        <v>0.12127778651021801</v>
      </c>
      <c r="BI40" s="1">
        <v>3.855</v>
      </c>
      <c r="BJ40" s="1" t="s">
        <v>31</v>
      </c>
      <c r="BK40" s="1" t="s">
        <v>31</v>
      </c>
      <c r="BL40" s="1" t="s">
        <v>31</v>
      </c>
      <c r="BM40" s="1" t="s">
        <v>31</v>
      </c>
      <c r="BN40" s="1" t="s">
        <v>31</v>
      </c>
      <c r="BO40" s="1" t="s">
        <v>31</v>
      </c>
      <c r="BP40" s="1" t="s">
        <v>31</v>
      </c>
      <c r="BQ40" s="1" t="s">
        <v>31</v>
      </c>
      <c r="BR40" s="1" t="s">
        <v>31</v>
      </c>
      <c r="BS40" s="1" t="s">
        <v>31</v>
      </c>
      <c r="BT40" s="1" t="s">
        <v>31</v>
      </c>
      <c r="BU40" s="1" t="s">
        <v>31</v>
      </c>
      <c r="BV40" s="1">
        <v>0.455868222374742</v>
      </c>
      <c r="BW40" s="1" t="s">
        <v>31</v>
      </c>
      <c r="BX40" s="1" t="s">
        <v>31</v>
      </c>
      <c r="BY40" s="1" t="s">
        <v>31</v>
      </c>
      <c r="BZ40" s="1" t="s">
        <v>31</v>
      </c>
      <c r="CA40" s="1" t="s">
        <v>31</v>
      </c>
      <c r="CB40" s="1" t="s">
        <v>31</v>
      </c>
      <c r="CC40" s="1" t="s">
        <v>31</v>
      </c>
      <c r="CD40" s="1" t="s">
        <v>31</v>
      </c>
      <c r="CE40" s="1" t="s">
        <v>31</v>
      </c>
      <c r="CF40" s="1" t="s">
        <v>31</v>
      </c>
      <c r="CG40" s="1" t="s">
        <v>31</v>
      </c>
      <c r="CH40" s="1" t="s">
        <v>31</v>
      </c>
      <c r="CI40" s="1" t="s">
        <v>31</v>
      </c>
      <c r="CJ40" s="1" t="s">
        <v>31</v>
      </c>
      <c r="CK40" s="1" t="s">
        <v>31</v>
      </c>
      <c r="CL40" s="1" t="s">
        <v>31</v>
      </c>
      <c r="CM40" s="1" t="s">
        <v>31</v>
      </c>
      <c r="CN40" s="1" t="s">
        <v>31</v>
      </c>
      <c r="CO40" s="1" t="s">
        <v>31</v>
      </c>
      <c r="CP40" s="1" t="s">
        <v>31</v>
      </c>
      <c r="CQ40" s="1" t="s">
        <v>31</v>
      </c>
      <c r="CR40" s="1" t="s">
        <v>31</v>
      </c>
      <c r="CS40" s="1" t="s">
        <v>31</v>
      </c>
      <c r="CT40" s="1" t="s">
        <v>31</v>
      </c>
      <c r="CU40" s="1" t="s">
        <v>31</v>
      </c>
      <c r="CV40" s="1" t="s">
        <v>31</v>
      </c>
      <c r="CW40" s="1" t="s">
        <v>31</v>
      </c>
      <c r="CX40" s="1" t="s">
        <v>31</v>
      </c>
      <c r="CY40" s="1" t="s">
        <v>31</v>
      </c>
      <c r="CZ40" s="1" t="s">
        <v>31</v>
      </c>
      <c r="DA40" s="1" t="s">
        <v>31</v>
      </c>
      <c r="DB40" s="1" t="s">
        <v>31</v>
      </c>
      <c r="DC40" s="1" t="s">
        <v>31</v>
      </c>
      <c r="DD40" s="1" t="s">
        <v>31</v>
      </c>
      <c r="DE40" s="1" t="s">
        <v>31</v>
      </c>
      <c r="DF40" s="1" t="s">
        <v>31</v>
      </c>
      <c r="DG40" s="1" t="s">
        <v>31</v>
      </c>
      <c r="DH40" s="1" t="s">
        <v>31</v>
      </c>
      <c r="DI40" s="1" t="s">
        <v>31</v>
      </c>
      <c r="DJ40" s="1" t="s">
        <v>31</v>
      </c>
      <c r="DK40" s="1" t="s">
        <v>31</v>
      </c>
      <c r="DL40" s="1" t="s">
        <v>31</v>
      </c>
      <c r="DM40" s="1" t="s">
        <v>31</v>
      </c>
      <c r="DN40" s="1" t="s">
        <v>31</v>
      </c>
      <c r="DO40" s="1" t="s">
        <v>31</v>
      </c>
      <c r="DP40" s="1" t="s">
        <v>31</v>
      </c>
      <c r="DQ40" s="1" t="s">
        <v>31</v>
      </c>
    </row>
    <row r="41" spans="1:121" x14ac:dyDescent="0.25">
      <c r="A41" s="1" t="s">
        <v>66</v>
      </c>
      <c r="B41" s="1">
        <v>2</v>
      </c>
      <c r="C41" s="1" t="s">
        <v>29</v>
      </c>
      <c r="D41" s="1" t="s">
        <v>67</v>
      </c>
      <c r="E41" s="1">
        <v>12.8680555555555</v>
      </c>
      <c r="F41" s="1">
        <v>0.89026836356883798</v>
      </c>
      <c r="G41" s="1">
        <v>0.206666666666666</v>
      </c>
      <c r="H41" s="1">
        <v>21.6</v>
      </c>
      <c r="I41" s="1" t="s">
        <v>31</v>
      </c>
      <c r="J41" s="1" t="s">
        <v>31</v>
      </c>
      <c r="K41" s="1" t="s">
        <v>31</v>
      </c>
      <c r="L41" s="1">
        <v>1.38888888888821E-3</v>
      </c>
      <c r="M41" s="1">
        <v>0.53235413461535896</v>
      </c>
      <c r="N41" s="1">
        <v>4.6188021535170001E-2</v>
      </c>
      <c r="O41" s="1">
        <v>0</v>
      </c>
      <c r="P41" s="1" t="s">
        <v>31</v>
      </c>
      <c r="Q41" s="1" t="s">
        <v>31</v>
      </c>
      <c r="R41" s="1" t="s">
        <v>31</v>
      </c>
      <c r="S41" s="1">
        <v>1.03E-2</v>
      </c>
      <c r="T41" s="1">
        <v>0</v>
      </c>
      <c r="U41" s="1">
        <v>1.3676788381426001E-2</v>
      </c>
      <c r="V41" s="1">
        <v>2.19508299771747E-2</v>
      </c>
      <c r="W41" s="1">
        <v>5.4027467856773799E-3</v>
      </c>
      <c r="X41" s="1" t="s">
        <v>32</v>
      </c>
      <c r="Y41" s="1">
        <v>9.6833333333333904</v>
      </c>
      <c r="Z41" s="1">
        <v>0.55555555555555503</v>
      </c>
      <c r="AA41" s="1" t="s">
        <v>39</v>
      </c>
      <c r="AB41" s="1">
        <v>4</v>
      </c>
      <c r="AC41" s="1">
        <v>5</v>
      </c>
      <c r="AD41" s="1">
        <v>0</v>
      </c>
      <c r="AE41" s="1">
        <v>0</v>
      </c>
      <c r="AF41" s="1">
        <v>9</v>
      </c>
      <c r="AG41" s="1">
        <v>2009</v>
      </c>
      <c r="AH41" s="1">
        <v>2011</v>
      </c>
      <c r="AI41" s="1">
        <v>2009</v>
      </c>
      <c r="AJ41" s="1">
        <v>2018.68333333333</v>
      </c>
      <c r="AK41" s="1">
        <v>0.844629782127579</v>
      </c>
      <c r="AL41" s="1">
        <v>0.28802045117022101</v>
      </c>
      <c r="AM41" s="1" t="s">
        <v>31</v>
      </c>
      <c r="AN41" s="1">
        <v>1066.5585408030299</v>
      </c>
      <c r="AO41" s="1">
        <v>454.14232518499898</v>
      </c>
      <c r="AP41" s="1">
        <v>612.41621561803595</v>
      </c>
      <c r="AQ41" s="1">
        <v>9.8744225439590202E-2</v>
      </c>
      <c r="AR41" s="1">
        <v>546.83401556002605</v>
      </c>
      <c r="AS41" s="1">
        <v>1780.78817862859</v>
      </c>
      <c r="AT41" s="1">
        <v>2774.7429373914101</v>
      </c>
      <c r="AU41" s="1">
        <v>166.885862516081</v>
      </c>
      <c r="AV41" s="1">
        <v>0.15529312339863599</v>
      </c>
      <c r="AW41" s="1">
        <v>223.00080262093101</v>
      </c>
      <c r="AX41" s="1">
        <v>5.7</v>
      </c>
      <c r="AY41" s="1">
        <v>83.05</v>
      </c>
      <c r="AZ41" s="1">
        <v>11.25</v>
      </c>
      <c r="BA41" s="1">
        <v>94.3</v>
      </c>
      <c r="BB41" s="1">
        <v>1790.31353065338</v>
      </c>
      <c r="BC41" s="1">
        <v>0.31058624679727298</v>
      </c>
      <c r="BD41" s="1">
        <v>0.36320543185174697</v>
      </c>
      <c r="BE41" s="1">
        <v>0.36950871042097799</v>
      </c>
      <c r="BF41" s="1">
        <v>0.27150041964974098</v>
      </c>
      <c r="BG41" s="1">
        <v>1.3354414775388901</v>
      </c>
      <c r="BH41" s="1">
        <v>0.13331657358918</v>
      </c>
      <c r="BI41" s="1">
        <v>5.5786830418056299</v>
      </c>
      <c r="BJ41" s="1">
        <v>9.5726184421447993</v>
      </c>
      <c r="BK41" s="1">
        <v>53.239789679659197</v>
      </c>
      <c r="BL41" s="1">
        <v>193.05681878659999</v>
      </c>
      <c r="BM41" s="1">
        <v>1948.74486351737</v>
      </c>
      <c r="BN41" s="1">
        <v>23.279778693048002</v>
      </c>
      <c r="BO41" s="1">
        <v>0.20077030602818199</v>
      </c>
      <c r="BP41" s="1">
        <v>0.44138375517745199</v>
      </c>
      <c r="BQ41" s="1">
        <v>14.917032949728201</v>
      </c>
      <c r="BR41" s="1">
        <v>17.357979532760499</v>
      </c>
      <c r="BS41" s="1">
        <v>19.610663920855899</v>
      </c>
      <c r="BT41" s="1">
        <v>18.5012572019413</v>
      </c>
      <c r="BU41" s="1">
        <v>0.73864420155529498</v>
      </c>
      <c r="BV41" s="1">
        <v>0.42576621527477498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0.103120846223188</v>
      </c>
      <c r="CG41" s="1">
        <v>1.6919641944182801E-2</v>
      </c>
      <c r="CH41" s="1" t="s">
        <v>31</v>
      </c>
      <c r="CI41" s="1">
        <v>12.565606195924801</v>
      </c>
      <c r="CJ41" s="1">
        <v>22.384798526956001</v>
      </c>
      <c r="CK41" s="1">
        <v>20.030115324036</v>
      </c>
      <c r="CL41" s="1">
        <v>7.2381750227843798E-3</v>
      </c>
      <c r="CM41" s="1">
        <v>34.5804567141546</v>
      </c>
      <c r="CN41" s="1">
        <v>110.10416394936</v>
      </c>
      <c r="CO41" s="1">
        <v>116.476118534753</v>
      </c>
      <c r="CP41" s="1">
        <v>8.7428024197479495</v>
      </c>
      <c r="CQ41" s="1">
        <v>1.42998448437739E-3</v>
      </c>
      <c r="CR41" s="1">
        <v>4.9367330226645301</v>
      </c>
      <c r="CS41" s="1">
        <v>0</v>
      </c>
      <c r="CT41" s="1">
        <v>0</v>
      </c>
      <c r="CU41" s="1">
        <v>0</v>
      </c>
      <c r="CV41" s="1">
        <v>0</v>
      </c>
      <c r="CW41" s="1">
        <v>86.495625278672406</v>
      </c>
      <c r="CX41" s="1">
        <v>2.8599689687547102E-3</v>
      </c>
      <c r="CY41" s="1">
        <v>1.20626878489447E-2</v>
      </c>
      <c r="CZ41" s="1">
        <v>4.6102902970519E-2</v>
      </c>
      <c r="DA41" s="1">
        <v>3.7194017751636501E-3</v>
      </c>
      <c r="DB41" s="1">
        <v>6.1011616518420901E-2</v>
      </c>
      <c r="DC41" s="1">
        <v>1.6705400410782799E-2</v>
      </c>
      <c r="DD41" s="1">
        <v>0.17245140079945101</v>
      </c>
      <c r="DE41" s="1">
        <v>0.24193424675262601</v>
      </c>
      <c r="DF41" s="1">
        <v>1.2136895188302901</v>
      </c>
      <c r="DG41" s="1">
        <v>1.89512369480481</v>
      </c>
      <c r="DH41" s="1">
        <v>1.92994883205336</v>
      </c>
      <c r="DI41" s="1">
        <v>7.36685595648124E-3</v>
      </c>
      <c r="DJ41" s="2">
        <v>8.3714272232736397E-4</v>
      </c>
      <c r="DK41" s="2">
        <v>6.6971417786198097E-4</v>
      </c>
      <c r="DL41" s="1">
        <v>0.265206814433325</v>
      </c>
      <c r="DM41" s="1">
        <v>0.34339594469870999</v>
      </c>
      <c r="DN41" s="1">
        <v>2.2100567869446801E-2</v>
      </c>
      <c r="DO41" s="1">
        <v>0.20024453918072199</v>
      </c>
      <c r="DP41" s="1">
        <v>2.2435424958375201E-2</v>
      </c>
      <c r="DQ41" s="1">
        <v>1.9277358697651799E-2</v>
      </c>
    </row>
    <row r="42" spans="1:121" x14ac:dyDescent="0.25">
      <c r="A42" s="1" t="s">
        <v>66</v>
      </c>
      <c r="B42" s="1">
        <v>2</v>
      </c>
      <c r="C42" s="1" t="s">
        <v>34</v>
      </c>
      <c r="D42" s="1" t="s">
        <v>67</v>
      </c>
      <c r="E42" s="1">
        <v>12.8638888888888</v>
      </c>
      <c r="F42" s="1">
        <v>0.43789400000000001</v>
      </c>
      <c r="G42" s="1">
        <v>4.47</v>
      </c>
      <c r="H42" s="1">
        <v>21.7</v>
      </c>
      <c r="I42" s="1" t="s">
        <v>31</v>
      </c>
      <c r="J42" s="1" t="s">
        <v>31</v>
      </c>
      <c r="K42" s="1" t="s">
        <v>31</v>
      </c>
      <c r="L42" s="1">
        <v>1.38888888888821E-3</v>
      </c>
      <c r="M42" s="1">
        <v>0.24654983032441899</v>
      </c>
      <c r="N42" s="1">
        <v>0.25238858928247898</v>
      </c>
      <c r="O42" s="1">
        <v>0</v>
      </c>
      <c r="P42" s="1" t="s">
        <v>31</v>
      </c>
      <c r="Q42" s="1" t="s">
        <v>31</v>
      </c>
      <c r="R42" s="1" t="s">
        <v>31</v>
      </c>
      <c r="S42" s="1">
        <v>1.03E-2</v>
      </c>
      <c r="T42" s="1">
        <v>0</v>
      </c>
      <c r="U42" s="1">
        <v>6.6479740876700501E-3</v>
      </c>
      <c r="V42" s="1">
        <v>1.0481182419209201E-2</v>
      </c>
      <c r="W42" s="1">
        <v>2.8147657561308102E-3</v>
      </c>
      <c r="X42" s="1" t="s">
        <v>32</v>
      </c>
      <c r="Y42" s="1">
        <v>9.5805555555555202</v>
      </c>
      <c r="Z42" s="1">
        <v>0.55555555555555503</v>
      </c>
      <c r="AA42" s="1" t="s">
        <v>39</v>
      </c>
      <c r="AB42" s="1">
        <v>4</v>
      </c>
      <c r="AC42" s="1">
        <v>5</v>
      </c>
      <c r="AD42" s="1">
        <v>0</v>
      </c>
      <c r="AE42" s="1">
        <v>0</v>
      </c>
      <c r="AF42" s="1">
        <v>9</v>
      </c>
      <c r="AG42" s="1">
        <v>2009</v>
      </c>
      <c r="AH42" s="1">
        <v>2011</v>
      </c>
      <c r="AI42" s="1">
        <v>2009</v>
      </c>
      <c r="AJ42" s="1">
        <v>2018.5805555555501</v>
      </c>
      <c r="AK42" s="1">
        <v>0.83619163140850095</v>
      </c>
      <c r="AL42" s="1">
        <v>0.25974466131806201</v>
      </c>
      <c r="AM42" s="1">
        <v>1.5382287032965001</v>
      </c>
      <c r="AN42" s="1">
        <v>1175</v>
      </c>
      <c r="AO42" s="1">
        <v>535.64516129032199</v>
      </c>
      <c r="AP42" s="1">
        <v>639.35483870967698</v>
      </c>
      <c r="AQ42" s="1">
        <v>0.212389380530974</v>
      </c>
      <c r="AR42" s="1">
        <v>742</v>
      </c>
      <c r="AS42" s="1">
        <v>2140</v>
      </c>
      <c r="AT42" s="1">
        <v>3540</v>
      </c>
      <c r="AU42" s="1">
        <v>206</v>
      </c>
      <c r="AV42" s="1">
        <v>0.167999496856852</v>
      </c>
      <c r="AW42" s="1">
        <v>207.58617724867699</v>
      </c>
      <c r="AX42" s="1" t="s">
        <v>31</v>
      </c>
      <c r="AY42" s="1" t="s">
        <v>31</v>
      </c>
      <c r="AZ42" s="1" t="s">
        <v>31</v>
      </c>
      <c r="BA42" s="1" t="s">
        <v>31</v>
      </c>
      <c r="BB42" s="1">
        <v>2208.3399470899399</v>
      </c>
      <c r="BC42" s="1">
        <v>0.33599899371370501</v>
      </c>
      <c r="BD42" s="1">
        <v>0.37864042281756799</v>
      </c>
      <c r="BE42" s="1">
        <v>0.31732692219549902</v>
      </c>
      <c r="BF42" s="1">
        <v>0.30198974977389198</v>
      </c>
      <c r="BG42" s="1">
        <v>1.25381879054195</v>
      </c>
      <c r="BH42" s="1">
        <v>0.12127778651021801</v>
      </c>
      <c r="BI42" s="1">
        <v>3.855</v>
      </c>
      <c r="BJ42" s="1" t="s">
        <v>31</v>
      </c>
      <c r="BK42" s="1" t="s">
        <v>31</v>
      </c>
      <c r="BL42" s="1" t="s">
        <v>31</v>
      </c>
      <c r="BM42" s="1" t="s">
        <v>31</v>
      </c>
      <c r="BN42" s="1" t="s">
        <v>31</v>
      </c>
      <c r="BO42" s="1" t="s">
        <v>31</v>
      </c>
      <c r="BP42" s="1" t="s">
        <v>31</v>
      </c>
      <c r="BQ42" s="1" t="s">
        <v>31</v>
      </c>
      <c r="BR42" s="1" t="s">
        <v>31</v>
      </c>
      <c r="BS42" s="1" t="s">
        <v>31</v>
      </c>
      <c r="BT42" s="1" t="s">
        <v>31</v>
      </c>
      <c r="BU42" s="1" t="s">
        <v>31</v>
      </c>
      <c r="BV42" s="1">
        <v>0.455868222374742</v>
      </c>
      <c r="BW42" s="1" t="s">
        <v>31</v>
      </c>
      <c r="BX42" s="1" t="s">
        <v>31</v>
      </c>
      <c r="BY42" s="1" t="s">
        <v>31</v>
      </c>
      <c r="BZ42" s="1" t="s">
        <v>31</v>
      </c>
      <c r="CA42" s="1" t="s">
        <v>31</v>
      </c>
      <c r="CB42" s="1" t="s">
        <v>31</v>
      </c>
      <c r="CC42" s="1" t="s">
        <v>31</v>
      </c>
      <c r="CD42" s="1" t="s">
        <v>31</v>
      </c>
      <c r="CE42" s="1" t="s">
        <v>31</v>
      </c>
      <c r="CF42" s="1" t="s">
        <v>31</v>
      </c>
      <c r="CG42" s="1" t="s">
        <v>31</v>
      </c>
      <c r="CH42" s="1" t="s">
        <v>31</v>
      </c>
      <c r="CI42" s="1" t="s">
        <v>31</v>
      </c>
      <c r="CJ42" s="1" t="s">
        <v>31</v>
      </c>
      <c r="CK42" s="1" t="s">
        <v>31</v>
      </c>
      <c r="CL42" s="1" t="s">
        <v>31</v>
      </c>
      <c r="CM42" s="1" t="s">
        <v>31</v>
      </c>
      <c r="CN42" s="1" t="s">
        <v>31</v>
      </c>
      <c r="CO42" s="1" t="s">
        <v>31</v>
      </c>
      <c r="CP42" s="1" t="s">
        <v>31</v>
      </c>
      <c r="CQ42" s="1" t="s">
        <v>31</v>
      </c>
      <c r="CR42" s="1" t="s">
        <v>31</v>
      </c>
      <c r="CS42" s="1" t="s">
        <v>31</v>
      </c>
      <c r="CT42" s="1" t="s">
        <v>31</v>
      </c>
      <c r="CU42" s="1" t="s">
        <v>31</v>
      </c>
      <c r="CV42" s="1" t="s">
        <v>31</v>
      </c>
      <c r="CW42" s="1" t="s">
        <v>31</v>
      </c>
      <c r="CX42" s="1" t="s">
        <v>31</v>
      </c>
      <c r="CY42" s="1" t="s">
        <v>31</v>
      </c>
      <c r="CZ42" s="1" t="s">
        <v>31</v>
      </c>
      <c r="DA42" s="1" t="s">
        <v>31</v>
      </c>
      <c r="DB42" s="1" t="s">
        <v>31</v>
      </c>
      <c r="DC42" s="1" t="s">
        <v>31</v>
      </c>
      <c r="DD42" s="1" t="s">
        <v>31</v>
      </c>
      <c r="DE42" s="1" t="s">
        <v>31</v>
      </c>
      <c r="DF42" s="1" t="s">
        <v>31</v>
      </c>
      <c r="DG42" s="1" t="s">
        <v>31</v>
      </c>
      <c r="DH42" s="1" t="s">
        <v>31</v>
      </c>
      <c r="DI42" s="1" t="s">
        <v>31</v>
      </c>
      <c r="DJ42" s="1" t="s">
        <v>31</v>
      </c>
      <c r="DK42" s="1" t="s">
        <v>31</v>
      </c>
      <c r="DL42" s="1" t="s">
        <v>31</v>
      </c>
      <c r="DM42" s="1" t="s">
        <v>31</v>
      </c>
      <c r="DN42" s="1" t="s">
        <v>31</v>
      </c>
      <c r="DO42" s="1" t="s">
        <v>31</v>
      </c>
      <c r="DP42" s="1" t="s">
        <v>31</v>
      </c>
      <c r="DQ42" s="1" t="s">
        <v>31</v>
      </c>
    </row>
    <row r="43" spans="1:121" x14ac:dyDescent="0.25">
      <c r="A43" s="1" t="s">
        <v>66</v>
      </c>
      <c r="B43" s="1">
        <v>2</v>
      </c>
      <c r="C43" s="1" t="s">
        <v>34</v>
      </c>
      <c r="D43" s="1" t="s">
        <v>67</v>
      </c>
      <c r="E43" s="1">
        <v>12.8638888888888</v>
      </c>
      <c r="F43" s="1">
        <v>0.43789400000000001</v>
      </c>
      <c r="G43" s="1">
        <v>4.47</v>
      </c>
      <c r="H43" s="1">
        <v>21.7</v>
      </c>
      <c r="I43" s="1" t="s">
        <v>31</v>
      </c>
      <c r="J43" s="1" t="s">
        <v>31</v>
      </c>
      <c r="K43" s="1" t="s">
        <v>31</v>
      </c>
      <c r="L43" s="1">
        <v>1.38888888888821E-3</v>
      </c>
      <c r="M43" s="1">
        <v>0.24654983032441899</v>
      </c>
      <c r="N43" s="1">
        <v>0.25238858928247898</v>
      </c>
      <c r="O43" s="1">
        <v>0</v>
      </c>
      <c r="P43" s="1" t="s">
        <v>31</v>
      </c>
      <c r="Q43" s="1" t="s">
        <v>31</v>
      </c>
      <c r="R43" s="1" t="s">
        <v>31</v>
      </c>
      <c r="S43" s="1">
        <v>1.03E-2</v>
      </c>
      <c r="T43" s="1">
        <v>0</v>
      </c>
      <c r="U43" s="1">
        <v>6.6479740876700501E-3</v>
      </c>
      <c r="V43" s="1">
        <v>1.0481182419209201E-2</v>
      </c>
      <c r="W43" s="1">
        <v>2.8147657561308102E-3</v>
      </c>
      <c r="X43" s="1" t="s">
        <v>32</v>
      </c>
      <c r="Y43" s="1">
        <v>9.6833333333333904</v>
      </c>
      <c r="Z43" s="1">
        <v>0.55555555555555503</v>
      </c>
      <c r="AA43" s="1" t="s">
        <v>39</v>
      </c>
      <c r="AB43" s="1">
        <v>4</v>
      </c>
      <c r="AC43" s="1">
        <v>5</v>
      </c>
      <c r="AD43" s="1">
        <v>0</v>
      </c>
      <c r="AE43" s="1">
        <v>0</v>
      </c>
      <c r="AF43" s="1">
        <v>9</v>
      </c>
      <c r="AG43" s="1">
        <v>2009</v>
      </c>
      <c r="AH43" s="1">
        <v>2011</v>
      </c>
      <c r="AI43" s="1">
        <v>2009</v>
      </c>
      <c r="AJ43" s="1">
        <v>2018.68333333333</v>
      </c>
      <c r="AK43" s="1">
        <v>0.844629782127579</v>
      </c>
      <c r="AL43" s="1">
        <v>0.28802045117022101</v>
      </c>
      <c r="AM43" s="1" t="s">
        <v>31</v>
      </c>
      <c r="AN43" s="1">
        <v>1066.5585408030299</v>
      </c>
      <c r="AO43" s="1">
        <v>454.14232518499898</v>
      </c>
      <c r="AP43" s="1">
        <v>612.41621561803595</v>
      </c>
      <c r="AQ43" s="1">
        <v>9.8744225439590202E-2</v>
      </c>
      <c r="AR43" s="1">
        <v>546.83401556002605</v>
      </c>
      <c r="AS43" s="1">
        <v>1780.78817862859</v>
      </c>
      <c r="AT43" s="1">
        <v>2774.7429373914101</v>
      </c>
      <c r="AU43" s="1">
        <v>166.885862516081</v>
      </c>
      <c r="AV43" s="1">
        <v>0.15529312339863599</v>
      </c>
      <c r="AW43" s="1">
        <v>223.00080262093101</v>
      </c>
      <c r="AX43" s="1">
        <v>5.7</v>
      </c>
      <c r="AY43" s="1">
        <v>83.05</v>
      </c>
      <c r="AZ43" s="1">
        <v>11.25</v>
      </c>
      <c r="BA43" s="1">
        <v>94.3</v>
      </c>
      <c r="BB43" s="1">
        <v>1790.31353065338</v>
      </c>
      <c r="BC43" s="1">
        <v>0.31058624679727298</v>
      </c>
      <c r="BD43" s="1">
        <v>0.36320543185174697</v>
      </c>
      <c r="BE43" s="1">
        <v>0.36950871042097799</v>
      </c>
      <c r="BF43" s="1">
        <v>0.27150041964974098</v>
      </c>
      <c r="BG43" s="1">
        <v>1.3354414775388901</v>
      </c>
      <c r="BH43" s="1">
        <v>0.13331657358918</v>
      </c>
      <c r="BI43" s="1">
        <v>5.5786830418056299</v>
      </c>
      <c r="BJ43" s="1">
        <v>9.5726184421447993</v>
      </c>
      <c r="BK43" s="1">
        <v>53.239789679659197</v>
      </c>
      <c r="BL43" s="1">
        <v>193.05681878659999</v>
      </c>
      <c r="BM43" s="1">
        <v>1948.74486351737</v>
      </c>
      <c r="BN43" s="1">
        <v>23.279778693048002</v>
      </c>
      <c r="BO43" s="1">
        <v>0.20077030602818199</v>
      </c>
      <c r="BP43" s="1">
        <v>0.44138375517745199</v>
      </c>
      <c r="BQ43" s="1">
        <v>14.917032949728201</v>
      </c>
      <c r="BR43" s="1">
        <v>17.357979532760499</v>
      </c>
      <c r="BS43" s="1">
        <v>19.610663920855899</v>
      </c>
      <c r="BT43" s="1">
        <v>18.5012572019413</v>
      </c>
      <c r="BU43" s="1">
        <v>0.73864420155529498</v>
      </c>
      <c r="BV43" s="1">
        <v>0.42576621527477498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0.103120846223188</v>
      </c>
      <c r="CG43" s="1">
        <v>1.6919641944182801E-2</v>
      </c>
      <c r="CH43" s="1" t="s">
        <v>31</v>
      </c>
      <c r="CI43" s="1">
        <v>12.565606195924801</v>
      </c>
      <c r="CJ43" s="1">
        <v>22.384798526956001</v>
      </c>
      <c r="CK43" s="1">
        <v>20.030115324036</v>
      </c>
      <c r="CL43" s="1">
        <v>7.2381750227843798E-3</v>
      </c>
      <c r="CM43" s="1">
        <v>34.5804567141546</v>
      </c>
      <c r="CN43" s="1">
        <v>110.10416394936</v>
      </c>
      <c r="CO43" s="1">
        <v>116.476118534753</v>
      </c>
      <c r="CP43" s="1">
        <v>8.7428024197479495</v>
      </c>
      <c r="CQ43" s="1">
        <v>1.42998448437739E-3</v>
      </c>
      <c r="CR43" s="1">
        <v>4.9367330226645301</v>
      </c>
      <c r="CS43" s="1">
        <v>0</v>
      </c>
      <c r="CT43" s="1">
        <v>0</v>
      </c>
      <c r="CU43" s="1">
        <v>0</v>
      </c>
      <c r="CV43" s="1">
        <v>0</v>
      </c>
      <c r="CW43" s="1">
        <v>86.495625278672406</v>
      </c>
      <c r="CX43" s="1">
        <v>2.8599689687547102E-3</v>
      </c>
      <c r="CY43" s="1">
        <v>1.20626878489447E-2</v>
      </c>
      <c r="CZ43" s="1">
        <v>4.6102902970519E-2</v>
      </c>
      <c r="DA43" s="1">
        <v>3.7194017751636501E-3</v>
      </c>
      <c r="DB43" s="1">
        <v>6.1011616518420901E-2</v>
      </c>
      <c r="DC43" s="1">
        <v>1.6705400410782799E-2</v>
      </c>
      <c r="DD43" s="1">
        <v>0.17245140079945101</v>
      </c>
      <c r="DE43" s="1">
        <v>0.24193424675262601</v>
      </c>
      <c r="DF43" s="1">
        <v>1.2136895188302901</v>
      </c>
      <c r="DG43" s="1">
        <v>1.89512369480481</v>
      </c>
      <c r="DH43" s="1">
        <v>1.92994883205336</v>
      </c>
      <c r="DI43" s="1">
        <v>7.36685595648124E-3</v>
      </c>
      <c r="DJ43" s="2">
        <v>8.3714272232736397E-4</v>
      </c>
      <c r="DK43" s="2">
        <v>6.6971417786198097E-4</v>
      </c>
      <c r="DL43" s="1">
        <v>0.265206814433325</v>
      </c>
      <c r="DM43" s="1">
        <v>0.34339594469870999</v>
      </c>
      <c r="DN43" s="1">
        <v>2.2100567869446801E-2</v>
      </c>
      <c r="DO43" s="1">
        <v>0.20024453918072199</v>
      </c>
      <c r="DP43" s="1">
        <v>2.2435424958375201E-2</v>
      </c>
      <c r="DQ43" s="1">
        <v>1.9277358697651799E-2</v>
      </c>
    </row>
    <row r="44" spans="1:121" x14ac:dyDescent="0.25">
      <c r="A44" s="1" t="s">
        <v>68</v>
      </c>
      <c r="B44" s="1">
        <v>3</v>
      </c>
      <c r="C44" s="1" t="s">
        <v>29</v>
      </c>
      <c r="D44" s="1" t="s">
        <v>69</v>
      </c>
      <c r="E44" s="1">
        <v>12.876388888888799</v>
      </c>
      <c r="F44" s="1">
        <v>0.11901766666666599</v>
      </c>
      <c r="G44" s="1">
        <v>0.19</v>
      </c>
      <c r="H44" s="1">
        <v>21.6</v>
      </c>
      <c r="I44" s="1" t="s">
        <v>31</v>
      </c>
      <c r="J44" s="1" t="s">
        <v>31</v>
      </c>
      <c r="K44" s="1" t="s">
        <v>31</v>
      </c>
      <c r="L44" s="1">
        <v>1.3888888888890999E-3</v>
      </c>
      <c r="M44" s="1">
        <v>9.6459006859563504E-2</v>
      </c>
      <c r="N44" s="1">
        <v>6.2449979983983897E-2</v>
      </c>
      <c r="O44" s="1">
        <v>0</v>
      </c>
      <c r="P44" s="1" t="s">
        <v>31</v>
      </c>
      <c r="Q44" s="1" t="s">
        <v>31</v>
      </c>
      <c r="R44" s="1" t="s">
        <v>31</v>
      </c>
      <c r="S44" s="1">
        <v>1.03E-2</v>
      </c>
      <c r="T44" s="1">
        <v>0</v>
      </c>
      <c r="U44" s="1">
        <v>1.6886359616006901E-3</v>
      </c>
      <c r="V44" s="1">
        <v>3.1868666797300301E-3</v>
      </c>
      <c r="W44" s="2">
        <v>1.9040524347134499E-4</v>
      </c>
      <c r="X44" s="1" t="s">
        <v>55</v>
      </c>
      <c r="Y44" s="1">
        <v>25.580555555555499</v>
      </c>
      <c r="Z44" s="1">
        <v>0</v>
      </c>
      <c r="AA44" s="1" t="s">
        <v>46</v>
      </c>
      <c r="AB44" s="1">
        <v>10</v>
      </c>
      <c r="AC44" s="1">
        <v>0</v>
      </c>
      <c r="AD44" s="1">
        <v>0</v>
      </c>
      <c r="AE44" s="1">
        <v>0</v>
      </c>
      <c r="AF44" s="1">
        <v>10</v>
      </c>
      <c r="AG44" s="1" t="s">
        <v>31</v>
      </c>
      <c r="AH44" s="1">
        <v>1993</v>
      </c>
      <c r="AI44" s="1">
        <v>1993</v>
      </c>
      <c r="AJ44" s="1">
        <v>2018.5805555555501</v>
      </c>
      <c r="AK44" s="1">
        <v>0.27291281497053699</v>
      </c>
      <c r="AL44" s="1">
        <v>0.722936681967421</v>
      </c>
      <c r="AM44" s="1">
        <v>0.20749939390515201</v>
      </c>
      <c r="AN44" s="1">
        <v>1138.81668002643</v>
      </c>
      <c r="AO44" s="1">
        <v>411.44271314606601</v>
      </c>
      <c r="AP44" s="1">
        <v>727.37396688036597</v>
      </c>
      <c r="AQ44" s="1">
        <v>0.24224264282813901</v>
      </c>
      <c r="AR44" s="1">
        <v>655.44523292769895</v>
      </c>
      <c r="AS44" s="1">
        <v>1993.6988241095901</v>
      </c>
      <c r="AT44" s="1">
        <v>3814.3851961452901</v>
      </c>
      <c r="AU44" s="1">
        <v>126.058849390982</v>
      </c>
      <c r="AV44" s="1">
        <v>0.15695668619810199</v>
      </c>
      <c r="AW44" s="1">
        <v>290.68296620126398</v>
      </c>
      <c r="AX44" s="1">
        <v>2.8399999999999799</v>
      </c>
      <c r="AY44" s="1">
        <v>80.91</v>
      </c>
      <c r="AZ44" s="1">
        <v>16.25</v>
      </c>
      <c r="BA44" s="1">
        <v>97.16</v>
      </c>
      <c r="BB44" s="1">
        <v>2234.2913448617301</v>
      </c>
      <c r="BC44" s="1">
        <v>0.30111871490132902</v>
      </c>
      <c r="BD44" s="1">
        <v>0.33171372103566299</v>
      </c>
      <c r="BE44" s="1">
        <v>0.23429224140041299</v>
      </c>
      <c r="BF44" s="1">
        <v>0.28736762608277999</v>
      </c>
      <c r="BG44" s="1">
        <v>1.1174990715309501</v>
      </c>
      <c r="BH44" s="1">
        <v>0.10034014458771701</v>
      </c>
      <c r="BI44" s="1">
        <v>4.3243678364423204</v>
      </c>
      <c r="BJ44" s="1">
        <v>14.959329681102099</v>
      </c>
      <c r="BK44" s="1">
        <v>99.742524585010599</v>
      </c>
      <c r="BL44" s="1">
        <v>345.44118941292402</v>
      </c>
      <c r="BM44" s="1">
        <v>3220.1146461938401</v>
      </c>
      <c r="BN44" s="1">
        <v>71.363310924440398</v>
      </c>
      <c r="BO44" s="1">
        <v>0.24014605641855299</v>
      </c>
      <c r="BP44" s="1">
        <v>0.94690529620796704</v>
      </c>
      <c r="BQ44" s="1">
        <v>133.08537400769299</v>
      </c>
      <c r="BR44" s="1">
        <v>75.452383975908305</v>
      </c>
      <c r="BS44" s="1">
        <v>72.522909098708595</v>
      </c>
      <c r="BT44" s="1">
        <v>265.26479590513202</v>
      </c>
      <c r="BU44" s="1">
        <v>11.169910759187699</v>
      </c>
      <c r="BV44" s="1">
        <v>0.37483471662249102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 t="s">
        <v>31</v>
      </c>
      <c r="CC44" s="1">
        <v>0</v>
      </c>
      <c r="CD44" s="1">
        <v>0</v>
      </c>
      <c r="CE44" s="1">
        <v>0</v>
      </c>
      <c r="CF44" s="1">
        <v>4.09264771675589E-2</v>
      </c>
      <c r="CG44" s="1">
        <v>2.5970295309502098E-2</v>
      </c>
      <c r="CH44" s="1" t="s">
        <v>31</v>
      </c>
      <c r="CI44" s="1">
        <v>208.61339812154</v>
      </c>
      <c r="CJ44" s="1">
        <v>60.411615989313702</v>
      </c>
      <c r="CK44" s="1">
        <v>268.48939631248402</v>
      </c>
      <c r="CL44" s="1">
        <v>4.2811459725728501E-2</v>
      </c>
      <c r="CM44" s="1">
        <v>49.814710438650202</v>
      </c>
      <c r="CN44" s="1">
        <v>293.13667691427599</v>
      </c>
      <c r="CO44" s="1">
        <v>1267.6555710924099</v>
      </c>
      <c r="CP44" s="1">
        <v>60.0305543544183</v>
      </c>
      <c r="CQ44" s="1">
        <v>4.3052799773330701E-2</v>
      </c>
      <c r="CR44" s="1">
        <v>242.17798935293499</v>
      </c>
      <c r="CS44" s="1">
        <v>0</v>
      </c>
      <c r="CT44" s="1">
        <v>0</v>
      </c>
      <c r="CU44" s="1">
        <v>0</v>
      </c>
      <c r="CV44" s="1">
        <v>0</v>
      </c>
      <c r="CW44" s="1">
        <v>474.04081013437298</v>
      </c>
      <c r="CX44" s="1">
        <v>6.55667234823437E-2</v>
      </c>
      <c r="CY44" s="1">
        <v>0.111406342346586</v>
      </c>
      <c r="CZ44" s="1">
        <v>3.3187260181582502E-2</v>
      </c>
      <c r="DA44" s="1">
        <v>4.4177642538278501E-2</v>
      </c>
      <c r="DB44" s="1">
        <v>0.19377967987134401</v>
      </c>
      <c r="DC44" s="1">
        <v>3.4533436037223801E-2</v>
      </c>
      <c r="DD44" s="1">
        <v>0.38715743209140802</v>
      </c>
      <c r="DE44" s="1">
        <v>0.102168751576621</v>
      </c>
      <c r="DF44" s="1">
        <v>0.64349493629089205</v>
      </c>
      <c r="DG44" s="1">
        <v>4.32323608167553</v>
      </c>
      <c r="DH44" s="1">
        <v>41.089494221858303</v>
      </c>
      <c r="DI44" s="1">
        <v>0.25270176669017602</v>
      </c>
      <c r="DJ44" s="1">
        <v>3.2813043172773902E-3</v>
      </c>
      <c r="DK44" s="1">
        <v>7.6468380649729901E-3</v>
      </c>
      <c r="DL44" s="1">
        <v>2.31254055186107</v>
      </c>
      <c r="DM44" s="1">
        <v>1.0804203193987301</v>
      </c>
      <c r="DN44" s="1">
        <v>0.32843884889708702</v>
      </c>
      <c r="DO44" s="1">
        <v>2.3074596174627899</v>
      </c>
      <c r="DP44" s="1">
        <v>0.17084403447281701</v>
      </c>
      <c r="DQ44" s="1">
        <v>0.111791592436149</v>
      </c>
    </row>
    <row r="45" spans="1:121" x14ac:dyDescent="0.25">
      <c r="A45" s="1" t="s">
        <v>68</v>
      </c>
      <c r="B45" s="1">
        <v>3</v>
      </c>
      <c r="C45" s="1" t="s">
        <v>29</v>
      </c>
      <c r="D45" s="1" t="s">
        <v>69</v>
      </c>
      <c r="E45" s="1">
        <v>12.876388888888799</v>
      </c>
      <c r="F45" s="1">
        <v>0.11901766666666599</v>
      </c>
      <c r="G45" s="1">
        <v>0.19</v>
      </c>
      <c r="H45" s="1">
        <v>21.6</v>
      </c>
      <c r="I45" s="1" t="s">
        <v>31</v>
      </c>
      <c r="J45" s="1" t="s">
        <v>31</v>
      </c>
      <c r="K45" s="1" t="s">
        <v>31</v>
      </c>
      <c r="L45" s="1">
        <v>1.3888888888890999E-3</v>
      </c>
      <c r="M45" s="1">
        <v>9.6459006859563504E-2</v>
      </c>
      <c r="N45" s="1">
        <v>6.2449979983983897E-2</v>
      </c>
      <c r="O45" s="1">
        <v>0</v>
      </c>
      <c r="P45" s="1" t="s">
        <v>31</v>
      </c>
      <c r="Q45" s="1" t="s">
        <v>31</v>
      </c>
      <c r="R45" s="1" t="s">
        <v>31</v>
      </c>
      <c r="S45" s="1">
        <v>1.03E-2</v>
      </c>
      <c r="T45" s="1">
        <v>0</v>
      </c>
      <c r="U45" s="1">
        <v>1.6886359616006901E-3</v>
      </c>
      <c r="V45" s="1">
        <v>3.1868666797300301E-3</v>
      </c>
      <c r="W45" s="2">
        <v>1.9040524347134499E-4</v>
      </c>
      <c r="X45" s="1" t="s">
        <v>55</v>
      </c>
      <c r="Y45" s="1">
        <v>25.683333333333302</v>
      </c>
      <c r="Z45" s="1">
        <v>0</v>
      </c>
      <c r="AA45" s="1" t="s">
        <v>46</v>
      </c>
      <c r="AB45" s="1">
        <v>10</v>
      </c>
      <c r="AC45" s="1">
        <v>0</v>
      </c>
      <c r="AD45" s="1">
        <v>0</v>
      </c>
      <c r="AE45" s="1">
        <v>0</v>
      </c>
      <c r="AF45" s="1">
        <v>10</v>
      </c>
      <c r="AG45" s="1" t="s">
        <v>31</v>
      </c>
      <c r="AH45" s="1">
        <v>1993</v>
      </c>
      <c r="AI45" s="1">
        <v>1993</v>
      </c>
      <c r="AJ45" s="1">
        <v>2018.68333333333</v>
      </c>
      <c r="AK45" s="1">
        <v>0.231806070450297</v>
      </c>
      <c r="AL45" s="1">
        <v>0.759773817131146</v>
      </c>
      <c r="AM45" s="1" t="s">
        <v>31</v>
      </c>
      <c r="AN45" s="1">
        <v>1016.07792818846</v>
      </c>
      <c r="AO45" s="1">
        <v>368.25686535852498</v>
      </c>
      <c r="AP45" s="1">
        <v>647.82106282994096</v>
      </c>
      <c r="AQ45" s="1">
        <v>0.30238629347222401</v>
      </c>
      <c r="AR45" s="1">
        <v>567.28359590281798</v>
      </c>
      <c r="AS45" s="1">
        <v>1873.99631706741</v>
      </c>
      <c r="AT45" s="1">
        <v>3467.8781847833502</v>
      </c>
      <c r="AU45" s="1">
        <v>102.966704194258</v>
      </c>
      <c r="AV45" s="1">
        <v>0.148164262181844</v>
      </c>
      <c r="AW45" s="1">
        <v>308.05529571419697</v>
      </c>
      <c r="AX45" s="1">
        <v>2.8399999999999799</v>
      </c>
      <c r="AY45" s="1">
        <v>80.91</v>
      </c>
      <c r="AZ45" s="1">
        <v>16.25</v>
      </c>
      <c r="BA45" s="1">
        <v>97.16</v>
      </c>
      <c r="BB45" s="1">
        <v>2391.4809922435602</v>
      </c>
      <c r="BC45" s="1">
        <v>0.30096984356466699</v>
      </c>
      <c r="BD45" s="1">
        <v>0.28850642575442198</v>
      </c>
      <c r="BE45" s="1">
        <v>0.19543721516350701</v>
      </c>
      <c r="BF45" s="1">
        <v>0.37891721812042201</v>
      </c>
      <c r="BG45" s="1">
        <v>0.81990096897569797</v>
      </c>
      <c r="BH45" s="1">
        <v>8.4990241720796694E-2</v>
      </c>
      <c r="BI45" s="1">
        <v>4.74732493171269</v>
      </c>
      <c r="BJ45" s="1">
        <v>15.3017993964711</v>
      </c>
      <c r="BK45" s="1">
        <v>97.5855291801319</v>
      </c>
      <c r="BL45" s="1">
        <v>359.93267930114399</v>
      </c>
      <c r="BM45" s="1">
        <v>3357.8466549897398</v>
      </c>
      <c r="BN45" s="1">
        <v>70.516254453884102</v>
      </c>
      <c r="BO45" s="1">
        <v>0.25114499041976301</v>
      </c>
      <c r="BP45" s="1">
        <v>0.97253750189876997</v>
      </c>
      <c r="BQ45" s="1">
        <v>125.333736717877</v>
      </c>
      <c r="BR45" s="1">
        <v>79.073953521915101</v>
      </c>
      <c r="BS45" s="1">
        <v>73.623836313362702</v>
      </c>
      <c r="BT45" s="1">
        <v>257.53018991040699</v>
      </c>
      <c r="BU45" s="1">
        <v>11.7425800632119</v>
      </c>
      <c r="BV45" s="1">
        <v>0.36242974593009802</v>
      </c>
      <c r="BW45" s="1" t="s">
        <v>31</v>
      </c>
      <c r="BX45" s="1" t="s">
        <v>31</v>
      </c>
      <c r="BY45" s="1" t="s">
        <v>31</v>
      </c>
      <c r="BZ45" s="1" t="s">
        <v>31</v>
      </c>
      <c r="CA45" s="1" t="s">
        <v>31</v>
      </c>
      <c r="CB45" s="1" t="s">
        <v>31</v>
      </c>
      <c r="CC45" s="1" t="s">
        <v>31</v>
      </c>
      <c r="CD45" s="1" t="s">
        <v>31</v>
      </c>
      <c r="CE45" s="1" t="s">
        <v>31</v>
      </c>
      <c r="CF45" s="1" t="s">
        <v>31</v>
      </c>
      <c r="CG45" s="1" t="s">
        <v>31</v>
      </c>
      <c r="CH45" s="1" t="s">
        <v>31</v>
      </c>
      <c r="CI45" s="1" t="s">
        <v>31</v>
      </c>
      <c r="CJ45" s="1" t="s">
        <v>31</v>
      </c>
      <c r="CK45" s="1" t="s">
        <v>31</v>
      </c>
      <c r="CL45" s="1" t="s">
        <v>31</v>
      </c>
      <c r="CM45" s="1" t="s">
        <v>31</v>
      </c>
      <c r="CN45" s="1" t="s">
        <v>31</v>
      </c>
      <c r="CO45" s="1" t="s">
        <v>31</v>
      </c>
      <c r="CP45" s="1" t="s">
        <v>31</v>
      </c>
      <c r="CQ45" s="1" t="s">
        <v>31</v>
      </c>
      <c r="CR45" s="1" t="s">
        <v>31</v>
      </c>
      <c r="CS45" s="1" t="s">
        <v>31</v>
      </c>
      <c r="CT45" s="1" t="s">
        <v>31</v>
      </c>
      <c r="CU45" s="1" t="s">
        <v>31</v>
      </c>
      <c r="CV45" s="1" t="s">
        <v>31</v>
      </c>
      <c r="CW45" s="1" t="s">
        <v>31</v>
      </c>
      <c r="CX45" s="1" t="s">
        <v>31</v>
      </c>
      <c r="CY45" s="1" t="s">
        <v>31</v>
      </c>
      <c r="CZ45" s="1" t="s">
        <v>31</v>
      </c>
      <c r="DA45" s="1" t="s">
        <v>31</v>
      </c>
      <c r="DB45" s="1" t="s">
        <v>31</v>
      </c>
      <c r="DC45" s="1" t="s">
        <v>31</v>
      </c>
      <c r="DD45" s="1" t="s">
        <v>31</v>
      </c>
      <c r="DE45" s="1" t="s">
        <v>31</v>
      </c>
      <c r="DF45" s="1" t="s">
        <v>31</v>
      </c>
      <c r="DG45" s="1" t="s">
        <v>31</v>
      </c>
      <c r="DH45" s="1" t="s">
        <v>31</v>
      </c>
      <c r="DI45" s="1" t="s">
        <v>31</v>
      </c>
      <c r="DJ45" s="1" t="s">
        <v>31</v>
      </c>
      <c r="DK45" s="1" t="s">
        <v>31</v>
      </c>
      <c r="DL45" s="1" t="s">
        <v>31</v>
      </c>
      <c r="DM45" s="1" t="s">
        <v>31</v>
      </c>
      <c r="DN45" s="1" t="s">
        <v>31</v>
      </c>
      <c r="DO45" s="1" t="s">
        <v>31</v>
      </c>
      <c r="DP45" s="1" t="s">
        <v>31</v>
      </c>
      <c r="DQ45" s="1" t="s">
        <v>31</v>
      </c>
    </row>
    <row r="46" spans="1:121" x14ac:dyDescent="0.25">
      <c r="A46" s="1" t="s">
        <v>68</v>
      </c>
      <c r="B46" s="1">
        <v>3</v>
      </c>
      <c r="C46" s="1" t="s">
        <v>34</v>
      </c>
      <c r="D46" s="1" t="s">
        <v>69</v>
      </c>
      <c r="E46" s="1">
        <v>12.8722222222222</v>
      </c>
      <c r="F46" s="1">
        <v>4.3287730423837101E-2</v>
      </c>
      <c r="G46" s="1">
        <v>4.7533333333333303</v>
      </c>
      <c r="H46" s="1">
        <v>21.7</v>
      </c>
      <c r="I46" s="1" t="s">
        <v>31</v>
      </c>
      <c r="J46" s="1" t="s">
        <v>31</v>
      </c>
      <c r="K46" s="1" t="s">
        <v>31</v>
      </c>
      <c r="L46" s="1">
        <v>1.3888888888890999E-3</v>
      </c>
      <c r="M46" s="1">
        <v>7.2523917906564704E-3</v>
      </c>
      <c r="N46" s="1">
        <v>0.410040648391514</v>
      </c>
      <c r="O46" s="1">
        <v>0</v>
      </c>
      <c r="P46" s="1" t="s">
        <v>31</v>
      </c>
      <c r="Q46" s="1" t="s">
        <v>31</v>
      </c>
      <c r="R46" s="1" t="s">
        <v>31</v>
      </c>
      <c r="S46" s="1">
        <v>1.03E-2</v>
      </c>
      <c r="T46" s="1">
        <v>0</v>
      </c>
      <c r="U46" s="2">
        <v>5.1254134452228596E-4</v>
      </c>
      <c r="V46" s="2">
        <v>6.2522416906420802E-4</v>
      </c>
      <c r="W46" s="2">
        <v>3.99858519980364E-4</v>
      </c>
      <c r="X46" s="1" t="s">
        <v>55</v>
      </c>
      <c r="Y46" s="1">
        <v>25.580555555555499</v>
      </c>
      <c r="Z46" s="1">
        <v>0</v>
      </c>
      <c r="AA46" s="1" t="s">
        <v>46</v>
      </c>
      <c r="AB46" s="1">
        <v>10</v>
      </c>
      <c r="AC46" s="1">
        <v>0</v>
      </c>
      <c r="AD46" s="1">
        <v>0</v>
      </c>
      <c r="AE46" s="1">
        <v>0</v>
      </c>
      <c r="AF46" s="1">
        <v>10</v>
      </c>
      <c r="AG46" s="1" t="s">
        <v>31</v>
      </c>
      <c r="AH46" s="1">
        <v>1993</v>
      </c>
      <c r="AI46" s="1">
        <v>1993</v>
      </c>
      <c r="AJ46" s="1">
        <v>2018.5805555555501</v>
      </c>
      <c r="AK46" s="1">
        <v>0.27291281497053699</v>
      </c>
      <c r="AL46" s="1">
        <v>0.722936681967421</v>
      </c>
      <c r="AM46" s="1">
        <v>0.20749939390515201</v>
      </c>
      <c r="AN46" s="1">
        <v>1138.81668002643</v>
      </c>
      <c r="AO46" s="1">
        <v>411.44271314606601</v>
      </c>
      <c r="AP46" s="1">
        <v>727.37396688036597</v>
      </c>
      <c r="AQ46" s="1">
        <v>0.24224264282813901</v>
      </c>
      <c r="AR46" s="1">
        <v>655.44523292769895</v>
      </c>
      <c r="AS46" s="1">
        <v>1993.6988241095901</v>
      </c>
      <c r="AT46" s="1">
        <v>3814.3851961452901</v>
      </c>
      <c r="AU46" s="1">
        <v>126.058849390982</v>
      </c>
      <c r="AV46" s="1">
        <v>0.15695668619810199</v>
      </c>
      <c r="AW46" s="1">
        <v>290.68296620126398</v>
      </c>
      <c r="AX46" s="1">
        <v>2.8399999999999799</v>
      </c>
      <c r="AY46" s="1">
        <v>80.91</v>
      </c>
      <c r="AZ46" s="1">
        <v>16.25</v>
      </c>
      <c r="BA46" s="1">
        <v>97.16</v>
      </c>
      <c r="BB46" s="1">
        <v>2234.2913448617301</v>
      </c>
      <c r="BC46" s="1">
        <v>0.30111871490132902</v>
      </c>
      <c r="BD46" s="1">
        <v>0.33171372103566299</v>
      </c>
      <c r="BE46" s="1">
        <v>0.23429224140041299</v>
      </c>
      <c r="BF46" s="1">
        <v>0.28736762608277999</v>
      </c>
      <c r="BG46" s="1">
        <v>1.1174990715309501</v>
      </c>
      <c r="BH46" s="1">
        <v>0.10034014458771701</v>
      </c>
      <c r="BI46" s="1">
        <v>4.3243678364423204</v>
      </c>
      <c r="BJ46" s="1">
        <v>14.959329681102099</v>
      </c>
      <c r="BK46" s="1">
        <v>99.742524585010599</v>
      </c>
      <c r="BL46" s="1">
        <v>345.44118941292402</v>
      </c>
      <c r="BM46" s="1">
        <v>3220.1146461938401</v>
      </c>
      <c r="BN46" s="1">
        <v>71.363310924440398</v>
      </c>
      <c r="BO46" s="1">
        <v>0.24014605641855299</v>
      </c>
      <c r="BP46" s="1">
        <v>0.94690529620796704</v>
      </c>
      <c r="BQ46" s="1">
        <v>133.08537400769299</v>
      </c>
      <c r="BR46" s="1">
        <v>75.452383975908305</v>
      </c>
      <c r="BS46" s="1">
        <v>72.522909098708595</v>
      </c>
      <c r="BT46" s="1">
        <v>265.26479590513202</v>
      </c>
      <c r="BU46" s="1">
        <v>11.169910759187699</v>
      </c>
      <c r="BV46" s="1">
        <v>0.37483471662249102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 t="s">
        <v>31</v>
      </c>
      <c r="CC46" s="1">
        <v>0</v>
      </c>
      <c r="CD46" s="1">
        <v>0</v>
      </c>
      <c r="CE46" s="1">
        <v>0</v>
      </c>
      <c r="CF46" s="1">
        <v>4.09264771675589E-2</v>
      </c>
      <c r="CG46" s="1">
        <v>2.5970295309502098E-2</v>
      </c>
      <c r="CH46" s="1" t="s">
        <v>31</v>
      </c>
      <c r="CI46" s="1">
        <v>208.61339812154</v>
      </c>
      <c r="CJ46" s="1">
        <v>60.411615989313702</v>
      </c>
      <c r="CK46" s="1">
        <v>268.48939631248402</v>
      </c>
      <c r="CL46" s="1">
        <v>4.2811459725728501E-2</v>
      </c>
      <c r="CM46" s="1">
        <v>49.814710438650202</v>
      </c>
      <c r="CN46" s="1">
        <v>293.13667691427599</v>
      </c>
      <c r="CO46" s="1">
        <v>1267.6555710924099</v>
      </c>
      <c r="CP46" s="1">
        <v>60.0305543544183</v>
      </c>
      <c r="CQ46" s="1">
        <v>4.3052799773330701E-2</v>
      </c>
      <c r="CR46" s="1">
        <v>242.17798935293499</v>
      </c>
      <c r="CS46" s="1">
        <v>0</v>
      </c>
      <c r="CT46" s="1">
        <v>0</v>
      </c>
      <c r="CU46" s="1">
        <v>0</v>
      </c>
      <c r="CV46" s="1">
        <v>0</v>
      </c>
      <c r="CW46" s="1">
        <v>474.04081013437298</v>
      </c>
      <c r="CX46" s="1">
        <v>6.55667234823437E-2</v>
      </c>
      <c r="CY46" s="1">
        <v>0.111406342346586</v>
      </c>
      <c r="CZ46" s="1">
        <v>3.3187260181582502E-2</v>
      </c>
      <c r="DA46" s="1">
        <v>4.4177642538278501E-2</v>
      </c>
      <c r="DB46" s="1">
        <v>0.19377967987134401</v>
      </c>
      <c r="DC46" s="1">
        <v>3.4533436037223801E-2</v>
      </c>
      <c r="DD46" s="1">
        <v>0.38715743209140802</v>
      </c>
      <c r="DE46" s="1">
        <v>0.102168751576621</v>
      </c>
      <c r="DF46" s="1">
        <v>0.64349493629089205</v>
      </c>
      <c r="DG46" s="1">
        <v>4.32323608167553</v>
      </c>
      <c r="DH46" s="1">
        <v>41.089494221858303</v>
      </c>
      <c r="DI46" s="1">
        <v>0.25270176669017602</v>
      </c>
      <c r="DJ46" s="1">
        <v>3.2813043172773902E-3</v>
      </c>
      <c r="DK46" s="1">
        <v>7.6468380649729901E-3</v>
      </c>
      <c r="DL46" s="1">
        <v>2.31254055186107</v>
      </c>
      <c r="DM46" s="1">
        <v>1.0804203193987301</v>
      </c>
      <c r="DN46" s="1">
        <v>0.32843884889708702</v>
      </c>
      <c r="DO46" s="1">
        <v>2.3074596174627899</v>
      </c>
      <c r="DP46" s="1">
        <v>0.17084403447281701</v>
      </c>
      <c r="DQ46" s="1">
        <v>0.111791592436149</v>
      </c>
    </row>
    <row r="47" spans="1:121" x14ac:dyDescent="0.25">
      <c r="A47" s="1" t="s">
        <v>68</v>
      </c>
      <c r="B47" s="1">
        <v>3</v>
      </c>
      <c r="C47" s="1" t="s">
        <v>34</v>
      </c>
      <c r="D47" s="1" t="s">
        <v>69</v>
      </c>
      <c r="E47" s="1">
        <v>12.8722222222222</v>
      </c>
      <c r="F47" s="1">
        <v>4.3287730423837101E-2</v>
      </c>
      <c r="G47" s="1">
        <v>4.7533333333333303</v>
      </c>
      <c r="H47" s="1">
        <v>21.7</v>
      </c>
      <c r="I47" s="1" t="s">
        <v>31</v>
      </c>
      <c r="J47" s="1" t="s">
        <v>31</v>
      </c>
      <c r="K47" s="1" t="s">
        <v>31</v>
      </c>
      <c r="L47" s="1">
        <v>1.3888888888890999E-3</v>
      </c>
      <c r="M47" s="1">
        <v>7.2523917906564704E-3</v>
      </c>
      <c r="N47" s="1">
        <v>0.410040648391514</v>
      </c>
      <c r="O47" s="1">
        <v>0</v>
      </c>
      <c r="P47" s="1" t="s">
        <v>31</v>
      </c>
      <c r="Q47" s="1" t="s">
        <v>31</v>
      </c>
      <c r="R47" s="1" t="s">
        <v>31</v>
      </c>
      <c r="S47" s="1">
        <v>1.03E-2</v>
      </c>
      <c r="T47" s="1">
        <v>0</v>
      </c>
      <c r="U47" s="2">
        <v>5.1254134452228596E-4</v>
      </c>
      <c r="V47" s="2">
        <v>6.2522416906420802E-4</v>
      </c>
      <c r="W47" s="2">
        <v>3.99858519980364E-4</v>
      </c>
      <c r="X47" s="1" t="s">
        <v>55</v>
      </c>
      <c r="Y47" s="1">
        <v>25.683333333333302</v>
      </c>
      <c r="Z47" s="1">
        <v>0</v>
      </c>
      <c r="AA47" s="1" t="s">
        <v>46</v>
      </c>
      <c r="AB47" s="1">
        <v>10</v>
      </c>
      <c r="AC47" s="1">
        <v>0</v>
      </c>
      <c r="AD47" s="1">
        <v>0</v>
      </c>
      <c r="AE47" s="1">
        <v>0</v>
      </c>
      <c r="AF47" s="1">
        <v>10</v>
      </c>
      <c r="AG47" s="1" t="s">
        <v>31</v>
      </c>
      <c r="AH47" s="1">
        <v>1993</v>
      </c>
      <c r="AI47" s="1">
        <v>1993</v>
      </c>
      <c r="AJ47" s="1">
        <v>2018.68333333333</v>
      </c>
      <c r="AK47" s="1">
        <v>0.231806070450297</v>
      </c>
      <c r="AL47" s="1">
        <v>0.759773817131146</v>
      </c>
      <c r="AM47" s="1" t="s">
        <v>31</v>
      </c>
      <c r="AN47" s="1">
        <v>1016.07792818846</v>
      </c>
      <c r="AO47" s="1">
        <v>368.25686535852498</v>
      </c>
      <c r="AP47" s="1">
        <v>647.82106282994096</v>
      </c>
      <c r="AQ47" s="1">
        <v>0.30238629347222401</v>
      </c>
      <c r="AR47" s="1">
        <v>567.28359590281798</v>
      </c>
      <c r="AS47" s="1">
        <v>1873.99631706741</v>
      </c>
      <c r="AT47" s="1">
        <v>3467.8781847833502</v>
      </c>
      <c r="AU47" s="1">
        <v>102.966704194258</v>
      </c>
      <c r="AV47" s="1">
        <v>0.148164262181844</v>
      </c>
      <c r="AW47" s="1">
        <v>308.05529571419697</v>
      </c>
      <c r="AX47" s="1">
        <v>2.8399999999999799</v>
      </c>
      <c r="AY47" s="1">
        <v>80.91</v>
      </c>
      <c r="AZ47" s="1">
        <v>16.25</v>
      </c>
      <c r="BA47" s="1">
        <v>97.16</v>
      </c>
      <c r="BB47" s="1">
        <v>2391.4809922435602</v>
      </c>
      <c r="BC47" s="1">
        <v>0.30096984356466699</v>
      </c>
      <c r="BD47" s="1">
        <v>0.28850642575442198</v>
      </c>
      <c r="BE47" s="1">
        <v>0.19543721516350701</v>
      </c>
      <c r="BF47" s="1">
        <v>0.37891721812042201</v>
      </c>
      <c r="BG47" s="1">
        <v>0.81990096897569797</v>
      </c>
      <c r="BH47" s="1">
        <v>8.4990241720796694E-2</v>
      </c>
      <c r="BI47" s="1">
        <v>4.74732493171269</v>
      </c>
      <c r="BJ47" s="1">
        <v>15.3017993964711</v>
      </c>
      <c r="BK47" s="1">
        <v>97.5855291801319</v>
      </c>
      <c r="BL47" s="1">
        <v>359.93267930114399</v>
      </c>
      <c r="BM47" s="1">
        <v>3357.8466549897398</v>
      </c>
      <c r="BN47" s="1">
        <v>70.516254453884102</v>
      </c>
      <c r="BO47" s="1">
        <v>0.25114499041976301</v>
      </c>
      <c r="BP47" s="1">
        <v>0.97253750189876997</v>
      </c>
      <c r="BQ47" s="1">
        <v>125.333736717877</v>
      </c>
      <c r="BR47" s="1">
        <v>79.073953521915101</v>
      </c>
      <c r="BS47" s="1">
        <v>73.623836313362702</v>
      </c>
      <c r="BT47" s="1">
        <v>257.53018991040699</v>
      </c>
      <c r="BU47" s="1">
        <v>11.7425800632119</v>
      </c>
      <c r="BV47" s="1">
        <v>0.36242974593009802</v>
      </c>
      <c r="BW47" s="1" t="s">
        <v>31</v>
      </c>
      <c r="BX47" s="1" t="s">
        <v>31</v>
      </c>
      <c r="BY47" s="1" t="s">
        <v>31</v>
      </c>
      <c r="BZ47" s="1" t="s">
        <v>31</v>
      </c>
      <c r="CA47" s="1" t="s">
        <v>31</v>
      </c>
      <c r="CB47" s="1" t="s">
        <v>31</v>
      </c>
      <c r="CC47" s="1" t="s">
        <v>31</v>
      </c>
      <c r="CD47" s="1" t="s">
        <v>31</v>
      </c>
      <c r="CE47" s="1" t="s">
        <v>31</v>
      </c>
      <c r="CF47" s="1" t="s">
        <v>31</v>
      </c>
      <c r="CG47" s="1" t="s">
        <v>31</v>
      </c>
      <c r="CH47" s="1" t="s">
        <v>31</v>
      </c>
      <c r="CI47" s="1" t="s">
        <v>31</v>
      </c>
      <c r="CJ47" s="1" t="s">
        <v>31</v>
      </c>
      <c r="CK47" s="1" t="s">
        <v>31</v>
      </c>
      <c r="CL47" s="1" t="s">
        <v>31</v>
      </c>
      <c r="CM47" s="1" t="s">
        <v>31</v>
      </c>
      <c r="CN47" s="1" t="s">
        <v>31</v>
      </c>
      <c r="CO47" s="1" t="s">
        <v>31</v>
      </c>
      <c r="CP47" s="1" t="s">
        <v>31</v>
      </c>
      <c r="CQ47" s="1" t="s">
        <v>31</v>
      </c>
      <c r="CR47" s="1" t="s">
        <v>31</v>
      </c>
      <c r="CS47" s="1" t="s">
        <v>31</v>
      </c>
      <c r="CT47" s="1" t="s">
        <v>31</v>
      </c>
      <c r="CU47" s="1" t="s">
        <v>31</v>
      </c>
      <c r="CV47" s="1" t="s">
        <v>31</v>
      </c>
      <c r="CW47" s="1" t="s">
        <v>31</v>
      </c>
      <c r="CX47" s="1" t="s">
        <v>31</v>
      </c>
      <c r="CY47" s="1" t="s">
        <v>31</v>
      </c>
      <c r="CZ47" s="1" t="s">
        <v>31</v>
      </c>
      <c r="DA47" s="1" t="s">
        <v>31</v>
      </c>
      <c r="DB47" s="1" t="s">
        <v>31</v>
      </c>
      <c r="DC47" s="1" t="s">
        <v>31</v>
      </c>
      <c r="DD47" s="1" t="s">
        <v>31</v>
      </c>
      <c r="DE47" s="1" t="s">
        <v>31</v>
      </c>
      <c r="DF47" s="1" t="s">
        <v>31</v>
      </c>
      <c r="DG47" s="1" t="s">
        <v>31</v>
      </c>
      <c r="DH47" s="1" t="s">
        <v>31</v>
      </c>
      <c r="DI47" s="1" t="s">
        <v>31</v>
      </c>
      <c r="DJ47" s="1" t="s">
        <v>31</v>
      </c>
      <c r="DK47" s="1" t="s">
        <v>31</v>
      </c>
      <c r="DL47" s="1" t="s">
        <v>31</v>
      </c>
      <c r="DM47" s="1" t="s">
        <v>31</v>
      </c>
      <c r="DN47" s="1" t="s">
        <v>31</v>
      </c>
      <c r="DO47" s="1" t="s">
        <v>31</v>
      </c>
      <c r="DP47" s="1" t="s">
        <v>31</v>
      </c>
      <c r="DQ4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" sqref="R1:R1048576"/>
    </sheetView>
  </sheetViews>
  <sheetFormatPr defaultRowHeight="13.8" x14ac:dyDescent="0.25"/>
  <cols>
    <col min="1" max="2" width="8.796875" style="1"/>
    <col min="3" max="3" width="10.8984375" style="1" customWidth="1"/>
    <col min="4" max="4" width="9.3984375" style="1" customWidth="1"/>
    <col min="5" max="5" width="12.09765625" customWidth="1"/>
    <col min="6" max="6" width="10.796875" customWidth="1"/>
    <col min="7" max="7" width="19.796875" customWidth="1"/>
    <col min="8" max="8" width="17.09765625" customWidth="1"/>
    <col min="11" max="11" width="9.5" customWidth="1"/>
    <col min="13" max="13" width="10.8984375" customWidth="1"/>
    <col min="14" max="14" width="9.69921875" customWidth="1"/>
    <col min="16" max="16" width="10.296875" style="1" customWidth="1"/>
    <col min="17" max="17" width="11.09765625" customWidth="1"/>
    <col min="18" max="18" width="14" customWidth="1"/>
    <col min="20" max="20" width="10.8984375" customWidth="1"/>
    <col min="22" max="22" width="10.09765625" customWidth="1"/>
    <col min="24" max="29" width="8.796875" style="1"/>
    <col min="61" max="98" width="8.796875" style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172</v>
      </c>
      <c r="F1" t="s">
        <v>171</v>
      </c>
      <c r="G1" t="s">
        <v>173</v>
      </c>
      <c r="H1" t="s">
        <v>181</v>
      </c>
      <c r="I1" t="s">
        <v>70</v>
      </c>
      <c r="J1" t="s">
        <v>71</v>
      </c>
      <c r="K1" t="s">
        <v>168</v>
      </c>
      <c r="L1" t="s">
        <v>169</v>
      </c>
      <c r="M1" t="s">
        <v>179</v>
      </c>
      <c r="N1" t="s">
        <v>180</v>
      </c>
      <c r="O1" t="s">
        <v>166</v>
      </c>
      <c r="P1" s="1" t="s">
        <v>175</v>
      </c>
      <c r="Q1" t="s">
        <v>170</v>
      </c>
      <c r="R1" t="s">
        <v>176</v>
      </c>
      <c r="S1" t="s">
        <v>177</v>
      </c>
      <c r="T1" t="s">
        <v>178</v>
      </c>
      <c r="U1" t="s">
        <v>167</v>
      </c>
      <c r="V1" t="s">
        <v>174</v>
      </c>
      <c r="W1" t="s">
        <v>182</v>
      </c>
    </row>
    <row r="2" spans="1:91" x14ac:dyDescent="0.25">
      <c r="A2" s="1" t="s">
        <v>27</v>
      </c>
      <c r="B2" s="1" t="s">
        <v>28</v>
      </c>
      <c r="C2" s="1" t="s">
        <v>29</v>
      </c>
      <c r="D2" s="1" t="s">
        <v>30</v>
      </c>
      <c r="E2">
        <f>'df.IC.finalSRP.soil.0t10'!E2</f>
        <v>11.2552083333333</v>
      </c>
      <c r="F2">
        <f>E2/365</f>
        <v>3.0836187214611781E-2</v>
      </c>
      <c r="G2">
        <f>'df.IC.finalSRP.soil.0t10'!F2</f>
        <v>1.7717274999999999</v>
      </c>
      <c r="H2">
        <f>'df.IC.finalSRP.soil.0t10'!M2</f>
        <v>0.45097233042338603</v>
      </c>
      <c r="I2">
        <f>'df.IC.finalSRP.soil.0t10'!H2</f>
        <v>19.05</v>
      </c>
      <c r="J2">
        <f>'df.IC.finalSRP.soil.0t10'!S2</f>
        <v>5.0000000000000001E-3</v>
      </c>
      <c r="K2">
        <f>1</f>
        <v>1</v>
      </c>
      <c r="L2">
        <v>0</v>
      </c>
      <c r="M2">
        <v>0</v>
      </c>
      <c r="N2">
        <v>1000</v>
      </c>
      <c r="O2">
        <f>Table1[[#This Row],[LOI_mean]]</f>
        <v>8.3136596765579496E-2</v>
      </c>
      <c r="P2" s="1">
        <f>Table1[[#This Row],[LOI_sd]]</f>
        <v>1.55090337472752E-2</v>
      </c>
      <c r="Q2">
        <f>31*(Table1[[#This Row],[Ox.Al_mean]]/27+Table1[[#This Row],[Ox.Fe_mean]]/56)/1000</f>
        <v>2.7455035888351671</v>
      </c>
      <c r="R2">
        <f>31*(Table1[[#This Row],[Ox.Al_sd]]/27+Table1[[#This Row],[Ox.Fe_sd]]/56)/1000</f>
        <v>0.15948505238549396</v>
      </c>
      <c r="S2">
        <f>Table1[[#This Row],[Ox.PSR_mean]]</f>
        <v>0.40155622273952701</v>
      </c>
      <c r="T2">
        <f>Table1[[#This Row],[Ox.PSR_sd]]</f>
        <v>4.5253726186215697E-2</v>
      </c>
      <c r="U2">
        <f>Table1[[#This Row],[clay_mean]]/100</f>
        <v>4.2000000000000003E-2</v>
      </c>
      <c r="V2">
        <f>1 - Table1[[#This Row],[sand_mean]]/100</f>
        <v>0.49033333333333406</v>
      </c>
      <c r="W2">
        <f>Table1[[#This Row],[BD_mean]]*1000*Table1[[#This Row],[WEPw_mean]]/1000*0.1</f>
        <v>1.5745685516207315</v>
      </c>
    </row>
    <row r="3" spans="1:91" x14ac:dyDescent="0.25">
      <c r="A3" s="1" t="s">
        <v>27</v>
      </c>
      <c r="B3" s="1" t="s">
        <v>28</v>
      </c>
      <c r="C3" s="1" t="s">
        <v>34</v>
      </c>
      <c r="D3" s="1" t="s">
        <v>30</v>
      </c>
      <c r="E3">
        <f>'df.IC.finalSRP.soil.0t10'!E3</f>
        <v>11.2552083333333</v>
      </c>
      <c r="F3">
        <f t="shared" ref="F3:F47" si="0">E3/365</f>
        <v>3.0836187214611781E-2</v>
      </c>
      <c r="G3">
        <f>'df.IC.finalSRP.soil.0t10'!F3</f>
        <v>2.0961466666666602</v>
      </c>
      <c r="H3">
        <f>'df.IC.finalSRP.soil.0t10'!M3</f>
        <v>0.55657211429128095</v>
      </c>
      <c r="I3">
        <f>'df.IC.finalSRP.soil.0t10'!H3</f>
        <v>19.05</v>
      </c>
      <c r="J3">
        <f>'df.IC.finalSRP.soil.0t10'!S3</f>
        <v>5.0000000000000001E-3</v>
      </c>
      <c r="K3">
        <f>1</f>
        <v>1</v>
      </c>
      <c r="L3">
        <v>0</v>
      </c>
      <c r="M3">
        <v>0</v>
      </c>
      <c r="N3">
        <v>1000</v>
      </c>
      <c r="O3">
        <f>Table1[[#This Row],[LOI_mean]]</f>
        <v>8.3136596765579496E-2</v>
      </c>
      <c r="P3" s="1">
        <f>Table1[[#This Row],[LOI_sd]]</f>
        <v>1.55090337472752E-2</v>
      </c>
      <c r="Q3">
        <f>31*(Table1[[#This Row],[Ox.Al_mean]]/27+Table1[[#This Row],[Ox.Fe_mean]]/56)/1000</f>
        <v>2.7455035888351671</v>
      </c>
      <c r="R3">
        <f>31*(Table1[[#This Row],[Ox.Al_sd]]/27+Table1[[#This Row],[Ox.Fe_sd]]/56)/1000</f>
        <v>0.15948505238549396</v>
      </c>
      <c r="S3">
        <f>Table1[[#This Row],[Ox.PSR_mean]]</f>
        <v>0.40155622273952701</v>
      </c>
      <c r="T3">
        <f>Table1[[#This Row],[Ox.PSR_sd]]</f>
        <v>4.5253726186215697E-2</v>
      </c>
      <c r="U3">
        <f>Table1[[#This Row],[clay_mean]]/100</f>
        <v>4.2000000000000003E-2</v>
      </c>
      <c r="V3">
        <f>1 - Table1[[#This Row],[sand_mean]]/100</f>
        <v>0.49033333333333406</v>
      </c>
      <c r="W3">
        <f>Table1[[#This Row],[BD_mean]]*1000*Table1[[#This Row],[WEPw_mean]]/1000*0.1</f>
        <v>1.5745685516207315</v>
      </c>
    </row>
    <row r="4" spans="1:91" x14ac:dyDescent="0.25">
      <c r="A4" s="1" t="s">
        <v>35</v>
      </c>
      <c r="B4" s="1">
        <v>2</v>
      </c>
      <c r="C4" s="1" t="s">
        <v>29</v>
      </c>
      <c r="D4" s="1" t="s">
        <v>36</v>
      </c>
      <c r="E4">
        <f>'df.IC.finalSRP.soil.0t10'!E4</f>
        <v>11.8541666666666</v>
      </c>
      <c r="F4">
        <f t="shared" si="0"/>
        <v>3.2477168949771505E-2</v>
      </c>
      <c r="G4">
        <f>'df.IC.finalSRP.soil.0t10'!F4</f>
        <v>0.68082666666666602</v>
      </c>
      <c r="H4">
        <f>'df.IC.finalSRP.soil.0t10'!M4</f>
        <v>7.5725788922048703E-2</v>
      </c>
      <c r="I4">
        <f>'df.IC.finalSRP.soil.0t10'!H4</f>
        <v>20.933333333333302</v>
      </c>
      <c r="J4">
        <f>'df.IC.finalSRP.soil.0t10'!S4</f>
        <v>5.0000000000000001E-3</v>
      </c>
      <c r="K4">
        <f>1</f>
        <v>1</v>
      </c>
      <c r="L4">
        <v>0</v>
      </c>
      <c r="M4">
        <v>0</v>
      </c>
      <c r="N4">
        <v>1000</v>
      </c>
      <c r="O4">
        <f>Table1[[#This Row],[LOI_mean]]</f>
        <v>3.9469455401219197E-2</v>
      </c>
      <c r="P4" s="1">
        <f>Table1[[#This Row],[LOI_sd]]</f>
        <v>3.1123844498527399E-3</v>
      </c>
      <c r="Q4">
        <f>31*(Table1[[#This Row],[Ox.Al_mean]]/27+Table1[[#This Row],[Ox.Fe_mean]]/56)/1000</f>
        <v>2.0446584440150439</v>
      </c>
      <c r="R4">
        <f>31*(Table1[[#This Row],[Ox.Al_sd]]/27+Table1[[#This Row],[Ox.Fe_sd]]/56)/1000</f>
        <v>0.16366604376609781</v>
      </c>
      <c r="S4">
        <f>Table1[[#This Row],[Ox.PSR_mean]]</f>
        <v>0.415130085976957</v>
      </c>
      <c r="T4">
        <f>Table1[[#This Row],[Ox.PSR_sd]]</f>
        <v>1.5278796833423701E-2</v>
      </c>
      <c r="U4">
        <f>Table1[[#This Row],[clay_mean]]/100</f>
        <v>6.25E-2</v>
      </c>
      <c r="V4">
        <f>1 - Table1[[#This Row],[sand_mean]]/100</f>
        <v>0.466700000000001</v>
      </c>
      <c r="W4">
        <f>Table1[[#This Row],[BD_mean]]*1000*Table1[[#This Row],[WEPw_mean]]/1000*0.1</f>
        <v>1.2754669678383568</v>
      </c>
      <c r="CM4" s="2"/>
    </row>
    <row r="5" spans="1:91" x14ac:dyDescent="0.25">
      <c r="A5" s="1" t="s">
        <v>35</v>
      </c>
      <c r="B5" s="1">
        <v>2</v>
      </c>
      <c r="C5" s="1" t="s">
        <v>34</v>
      </c>
      <c r="D5" s="1" t="s">
        <v>36</v>
      </c>
      <c r="E5">
        <f>'df.IC.finalSRP.soil.0t10'!E5</f>
        <v>11.8541666666666</v>
      </c>
      <c r="F5">
        <f t="shared" si="0"/>
        <v>3.2477168949771505E-2</v>
      </c>
      <c r="G5">
        <f>'df.IC.finalSRP.soil.0t10'!F5</f>
        <v>0.63131816666666596</v>
      </c>
      <c r="H5">
        <f>'df.IC.finalSRP.soil.0t10'!M5</f>
        <v>0.21465677147895099</v>
      </c>
      <c r="I5">
        <f>'df.IC.finalSRP.soil.0t10'!H5</f>
        <v>20.9</v>
      </c>
      <c r="J5">
        <f>'df.IC.finalSRP.soil.0t10'!S5</f>
        <v>5.0000000000000001E-3</v>
      </c>
      <c r="K5">
        <f>1</f>
        <v>1</v>
      </c>
      <c r="L5">
        <v>0</v>
      </c>
      <c r="M5">
        <v>0</v>
      </c>
      <c r="N5">
        <v>1000</v>
      </c>
      <c r="O5">
        <f>Table1[[#This Row],[LOI_mean]]</f>
        <v>3.9469455401219197E-2</v>
      </c>
      <c r="P5" s="1">
        <f>Table1[[#This Row],[LOI_sd]]</f>
        <v>3.1123844498527399E-3</v>
      </c>
      <c r="Q5">
        <f>31*(Table1[[#This Row],[Ox.Al_mean]]/27+Table1[[#This Row],[Ox.Fe_mean]]/56)/1000</f>
        <v>2.0446584440150439</v>
      </c>
      <c r="R5">
        <f>31*(Table1[[#This Row],[Ox.Al_sd]]/27+Table1[[#This Row],[Ox.Fe_sd]]/56)/1000</f>
        <v>0.16366604376609781</v>
      </c>
      <c r="S5">
        <f>Table1[[#This Row],[Ox.PSR_mean]]</f>
        <v>0.415130085976957</v>
      </c>
      <c r="T5">
        <f>Table1[[#This Row],[Ox.PSR_sd]]</f>
        <v>1.5278796833423701E-2</v>
      </c>
      <c r="U5">
        <f>Table1[[#This Row],[clay_mean]]/100</f>
        <v>6.25E-2</v>
      </c>
      <c r="V5">
        <f>1 - Table1[[#This Row],[sand_mean]]/100</f>
        <v>0.466700000000001</v>
      </c>
      <c r="W5">
        <f>Table1[[#This Row],[BD_mean]]*1000*Table1[[#This Row],[WEPw_mean]]/1000*0.1</f>
        <v>1.2754669678383568</v>
      </c>
      <c r="CM5" s="2"/>
    </row>
    <row r="6" spans="1:91" x14ac:dyDescent="0.25">
      <c r="A6" s="1" t="s">
        <v>35</v>
      </c>
      <c r="B6" s="1" t="s">
        <v>28</v>
      </c>
      <c r="C6" s="1" t="s">
        <v>29</v>
      </c>
      <c r="D6" s="1" t="s">
        <v>38</v>
      </c>
      <c r="E6">
        <f>'df.IC.finalSRP.soil.0t10'!E6</f>
        <v>11.283333333333299</v>
      </c>
      <c r="F6">
        <f t="shared" si="0"/>
        <v>3.0913242009132327E-2</v>
      </c>
      <c r="G6">
        <f>'df.IC.finalSRP.soil.0t10'!F6</f>
        <v>8.0335199999999996E-2</v>
      </c>
      <c r="H6">
        <f>'df.IC.finalSRP.soil.0t10'!M6</f>
        <v>2.68992356712974E-2</v>
      </c>
      <c r="I6">
        <f>'df.IC.finalSRP.soil.0t10'!H6</f>
        <v>20.22</v>
      </c>
      <c r="J6">
        <f>'df.IC.finalSRP.soil.0t10'!S6</f>
        <v>5.0000000000000001E-3</v>
      </c>
      <c r="K6">
        <f>1</f>
        <v>1</v>
      </c>
      <c r="L6">
        <v>0</v>
      </c>
      <c r="M6">
        <v>0</v>
      </c>
      <c r="N6">
        <v>1000</v>
      </c>
      <c r="O6">
        <f>Table1[[#This Row],[LOI_mean]]</f>
        <v>5.0274943009140899E-2</v>
      </c>
      <c r="P6" s="1">
        <f>Table1[[#This Row],[LOI_sd]]</f>
        <v>2.1915324089828601E-3</v>
      </c>
      <c r="Q6">
        <f>31*(Table1[[#This Row],[Ox.Al_mean]]/27+Table1[[#This Row],[Ox.Fe_mean]]/56)/1000</f>
        <v>3.0658020765800393</v>
      </c>
      <c r="R6">
        <f>31*(Table1[[#This Row],[Ox.Al_sd]]/27+Table1[[#This Row],[Ox.Fe_sd]]/56)/1000</f>
        <v>6.0449120131976383E-2</v>
      </c>
      <c r="S6">
        <f>Table1[[#This Row],[Ox.PSR_mean]]</f>
        <v>0.125760600638884</v>
      </c>
      <c r="T6">
        <f>Table1[[#This Row],[Ox.PSR_sd]]</f>
        <v>9.2392153057842697E-3</v>
      </c>
      <c r="U6">
        <f>Table1[[#This Row],[clay_mean]]/100</f>
        <v>6.7000000000000004E-2</v>
      </c>
      <c r="V6">
        <f>1 - Table1[[#This Row],[sand_mean]]/100</f>
        <v>0.69066666666666698</v>
      </c>
      <c r="W6">
        <f>Table1[[#This Row],[BD_mean]]*1000*Table1[[#This Row],[WEPw_mean]]/1000*0.1</f>
        <v>5.4291776721695377E-2</v>
      </c>
    </row>
    <row r="7" spans="1:91" x14ac:dyDescent="0.25">
      <c r="A7" s="1" t="s">
        <v>35</v>
      </c>
      <c r="B7" s="1" t="s">
        <v>28</v>
      </c>
      <c r="C7" s="1" t="s">
        <v>34</v>
      </c>
      <c r="D7" s="1" t="s">
        <v>38</v>
      </c>
      <c r="E7">
        <f>'df.IC.finalSRP.soil.0t10'!E7</f>
        <v>11.3836805555555</v>
      </c>
      <c r="F7">
        <f t="shared" si="0"/>
        <v>3.1188165905631508E-2</v>
      </c>
      <c r="G7">
        <f>'df.IC.finalSRP.soil.0t10'!F7</f>
        <v>1.9155078333333301E-2</v>
      </c>
      <c r="H7">
        <f>'df.IC.finalSRP.soil.0t10'!M7</f>
        <v>1.4987781784873099E-2</v>
      </c>
      <c r="I7">
        <f>'df.IC.finalSRP.soil.0t10'!H7</f>
        <v>20.2</v>
      </c>
      <c r="J7">
        <f>'df.IC.finalSRP.soil.0t10'!S7</f>
        <v>5.0000000000000001E-3</v>
      </c>
      <c r="K7">
        <f>1</f>
        <v>1</v>
      </c>
      <c r="L7">
        <v>0</v>
      </c>
      <c r="M7">
        <v>0</v>
      </c>
      <c r="N7">
        <v>1000</v>
      </c>
      <c r="O7">
        <f>Table1[[#This Row],[LOI_mean]]</f>
        <v>5.0274943009140899E-2</v>
      </c>
      <c r="P7" s="1">
        <f>Table1[[#This Row],[LOI_sd]]</f>
        <v>2.1915324089828601E-3</v>
      </c>
      <c r="Q7">
        <f>31*(Table1[[#This Row],[Ox.Al_mean]]/27+Table1[[#This Row],[Ox.Fe_mean]]/56)/1000</f>
        <v>3.0658020765800393</v>
      </c>
      <c r="R7">
        <f>31*(Table1[[#This Row],[Ox.Al_sd]]/27+Table1[[#This Row],[Ox.Fe_sd]]/56)/1000</f>
        <v>6.0449120131976383E-2</v>
      </c>
      <c r="S7">
        <f>Table1[[#This Row],[Ox.PSR_mean]]</f>
        <v>0.125760600638884</v>
      </c>
      <c r="T7">
        <f>Table1[[#This Row],[Ox.PSR_sd]]</f>
        <v>9.2392153057842697E-3</v>
      </c>
      <c r="U7">
        <f>Table1[[#This Row],[clay_mean]]/100</f>
        <v>6.7000000000000004E-2</v>
      </c>
      <c r="V7">
        <f>1 - Table1[[#This Row],[sand_mean]]/100</f>
        <v>0.69066666666666698</v>
      </c>
      <c r="W7">
        <f>Table1[[#This Row],[BD_mean]]*1000*Table1[[#This Row],[WEPw_mean]]/1000*0.1</f>
        <v>5.4291776721695377E-2</v>
      </c>
    </row>
    <row r="8" spans="1:91" x14ac:dyDescent="0.25">
      <c r="A8" s="1" t="s">
        <v>40</v>
      </c>
      <c r="B8" s="1" t="s">
        <v>41</v>
      </c>
      <c r="C8" s="1" t="s">
        <v>29</v>
      </c>
      <c r="D8" s="1" t="s">
        <v>42</v>
      </c>
      <c r="E8">
        <f>'df.IC.finalSRP.soil.0t10'!E8</f>
        <v>11.3836805555555</v>
      </c>
      <c r="F8">
        <f t="shared" si="0"/>
        <v>3.1188165905631508E-2</v>
      </c>
      <c r="G8">
        <f>'df.IC.finalSRP.soil.0t10'!F8</f>
        <v>1.722637</v>
      </c>
      <c r="H8">
        <f>'df.IC.finalSRP.soil.0t10'!M8</f>
        <v>1.0802566843958801</v>
      </c>
      <c r="I8">
        <f>'df.IC.finalSRP.soil.0t10'!H8</f>
        <v>20.2</v>
      </c>
      <c r="J8">
        <f>'df.IC.finalSRP.soil.0t10'!S8</f>
        <v>5.0000000000000001E-3</v>
      </c>
      <c r="K8">
        <f>1</f>
        <v>1</v>
      </c>
      <c r="L8">
        <v>0</v>
      </c>
      <c r="M8">
        <v>0</v>
      </c>
      <c r="N8">
        <v>1000</v>
      </c>
      <c r="O8">
        <f>Table1[[#This Row],[LOI_mean]]</f>
        <v>0.115279170629385</v>
      </c>
      <c r="P8" s="1">
        <f>Table1[[#This Row],[LOI_sd]]</f>
        <v>7.3641104114416794E-2</v>
      </c>
      <c r="Q8">
        <f>31*(Table1[[#This Row],[Ox.Al_mean]]/27+Table1[[#This Row],[Ox.Fe_mean]]/56)/1000</f>
        <v>3.8318131556514872</v>
      </c>
      <c r="R8">
        <f>31*(Table1[[#This Row],[Ox.Al_sd]]/27+Table1[[#This Row],[Ox.Fe_sd]]/56)/1000</f>
        <v>0.21016423616389535</v>
      </c>
      <c r="S8">
        <f>Table1[[#This Row],[Ox.PSR_mean]]</f>
        <v>0.198006054758634</v>
      </c>
      <c r="T8">
        <f>Table1[[#This Row],[Ox.PSR_sd]]</f>
        <v>4.6331363677071004E-3</v>
      </c>
      <c r="U8">
        <f>Table1[[#This Row],[clay_mean]]/100</f>
        <v>0.12133333333333302</v>
      </c>
      <c r="V8">
        <f>1 - Table1[[#This Row],[sand_mean]]/100</f>
        <v>0.834666666666667</v>
      </c>
      <c r="W8">
        <f>Table1[[#This Row],[BD_mean]]*1000*Table1[[#This Row],[WEPw_mean]]/1000*0.1</f>
        <v>0.24546189921282782</v>
      </c>
    </row>
    <row r="9" spans="1:91" x14ac:dyDescent="0.25">
      <c r="A9" s="1" t="s">
        <v>40</v>
      </c>
      <c r="B9" s="1" t="s">
        <v>41</v>
      </c>
      <c r="C9" s="1" t="s">
        <v>34</v>
      </c>
      <c r="D9" s="1" t="s">
        <v>42</v>
      </c>
      <c r="E9">
        <f>'df.IC.finalSRP.soil.0t10'!E9</f>
        <v>11.3836805555555</v>
      </c>
      <c r="F9">
        <f t="shared" si="0"/>
        <v>3.1188165905631508E-2</v>
      </c>
      <c r="G9">
        <f>'df.IC.finalSRP.soil.0t10'!F9</f>
        <v>0.90562933333333295</v>
      </c>
      <c r="H9">
        <f>'df.IC.finalSRP.soil.0t10'!M9</f>
        <v>1.13782156228042</v>
      </c>
      <c r="I9">
        <f>'df.IC.finalSRP.soil.0t10'!H9</f>
        <v>20.2</v>
      </c>
      <c r="J9">
        <f>'df.IC.finalSRP.soil.0t10'!S9</f>
        <v>5.0000000000000001E-3</v>
      </c>
      <c r="K9">
        <f>1</f>
        <v>1</v>
      </c>
      <c r="L9">
        <v>0</v>
      </c>
      <c r="M9">
        <v>0</v>
      </c>
      <c r="N9">
        <v>1000</v>
      </c>
      <c r="O9">
        <f>Table1[[#This Row],[LOI_mean]]</f>
        <v>0.115279170629385</v>
      </c>
      <c r="P9" s="1">
        <f>Table1[[#This Row],[LOI_sd]]</f>
        <v>7.3641104114416794E-2</v>
      </c>
      <c r="Q9">
        <f>31*(Table1[[#This Row],[Ox.Al_mean]]/27+Table1[[#This Row],[Ox.Fe_mean]]/56)/1000</f>
        <v>3.8318131556514872</v>
      </c>
      <c r="R9">
        <f>31*(Table1[[#This Row],[Ox.Al_sd]]/27+Table1[[#This Row],[Ox.Fe_sd]]/56)/1000</f>
        <v>0.21016423616389535</v>
      </c>
      <c r="S9">
        <f>Table1[[#This Row],[Ox.PSR_mean]]</f>
        <v>0.198006054758634</v>
      </c>
      <c r="T9">
        <f>Table1[[#This Row],[Ox.PSR_sd]]</f>
        <v>4.6331363677071004E-3</v>
      </c>
      <c r="U9">
        <f>Table1[[#This Row],[clay_mean]]/100</f>
        <v>0.12133333333333302</v>
      </c>
      <c r="V9">
        <f>1 - Table1[[#This Row],[sand_mean]]/100</f>
        <v>0.834666666666667</v>
      </c>
      <c r="W9">
        <f>Table1[[#This Row],[BD_mean]]*1000*Table1[[#This Row],[WEPw_mean]]/1000*0.1</f>
        <v>0.24546189921282782</v>
      </c>
    </row>
    <row r="10" spans="1:91" x14ac:dyDescent="0.25">
      <c r="A10" s="1" t="s">
        <v>40</v>
      </c>
      <c r="B10" s="1" t="s">
        <v>28</v>
      </c>
      <c r="C10" s="1" t="s">
        <v>29</v>
      </c>
      <c r="D10" s="1" t="s">
        <v>43</v>
      </c>
      <c r="E10">
        <f>'df.IC.finalSRP.soil.0t10'!E10</f>
        <v>11.3836805555555</v>
      </c>
      <c r="F10">
        <f t="shared" si="0"/>
        <v>3.1188165905631508E-2</v>
      </c>
      <c r="G10">
        <f>'df.IC.finalSRP.soil.0t10'!F10</f>
        <v>0.1351415</v>
      </c>
      <c r="H10">
        <f>'df.IC.finalSRP.soil.0t10'!M10</f>
        <v>2.9258756014225801E-2</v>
      </c>
      <c r="I10">
        <f>'df.IC.finalSRP.soil.0t10'!H10</f>
        <v>20.2</v>
      </c>
      <c r="J10">
        <f>'df.IC.finalSRP.soil.0t10'!S10</f>
        <v>5.0000000000000001E-3</v>
      </c>
      <c r="K10">
        <f>1</f>
        <v>1</v>
      </c>
      <c r="L10">
        <v>0</v>
      </c>
      <c r="M10">
        <v>0</v>
      </c>
      <c r="N10">
        <v>1000</v>
      </c>
      <c r="O10">
        <f>Table1[[#This Row],[LOI_mean]]</f>
        <v>0.18823554143329599</v>
      </c>
      <c r="P10" s="1">
        <f>Table1[[#This Row],[LOI_sd]]</f>
        <v>7.8811604736588308E-3</v>
      </c>
      <c r="Q10">
        <f>31*(Table1[[#This Row],[Ox.Al_mean]]/27+Table1[[#This Row],[Ox.Fe_mean]]/56)/1000</f>
        <v>7.7995226394342181</v>
      </c>
      <c r="R10">
        <f>31*(Table1[[#This Row],[Ox.Al_sd]]/27+Table1[[#This Row],[Ox.Fe_sd]]/56)/1000</f>
        <v>0.80190733165399852</v>
      </c>
      <c r="S10">
        <f>Table1[[#This Row],[Ox.PSR_mean]]</f>
        <v>9.1267375877981199E-2</v>
      </c>
      <c r="T10">
        <f>Table1[[#This Row],[Ox.PSR_sd]]</f>
        <v>3.2703235505608399E-3</v>
      </c>
      <c r="U10">
        <f>Table1[[#This Row],[clay_mean]]/100</f>
        <v>0.391666666666666</v>
      </c>
      <c r="V10">
        <f>1 - Table1[[#This Row],[sand_mean]]/100</f>
        <v>0.98433333333333339</v>
      </c>
      <c r="W10">
        <f>Table1[[#This Row],[BD_mean]]*1000*Table1[[#This Row],[WEPw_mean]]/1000*0.1</f>
        <v>0.12377299618306835</v>
      </c>
    </row>
    <row r="11" spans="1:91" x14ac:dyDescent="0.25">
      <c r="A11" s="1" t="s">
        <v>40</v>
      </c>
      <c r="B11" s="1" t="s">
        <v>28</v>
      </c>
      <c r="C11" s="1" t="s">
        <v>34</v>
      </c>
      <c r="D11" s="1" t="s">
        <v>43</v>
      </c>
      <c r="E11">
        <f>'df.IC.finalSRP.soil.0t10'!E11</f>
        <v>11.3836805555555</v>
      </c>
      <c r="F11">
        <f t="shared" si="0"/>
        <v>3.1188165905631508E-2</v>
      </c>
      <c r="G11">
        <f>'df.IC.finalSRP.soil.0t10'!F11</f>
        <v>2.4296333333333298E-2</v>
      </c>
      <c r="H11">
        <f>'df.IC.finalSRP.soil.0t10'!M11</f>
        <v>5.7247027404631803E-3</v>
      </c>
      <c r="I11">
        <f>'df.IC.finalSRP.soil.0t10'!H11</f>
        <v>20.2</v>
      </c>
      <c r="J11">
        <f>'df.IC.finalSRP.soil.0t10'!S11</f>
        <v>5.0000000000000001E-3</v>
      </c>
      <c r="K11">
        <f>1</f>
        <v>1</v>
      </c>
      <c r="L11">
        <v>0</v>
      </c>
      <c r="M11">
        <v>0</v>
      </c>
      <c r="N11">
        <v>1000</v>
      </c>
      <c r="O11">
        <f>Table1[[#This Row],[LOI_mean]]</f>
        <v>0.18823554143329599</v>
      </c>
      <c r="P11" s="1">
        <f>Table1[[#This Row],[LOI_sd]]</f>
        <v>7.8811604736588308E-3</v>
      </c>
      <c r="Q11">
        <f>31*(Table1[[#This Row],[Ox.Al_mean]]/27+Table1[[#This Row],[Ox.Fe_mean]]/56)/1000</f>
        <v>7.7995226394342181</v>
      </c>
      <c r="R11">
        <f>31*(Table1[[#This Row],[Ox.Al_sd]]/27+Table1[[#This Row],[Ox.Fe_sd]]/56)/1000</f>
        <v>0.80190733165399852</v>
      </c>
      <c r="S11">
        <f>Table1[[#This Row],[Ox.PSR_mean]]</f>
        <v>9.1267375877981199E-2</v>
      </c>
      <c r="T11">
        <f>Table1[[#This Row],[Ox.PSR_sd]]</f>
        <v>3.2703235505608399E-3</v>
      </c>
      <c r="U11">
        <f>Table1[[#This Row],[clay_mean]]/100</f>
        <v>0.391666666666666</v>
      </c>
      <c r="V11">
        <f>1 - Table1[[#This Row],[sand_mean]]/100</f>
        <v>0.98433333333333339</v>
      </c>
      <c r="W11">
        <f>Table1[[#This Row],[BD_mean]]*1000*Table1[[#This Row],[WEPw_mean]]/1000*0.1</f>
        <v>0.12377299618306835</v>
      </c>
    </row>
    <row r="12" spans="1:91" x14ac:dyDescent="0.25">
      <c r="A12" s="1" t="s">
        <v>44</v>
      </c>
      <c r="B12" s="1">
        <v>1</v>
      </c>
      <c r="C12" s="1" t="s">
        <v>29</v>
      </c>
      <c r="D12" s="1" t="s">
        <v>45</v>
      </c>
      <c r="E12">
        <f>'df.IC.finalSRP.soil.0t10'!E12</f>
        <v>11.913888888888801</v>
      </c>
      <c r="F12">
        <f t="shared" si="0"/>
        <v>3.2640791476407673E-2</v>
      </c>
      <c r="G12">
        <f>'df.IC.finalSRP.soil.0t10'!F12</f>
        <v>0.192915</v>
      </c>
      <c r="H12">
        <f>'df.IC.finalSRP.soil.0t10'!M12</f>
        <v>0.10164388037161901</v>
      </c>
      <c r="I12">
        <f>'df.IC.finalSRP.soil.0t10'!H12</f>
        <v>21.3</v>
      </c>
      <c r="J12">
        <f>'df.IC.finalSRP.soil.0t10'!S12</f>
        <v>1.03E-2</v>
      </c>
      <c r="K12">
        <f>1</f>
        <v>1</v>
      </c>
      <c r="L12">
        <v>0</v>
      </c>
      <c r="M12">
        <v>0</v>
      </c>
      <c r="N12">
        <v>1000</v>
      </c>
      <c r="O12">
        <f>Table1[[#This Row],[LOI_mean]]</f>
        <v>0.11307420494699599</v>
      </c>
      <c r="P12" s="1" t="str">
        <f>Table1[[#This Row],[LOI_sd]]</f>
        <v>NA</v>
      </c>
      <c r="Q12">
        <f>31*(Table1[[#This Row],[Ox.Al_mean]]/27+Table1[[#This Row],[Ox.Fe_mean]]/56)/1000</f>
        <v>3.7884788359788359</v>
      </c>
      <c r="R12" t="e">
        <f>31*(Table1[[#This Row],[Ox.Al_sd]]/27+Table1[[#This Row],[Ox.Fe_sd]]/56)/1000</f>
        <v>#VALUE!</v>
      </c>
      <c r="S12">
        <f>Table1[[#This Row],[Ox.PSR_mean]]</f>
        <v>0.21090259035156</v>
      </c>
      <c r="T12" t="str">
        <f>Table1[[#This Row],[Ox.PSR_sd]]</f>
        <v>NA</v>
      </c>
      <c r="U12" t="e">
        <f>Table1[[#This Row],[clay_mean]]/100</f>
        <v>#VALUE!</v>
      </c>
      <c r="V12" t="e">
        <f>1 - Table1[[#This Row],[sand_mean]]/100</f>
        <v>#VALUE!</v>
      </c>
      <c r="W12">
        <f>Table1[[#This Row],[BD_mean]]*1000*Table1[[#This Row],[WEPw_mean]]/1000*0.1</f>
        <v>1.7940184642816312E-2</v>
      </c>
      <c r="BT12" s="2"/>
    </row>
    <row r="13" spans="1:91" x14ac:dyDescent="0.25">
      <c r="A13" s="1" t="s">
        <v>44</v>
      </c>
      <c r="B13" s="1">
        <v>1</v>
      </c>
      <c r="C13" s="1" t="s">
        <v>29</v>
      </c>
      <c r="D13" s="1" t="s">
        <v>45</v>
      </c>
      <c r="E13">
        <f>'df.IC.finalSRP.soil.0t10'!E13</f>
        <v>11.913888888888801</v>
      </c>
      <c r="F13">
        <f t="shared" si="0"/>
        <v>3.2640791476407673E-2</v>
      </c>
      <c r="G13">
        <f>'df.IC.finalSRP.soil.0t10'!F13</f>
        <v>0.192915</v>
      </c>
      <c r="H13">
        <f>'df.IC.finalSRP.soil.0t10'!M13</f>
        <v>0.10164388037161901</v>
      </c>
      <c r="I13">
        <f>'df.IC.finalSRP.soil.0t10'!H13</f>
        <v>21.3</v>
      </c>
      <c r="J13">
        <f>'df.IC.finalSRP.soil.0t10'!S13</f>
        <v>1.03E-2</v>
      </c>
      <c r="K13">
        <f>1</f>
        <v>1</v>
      </c>
      <c r="L13">
        <v>0</v>
      </c>
      <c r="M13">
        <v>0</v>
      </c>
      <c r="N13">
        <v>1000</v>
      </c>
      <c r="O13">
        <f>Table1[[#This Row],[LOI_mean]]</f>
        <v>0.12844880304923301</v>
      </c>
      <c r="P13" s="1">
        <f>Table1[[#This Row],[LOI_sd]]</f>
        <v>1.9618026828991199E-2</v>
      </c>
      <c r="Q13">
        <f>31*(Table1[[#This Row],[Ox.Al_mean]]/27+Table1[[#This Row],[Ox.Fe_mean]]/56)/1000</f>
        <v>3.2822652829194876</v>
      </c>
      <c r="R13">
        <f>31*(Table1[[#This Row],[Ox.Al_sd]]/27+Table1[[#This Row],[Ox.Fe_sd]]/56)/1000</f>
        <v>0.17172013270924658</v>
      </c>
      <c r="S13">
        <f>Table1[[#This Row],[Ox.PSR_mean]]</f>
        <v>0.21647222375577299</v>
      </c>
      <c r="T13">
        <f>Table1[[#This Row],[Ox.PSR_sd]]</f>
        <v>3.5193609984933698E-4</v>
      </c>
      <c r="U13">
        <f>Table1[[#This Row],[clay_mean]]/100</f>
        <v>0.1</v>
      </c>
      <c r="V13">
        <f>1 - Table1[[#This Row],[sand_mean]]/100</f>
        <v>0.94694999999999974</v>
      </c>
      <c r="W13">
        <f>Table1[[#This Row],[BD_mean]]*1000*Table1[[#This Row],[WEPw_mean]]/1000*0.1</f>
        <v>1.4027274833606032E-2</v>
      </c>
      <c r="BT13" s="2"/>
    </row>
    <row r="14" spans="1:91" x14ac:dyDescent="0.25">
      <c r="A14" s="1" t="s">
        <v>44</v>
      </c>
      <c r="B14" s="1">
        <v>1</v>
      </c>
      <c r="C14" s="1" t="s">
        <v>34</v>
      </c>
      <c r="D14" s="1" t="s">
        <v>45</v>
      </c>
      <c r="E14">
        <f>'df.IC.finalSRP.soil.0t10'!E14</f>
        <v>11.9013888888888</v>
      </c>
      <c r="F14">
        <f t="shared" si="0"/>
        <v>3.2606544901065203E-2</v>
      </c>
      <c r="G14">
        <f>'df.IC.finalSRP.soil.0t10'!F14</f>
        <v>3.4684554999999999E-2</v>
      </c>
      <c r="H14">
        <f>'df.IC.finalSRP.soil.0t10'!M14</f>
        <v>1.0692410954694601E-2</v>
      </c>
      <c r="I14">
        <f>'df.IC.finalSRP.soil.0t10'!H14</f>
        <v>21.5</v>
      </c>
      <c r="J14">
        <f>'df.IC.finalSRP.soil.0t10'!S14</f>
        <v>1.03E-2</v>
      </c>
      <c r="K14">
        <f>1</f>
        <v>1</v>
      </c>
      <c r="L14">
        <v>0</v>
      </c>
      <c r="M14">
        <v>0</v>
      </c>
      <c r="N14">
        <v>1000</v>
      </c>
      <c r="O14">
        <f>Table1[[#This Row],[LOI_mean]]</f>
        <v>0.11307420494699599</v>
      </c>
      <c r="P14" s="1" t="str">
        <f>Table1[[#This Row],[LOI_sd]]</f>
        <v>NA</v>
      </c>
      <c r="Q14">
        <f>31*(Table1[[#This Row],[Ox.Al_mean]]/27+Table1[[#This Row],[Ox.Fe_mean]]/56)/1000</f>
        <v>3.7884788359788359</v>
      </c>
      <c r="R14" t="e">
        <f>31*(Table1[[#This Row],[Ox.Al_sd]]/27+Table1[[#This Row],[Ox.Fe_sd]]/56)/1000</f>
        <v>#VALUE!</v>
      </c>
      <c r="S14">
        <f>Table1[[#This Row],[Ox.PSR_mean]]</f>
        <v>0.21090259035156</v>
      </c>
      <c r="T14" t="str">
        <f>Table1[[#This Row],[Ox.PSR_sd]]</f>
        <v>NA</v>
      </c>
      <c r="U14" t="e">
        <f>Table1[[#This Row],[clay_mean]]/100</f>
        <v>#VALUE!</v>
      </c>
      <c r="V14" t="e">
        <f>1 - Table1[[#This Row],[sand_mean]]/100</f>
        <v>#VALUE!</v>
      </c>
      <c r="W14">
        <f>Table1[[#This Row],[BD_mean]]*1000*Table1[[#This Row],[WEPw_mean]]/1000*0.1</f>
        <v>1.7940184642816312E-2</v>
      </c>
      <c r="CD14" s="2"/>
    </row>
    <row r="15" spans="1:91" x14ac:dyDescent="0.25">
      <c r="A15" s="1" t="s">
        <v>44</v>
      </c>
      <c r="B15" s="1">
        <v>1</v>
      </c>
      <c r="C15" s="1" t="s">
        <v>34</v>
      </c>
      <c r="D15" s="1" t="s">
        <v>45</v>
      </c>
      <c r="E15">
        <f>'df.IC.finalSRP.soil.0t10'!E15</f>
        <v>11.9013888888888</v>
      </c>
      <c r="F15">
        <f t="shared" si="0"/>
        <v>3.2606544901065203E-2</v>
      </c>
      <c r="G15">
        <f>'df.IC.finalSRP.soil.0t10'!F15</f>
        <v>3.4684554999999999E-2</v>
      </c>
      <c r="H15">
        <f>'df.IC.finalSRP.soil.0t10'!M15</f>
        <v>1.0692410954694601E-2</v>
      </c>
      <c r="I15">
        <f>'df.IC.finalSRP.soil.0t10'!H15</f>
        <v>21.5</v>
      </c>
      <c r="J15">
        <f>'df.IC.finalSRP.soil.0t10'!S15</f>
        <v>1.03E-2</v>
      </c>
      <c r="K15">
        <f>1</f>
        <v>1</v>
      </c>
      <c r="L15">
        <v>0</v>
      </c>
      <c r="M15">
        <v>0</v>
      </c>
      <c r="N15">
        <v>1000</v>
      </c>
      <c r="O15">
        <f>Table1[[#This Row],[LOI_mean]]</f>
        <v>0.12844880304923301</v>
      </c>
      <c r="P15" s="1">
        <f>Table1[[#This Row],[LOI_sd]]</f>
        <v>1.9618026828991199E-2</v>
      </c>
      <c r="Q15">
        <f>31*(Table1[[#This Row],[Ox.Al_mean]]/27+Table1[[#This Row],[Ox.Fe_mean]]/56)/1000</f>
        <v>3.2822652829194876</v>
      </c>
      <c r="R15">
        <f>31*(Table1[[#This Row],[Ox.Al_sd]]/27+Table1[[#This Row],[Ox.Fe_sd]]/56)/1000</f>
        <v>0.17172013270924658</v>
      </c>
      <c r="S15">
        <f>Table1[[#This Row],[Ox.PSR_mean]]</f>
        <v>0.21647222375577299</v>
      </c>
      <c r="T15">
        <f>Table1[[#This Row],[Ox.PSR_sd]]</f>
        <v>3.5193609984933698E-4</v>
      </c>
      <c r="U15">
        <f>Table1[[#This Row],[clay_mean]]/100</f>
        <v>0.1</v>
      </c>
      <c r="V15">
        <f>1 - Table1[[#This Row],[sand_mean]]/100</f>
        <v>0.94694999999999974</v>
      </c>
      <c r="W15">
        <f>Table1[[#This Row],[BD_mean]]*1000*Table1[[#This Row],[WEPw_mean]]/1000*0.1</f>
        <v>1.4027274833606032E-2</v>
      </c>
      <c r="CD15" s="2"/>
    </row>
    <row r="16" spans="1:91" x14ac:dyDescent="0.25">
      <c r="A16" s="1" t="s">
        <v>47</v>
      </c>
      <c r="B16" s="1">
        <v>0</v>
      </c>
      <c r="C16" s="1" t="s">
        <v>29</v>
      </c>
      <c r="D16" s="1" t="s">
        <v>48</v>
      </c>
      <c r="E16">
        <f>'df.IC.finalSRP.soil.0t10'!E16</f>
        <v>12.9583333333333</v>
      </c>
      <c r="F16">
        <f t="shared" si="0"/>
        <v>3.5502283105022743E-2</v>
      </c>
      <c r="G16">
        <f>'df.IC.finalSRP.soil.0t10'!F16</f>
        <v>0.29113711111111101</v>
      </c>
      <c r="H16">
        <f>'df.IC.finalSRP.soil.0t10'!M16</f>
        <v>0.120331393515412</v>
      </c>
      <c r="I16">
        <f>'df.IC.finalSRP.soil.0t10'!H16</f>
        <v>18.5</v>
      </c>
      <c r="J16">
        <f>'df.IC.finalSRP.soil.0t10'!S16</f>
        <v>5.0000000000000001E-3</v>
      </c>
      <c r="K16">
        <f>1</f>
        <v>1</v>
      </c>
      <c r="L16">
        <v>0</v>
      </c>
      <c r="M16">
        <v>0</v>
      </c>
      <c r="N16">
        <v>1000</v>
      </c>
      <c r="O16">
        <f>Table1[[#This Row],[LOI_mean]]</f>
        <v>0.24332643327384401</v>
      </c>
      <c r="P16" s="1">
        <f>Table1[[#This Row],[LOI_sd]]</f>
        <v>3.8927152125169E-2</v>
      </c>
      <c r="Q16">
        <f>31*(Table1[[#This Row],[Ox.Al_mean]]/27+Table1[[#This Row],[Ox.Fe_mean]]/56)/1000</f>
        <v>3.2990540767432579</v>
      </c>
      <c r="R16">
        <f>31*(Table1[[#This Row],[Ox.Al_sd]]/27+Table1[[#This Row],[Ox.Fe_sd]]/56)/1000</f>
        <v>0.70138782513144349</v>
      </c>
      <c r="S16">
        <f>Table1[[#This Row],[Ox.PSR_mean]]</f>
        <v>0.12108195360572201</v>
      </c>
      <c r="T16">
        <f>Table1[[#This Row],[Ox.PSR_sd]]</f>
        <v>1.8885537611178201E-3</v>
      </c>
      <c r="U16">
        <f>Table1[[#This Row],[clay_mean]]/100</f>
        <v>0.1125</v>
      </c>
      <c r="V16">
        <f>1 - Table1[[#This Row],[sand_mean]]/100</f>
        <v>0.627000000000001</v>
      </c>
      <c r="W16">
        <f>Table1[[#This Row],[BD_mean]]*1000*Table1[[#This Row],[WEPw_mean]]/1000*0.1</f>
        <v>1.7450559025448922E-2</v>
      </c>
    </row>
    <row r="17" spans="1:95" x14ac:dyDescent="0.25">
      <c r="A17" s="1" t="s">
        <v>47</v>
      </c>
      <c r="B17" s="1">
        <v>0</v>
      </c>
      <c r="C17" s="1" t="s">
        <v>34</v>
      </c>
      <c r="D17" s="1" t="s">
        <v>48</v>
      </c>
      <c r="E17">
        <f>'df.IC.finalSRP.soil.0t10'!E17</f>
        <v>12.9583333333333</v>
      </c>
      <c r="F17">
        <f t="shared" si="0"/>
        <v>3.5502283105022743E-2</v>
      </c>
      <c r="G17">
        <f>'df.IC.finalSRP.soil.0t10'!F17</f>
        <v>8.2485441111111099E-2</v>
      </c>
      <c r="H17">
        <f>'df.IC.finalSRP.soil.0t10'!M17</f>
        <v>3.8039194813819399E-2</v>
      </c>
      <c r="I17">
        <f>'df.IC.finalSRP.soil.0t10'!H17</f>
        <v>18.5</v>
      </c>
      <c r="J17">
        <f>'df.IC.finalSRP.soil.0t10'!S17</f>
        <v>5.0000000000000001E-3</v>
      </c>
      <c r="K17">
        <f>1</f>
        <v>1</v>
      </c>
      <c r="L17">
        <v>0</v>
      </c>
      <c r="M17">
        <v>0</v>
      </c>
      <c r="N17">
        <v>1000</v>
      </c>
      <c r="O17">
        <f>Table1[[#This Row],[LOI_mean]]</f>
        <v>0.24332643327384401</v>
      </c>
      <c r="P17" s="1">
        <f>Table1[[#This Row],[LOI_sd]]</f>
        <v>3.8927152125169E-2</v>
      </c>
      <c r="Q17">
        <f>31*(Table1[[#This Row],[Ox.Al_mean]]/27+Table1[[#This Row],[Ox.Fe_mean]]/56)/1000</f>
        <v>3.2990540767432579</v>
      </c>
      <c r="R17">
        <f>31*(Table1[[#This Row],[Ox.Al_sd]]/27+Table1[[#This Row],[Ox.Fe_sd]]/56)/1000</f>
        <v>0.70138782513144349</v>
      </c>
      <c r="S17">
        <f>Table1[[#This Row],[Ox.PSR_mean]]</f>
        <v>0.12108195360572201</v>
      </c>
      <c r="T17">
        <f>Table1[[#This Row],[Ox.PSR_sd]]</f>
        <v>1.8885537611178201E-3</v>
      </c>
      <c r="U17">
        <f>Table1[[#This Row],[clay_mean]]/100</f>
        <v>0.1125</v>
      </c>
      <c r="V17">
        <f>1 - Table1[[#This Row],[sand_mean]]/100</f>
        <v>0.627000000000001</v>
      </c>
      <c r="W17">
        <f>Table1[[#This Row],[BD_mean]]*1000*Table1[[#This Row],[WEPw_mean]]/1000*0.1</f>
        <v>1.7450559025448922E-2</v>
      </c>
    </row>
    <row r="18" spans="1:95" x14ac:dyDescent="0.25">
      <c r="A18" s="1" t="s">
        <v>47</v>
      </c>
      <c r="B18" s="1">
        <v>2</v>
      </c>
      <c r="C18" s="1" t="s">
        <v>29</v>
      </c>
      <c r="D18" s="1" t="s">
        <v>49</v>
      </c>
      <c r="E18">
        <f>'df.IC.finalSRP.soil.0t10'!E18</f>
        <v>12.7215277777777</v>
      </c>
      <c r="F18">
        <f t="shared" si="0"/>
        <v>3.4853500761034793E-2</v>
      </c>
      <c r="G18">
        <f>'df.IC.finalSRP.soil.0t10'!F18</f>
        <v>0.21734500000000001</v>
      </c>
      <c r="H18">
        <f>'df.IC.finalSRP.soil.0t10'!M18</f>
        <v>8.1940761712349194E-2</v>
      </c>
      <c r="I18">
        <f>'df.IC.finalSRP.soil.0t10'!H18</f>
        <v>21.883333333333301</v>
      </c>
      <c r="J18">
        <f>'df.IC.finalSRP.soil.0t10'!S18</f>
        <v>5.0000000000000001E-3</v>
      </c>
      <c r="K18">
        <f>1</f>
        <v>1</v>
      </c>
      <c r="L18">
        <v>0</v>
      </c>
      <c r="M18">
        <v>0</v>
      </c>
      <c r="N18">
        <v>1000</v>
      </c>
      <c r="O18">
        <f>Table1[[#This Row],[LOI_mean]]</f>
        <v>0.18933589983291399</v>
      </c>
      <c r="P18" s="1">
        <f>Table1[[#This Row],[LOI_sd]]</f>
        <v>1.49523386325979E-2</v>
      </c>
      <c r="Q18">
        <f>31*(Table1[[#This Row],[Ox.Al_mean]]/27+Table1[[#This Row],[Ox.Fe_mean]]/56)/1000</f>
        <v>4.1544527455095768</v>
      </c>
      <c r="R18">
        <f>31*(Table1[[#This Row],[Ox.Al_sd]]/27+Table1[[#This Row],[Ox.Fe_sd]]/56)/1000</f>
        <v>0.34397317583787801</v>
      </c>
      <c r="S18">
        <f>Table1[[#This Row],[Ox.PSR_mean]]</f>
        <v>8.6802561034888495E-2</v>
      </c>
      <c r="T18">
        <f>Table1[[#This Row],[Ox.PSR_sd]]</f>
        <v>5.3704682955372602E-3</v>
      </c>
      <c r="U18">
        <f>Table1[[#This Row],[clay_mean]]/100</f>
        <v>0.3125</v>
      </c>
      <c r="V18">
        <f>1 - Table1[[#This Row],[sand_mean]]/100</f>
        <v>0.8327</v>
      </c>
      <c r="W18">
        <f>Table1[[#This Row],[BD_mean]]*1000*Table1[[#This Row],[WEPw_mean]]/1000*0.1</f>
        <v>1.1289190892666681E-2</v>
      </c>
      <c r="CQ18" s="2"/>
    </row>
    <row r="19" spans="1:95" x14ac:dyDescent="0.25">
      <c r="A19" s="1" t="s">
        <v>47</v>
      </c>
      <c r="B19" s="1">
        <v>2</v>
      </c>
      <c r="C19" s="1" t="s">
        <v>34</v>
      </c>
      <c r="D19" s="1" t="s">
        <v>49</v>
      </c>
      <c r="E19">
        <f>'df.IC.finalSRP.soil.0t10'!E19</f>
        <v>12.7215277777777</v>
      </c>
      <c r="F19">
        <f t="shared" si="0"/>
        <v>3.4853500761034793E-2</v>
      </c>
      <c r="G19">
        <f>'df.IC.finalSRP.soil.0t10'!F19</f>
        <v>0.13182666666666601</v>
      </c>
      <c r="H19">
        <f>'df.IC.finalSRP.soil.0t10'!M19</f>
        <v>9.8072050792601798E-2</v>
      </c>
      <c r="I19">
        <f>'df.IC.finalSRP.soil.0t10'!H19</f>
        <v>22.033333333333299</v>
      </c>
      <c r="J19">
        <f>'df.IC.finalSRP.soil.0t10'!S19</f>
        <v>5.0000000000000001E-3</v>
      </c>
      <c r="K19">
        <f>1</f>
        <v>1</v>
      </c>
      <c r="L19">
        <v>0</v>
      </c>
      <c r="M19">
        <v>0</v>
      </c>
      <c r="N19">
        <v>1000</v>
      </c>
      <c r="O19">
        <f>Table1[[#This Row],[LOI_mean]]</f>
        <v>0.18933589983291399</v>
      </c>
      <c r="P19" s="1">
        <f>Table1[[#This Row],[LOI_sd]]</f>
        <v>1.49523386325979E-2</v>
      </c>
      <c r="Q19">
        <f>31*(Table1[[#This Row],[Ox.Al_mean]]/27+Table1[[#This Row],[Ox.Fe_mean]]/56)/1000</f>
        <v>4.1544527455095768</v>
      </c>
      <c r="R19">
        <f>31*(Table1[[#This Row],[Ox.Al_sd]]/27+Table1[[#This Row],[Ox.Fe_sd]]/56)/1000</f>
        <v>0.34397317583787801</v>
      </c>
      <c r="S19">
        <f>Table1[[#This Row],[Ox.PSR_mean]]</f>
        <v>8.6802561034888495E-2</v>
      </c>
      <c r="T19">
        <f>Table1[[#This Row],[Ox.PSR_sd]]</f>
        <v>5.3704682955372602E-3</v>
      </c>
      <c r="U19">
        <f>Table1[[#This Row],[clay_mean]]/100</f>
        <v>0.3125</v>
      </c>
      <c r="V19">
        <f>1 - Table1[[#This Row],[sand_mean]]/100</f>
        <v>0.8327</v>
      </c>
      <c r="W19">
        <f>Table1[[#This Row],[BD_mean]]*1000*Table1[[#This Row],[WEPw_mean]]/1000*0.1</f>
        <v>1.1289190892666681E-2</v>
      </c>
      <c r="CQ19" s="2"/>
    </row>
    <row r="20" spans="1:95" x14ac:dyDescent="0.25">
      <c r="A20" s="1" t="s">
        <v>47</v>
      </c>
      <c r="B20" s="1">
        <v>4</v>
      </c>
      <c r="C20" s="1" t="s">
        <v>29</v>
      </c>
      <c r="D20" s="1" t="s">
        <v>50</v>
      </c>
      <c r="E20">
        <f>'df.IC.finalSRP.soil.0t10'!E20</f>
        <v>12.9583333333333</v>
      </c>
      <c r="F20">
        <f t="shared" si="0"/>
        <v>3.5502283105022743E-2</v>
      </c>
      <c r="G20">
        <f>'df.IC.finalSRP.soil.0t10'!F20</f>
        <v>0.26560011111111098</v>
      </c>
      <c r="H20">
        <f>'df.IC.finalSRP.soil.0t10'!M20</f>
        <v>9.3647453169379405E-2</v>
      </c>
      <c r="I20">
        <f>'df.IC.finalSRP.soil.0t10'!H20</f>
        <v>18.5</v>
      </c>
      <c r="J20">
        <f>'df.IC.finalSRP.soil.0t10'!S20</f>
        <v>5.0000000000000001E-3</v>
      </c>
      <c r="K20">
        <f>1</f>
        <v>1</v>
      </c>
      <c r="L20">
        <v>0</v>
      </c>
      <c r="M20">
        <v>0</v>
      </c>
      <c r="N20">
        <v>1000</v>
      </c>
      <c r="O20">
        <f>Table1[[#This Row],[LOI_mean]]</f>
        <v>0.15390817741973201</v>
      </c>
      <c r="P20" s="1">
        <f>Table1[[#This Row],[LOI_sd]]</f>
        <v>1.9617302845701699E-2</v>
      </c>
      <c r="Q20">
        <f>31*(Table1[[#This Row],[Ox.Al_mean]]/27+Table1[[#This Row],[Ox.Fe_mean]]/56)/1000</f>
        <v>3.8975680285658489</v>
      </c>
      <c r="R20">
        <f>31*(Table1[[#This Row],[Ox.Al_sd]]/27+Table1[[#This Row],[Ox.Fe_sd]]/56)/1000</f>
        <v>0.78988702345664952</v>
      </c>
      <c r="S20">
        <f>Table1[[#This Row],[Ox.PSR_mean]]</f>
        <v>7.0812255367552701E-2</v>
      </c>
      <c r="T20">
        <f>Table1[[#This Row],[Ox.PSR_sd]]</f>
        <v>6.4440036911691603E-3</v>
      </c>
      <c r="U20">
        <f>Table1[[#This Row],[clay_mean]]/100</f>
        <v>0.35</v>
      </c>
      <c r="V20">
        <f>1 - Table1[[#This Row],[sand_mean]]/100</f>
        <v>0.84515000000000096</v>
      </c>
      <c r="W20">
        <f>Table1[[#This Row],[BD_mean]]*1000*Table1[[#This Row],[WEPw_mean]]/1000*0.1</f>
        <v>7.9956233913191024E-3</v>
      </c>
      <c r="CH20" s="2"/>
    </row>
    <row r="21" spans="1:95" x14ac:dyDescent="0.25">
      <c r="A21" s="1" t="s">
        <v>47</v>
      </c>
      <c r="B21" s="1">
        <v>4</v>
      </c>
      <c r="C21" s="1" t="s">
        <v>34</v>
      </c>
      <c r="D21" s="1" t="s">
        <v>50</v>
      </c>
      <c r="E21">
        <f>'df.IC.finalSRP.soil.0t10'!E21</f>
        <v>12.9583333333333</v>
      </c>
      <c r="F21">
        <f t="shared" si="0"/>
        <v>3.5502283105022743E-2</v>
      </c>
      <c r="G21">
        <f>'df.IC.finalSRP.soil.0t10'!F21</f>
        <v>0.19173777777777701</v>
      </c>
      <c r="H21">
        <f>'df.IC.finalSRP.soil.0t10'!M21</f>
        <v>0.17064035283951501</v>
      </c>
      <c r="I21">
        <f>'df.IC.finalSRP.soil.0t10'!H21</f>
        <v>18.5</v>
      </c>
      <c r="J21">
        <f>'df.IC.finalSRP.soil.0t10'!S21</f>
        <v>5.0000000000000001E-3</v>
      </c>
      <c r="K21">
        <f>1</f>
        <v>1</v>
      </c>
      <c r="L21">
        <v>0</v>
      </c>
      <c r="M21">
        <v>0</v>
      </c>
      <c r="N21">
        <v>1000</v>
      </c>
      <c r="O21">
        <f>Table1[[#This Row],[LOI_mean]]</f>
        <v>0.15390817741973201</v>
      </c>
      <c r="P21" s="1">
        <f>Table1[[#This Row],[LOI_sd]]</f>
        <v>1.9617302845701699E-2</v>
      </c>
      <c r="Q21">
        <f>31*(Table1[[#This Row],[Ox.Al_mean]]/27+Table1[[#This Row],[Ox.Fe_mean]]/56)/1000</f>
        <v>3.8975680285658489</v>
      </c>
      <c r="R21">
        <f>31*(Table1[[#This Row],[Ox.Al_sd]]/27+Table1[[#This Row],[Ox.Fe_sd]]/56)/1000</f>
        <v>0.78988702345664952</v>
      </c>
      <c r="S21">
        <f>Table1[[#This Row],[Ox.PSR_mean]]</f>
        <v>7.0812255367552701E-2</v>
      </c>
      <c r="T21">
        <f>Table1[[#This Row],[Ox.PSR_sd]]</f>
        <v>6.4440036911691603E-3</v>
      </c>
      <c r="U21">
        <f>Table1[[#This Row],[clay_mean]]/100</f>
        <v>0.35</v>
      </c>
      <c r="V21">
        <f>1 - Table1[[#This Row],[sand_mean]]/100</f>
        <v>0.84515000000000096</v>
      </c>
      <c r="W21">
        <f>Table1[[#This Row],[BD_mean]]*1000*Table1[[#This Row],[WEPw_mean]]/1000*0.1</f>
        <v>7.9956233913191024E-3</v>
      </c>
      <c r="CH21" s="2"/>
    </row>
    <row r="22" spans="1:95" x14ac:dyDescent="0.25">
      <c r="A22" s="1" t="s">
        <v>51</v>
      </c>
      <c r="B22" s="1">
        <v>2</v>
      </c>
      <c r="C22" s="1" t="s">
        <v>29</v>
      </c>
      <c r="D22" s="1" t="s">
        <v>52</v>
      </c>
      <c r="E22">
        <f>'df.IC.finalSRP.soil.0t10'!E22</f>
        <v>11.8541666666666</v>
      </c>
      <c r="F22">
        <f t="shared" si="0"/>
        <v>3.2477168949771505E-2</v>
      </c>
      <c r="G22">
        <f>'df.IC.finalSRP.soil.0t10'!F22</f>
        <v>5.4716333333333297E-2</v>
      </c>
      <c r="H22">
        <f>'df.IC.finalSRP.soil.0t10'!M22</f>
        <v>1.9346238731770701E-2</v>
      </c>
      <c r="I22">
        <f>'df.IC.finalSRP.soil.0t10'!H22</f>
        <v>20.9</v>
      </c>
      <c r="J22">
        <f>'df.IC.finalSRP.soil.0t10'!S22</f>
        <v>5.0000000000000001E-3</v>
      </c>
      <c r="K22">
        <f>1</f>
        <v>1</v>
      </c>
      <c r="L22">
        <v>0</v>
      </c>
      <c r="M22">
        <v>0</v>
      </c>
      <c r="N22">
        <v>1000</v>
      </c>
      <c r="O22">
        <f>Table1[[#This Row],[LOI_mean]]</f>
        <v>0.14368950938824801</v>
      </c>
      <c r="P22" s="1">
        <f>Table1[[#This Row],[LOI_sd]]</f>
        <v>1.9235110086295599E-2</v>
      </c>
      <c r="Q22">
        <f>31*(Table1[[#This Row],[Ox.Al_mean]]/27+Table1[[#This Row],[Ox.Fe_mean]]/56)/1000</f>
        <v>4.8764386117153666</v>
      </c>
      <c r="R22">
        <f>31*(Table1[[#This Row],[Ox.Al_sd]]/27+Table1[[#This Row],[Ox.Fe_sd]]/56)/1000</f>
        <v>2.0455037414314323</v>
      </c>
      <c r="S22">
        <f>Table1[[#This Row],[Ox.PSR_mean]]</f>
        <v>0.13769728204517101</v>
      </c>
      <c r="T22">
        <f>Table1[[#This Row],[Ox.PSR_sd]]</f>
        <v>2.6392867811864298E-2</v>
      </c>
      <c r="U22">
        <f>Table1[[#This Row],[clay_mean]]/100</f>
        <v>0.1875</v>
      </c>
      <c r="V22">
        <f>1 - Table1[[#This Row],[sand_mean]]/100</f>
        <v>0.96204999999999996</v>
      </c>
      <c r="W22">
        <f>Table1[[#This Row],[BD_mean]]*1000*Table1[[#This Row],[WEPw_mean]]/1000*0.1</f>
        <v>1.645790036819458E-2</v>
      </c>
      <c r="BI22" s="2"/>
      <c r="CM22" s="2"/>
    </row>
    <row r="23" spans="1:95" x14ac:dyDescent="0.25">
      <c r="A23" s="1" t="s">
        <v>51</v>
      </c>
      <c r="B23" s="1">
        <v>2</v>
      </c>
      <c r="C23" s="1" t="s">
        <v>34</v>
      </c>
      <c r="D23" s="1" t="s">
        <v>52</v>
      </c>
      <c r="E23">
        <f>'df.IC.finalSRP.soil.0t10'!E23</f>
        <v>12.0375</v>
      </c>
      <c r="F23">
        <f t="shared" si="0"/>
        <v>3.2979452054794522E-2</v>
      </c>
      <c r="G23">
        <f>'df.IC.finalSRP.soil.0t10'!F23</f>
        <v>3.1295040000000003E-2</v>
      </c>
      <c r="H23">
        <f>'df.IC.finalSRP.soil.0t10'!M23</f>
        <v>1.35637109637444E-2</v>
      </c>
      <c r="I23">
        <f>'df.IC.finalSRP.soil.0t10'!H23</f>
        <v>20.94</v>
      </c>
      <c r="J23">
        <f>'df.IC.finalSRP.soil.0t10'!S23</f>
        <v>5.0000000000000001E-3</v>
      </c>
      <c r="K23">
        <f>1</f>
        <v>1</v>
      </c>
      <c r="L23">
        <v>0</v>
      </c>
      <c r="M23">
        <v>0</v>
      </c>
      <c r="N23">
        <v>1000</v>
      </c>
      <c r="O23">
        <f>Table1[[#This Row],[LOI_mean]]</f>
        <v>0.14368950938824801</v>
      </c>
      <c r="P23" s="1">
        <f>Table1[[#This Row],[LOI_sd]]</f>
        <v>1.9235110086295599E-2</v>
      </c>
      <c r="Q23">
        <f>31*(Table1[[#This Row],[Ox.Al_mean]]/27+Table1[[#This Row],[Ox.Fe_mean]]/56)/1000</f>
        <v>4.8764386117153666</v>
      </c>
      <c r="R23">
        <f>31*(Table1[[#This Row],[Ox.Al_sd]]/27+Table1[[#This Row],[Ox.Fe_sd]]/56)/1000</f>
        <v>2.0455037414314323</v>
      </c>
      <c r="S23">
        <f>Table1[[#This Row],[Ox.PSR_mean]]</f>
        <v>0.13769728204517101</v>
      </c>
      <c r="T23">
        <f>Table1[[#This Row],[Ox.PSR_sd]]</f>
        <v>2.6392867811864298E-2</v>
      </c>
      <c r="U23">
        <f>Table1[[#This Row],[clay_mean]]/100</f>
        <v>0.1875</v>
      </c>
      <c r="V23">
        <f>1 - Table1[[#This Row],[sand_mean]]/100</f>
        <v>0.96204999999999996</v>
      </c>
      <c r="W23">
        <f>Table1[[#This Row],[BD_mean]]*1000*Table1[[#This Row],[WEPw_mean]]/1000*0.1</f>
        <v>1.645790036819458E-2</v>
      </c>
      <c r="BI23" s="2"/>
      <c r="CM23" s="2"/>
    </row>
    <row r="24" spans="1:95" x14ac:dyDescent="0.25">
      <c r="A24" s="1" t="s">
        <v>53</v>
      </c>
      <c r="B24" s="1">
        <v>0</v>
      </c>
      <c r="C24" s="1" t="s">
        <v>29</v>
      </c>
      <c r="D24" s="1" t="s">
        <v>54</v>
      </c>
      <c r="E24">
        <f>'df.IC.finalSRP.soil.0t10'!E24</f>
        <v>12.1197916666666</v>
      </c>
      <c r="F24">
        <f t="shared" si="0"/>
        <v>3.3204908675798908E-2</v>
      </c>
      <c r="G24">
        <f>'df.IC.finalSRP.soil.0t10'!F24</f>
        <v>5.4714833333333303E-2</v>
      </c>
      <c r="H24">
        <f>'df.IC.finalSRP.soil.0t10'!M24</f>
        <v>2.6266694500254401E-2</v>
      </c>
      <c r="I24">
        <f>'df.IC.finalSRP.soil.0t10'!H24</f>
        <v>17.899999999999999</v>
      </c>
      <c r="J24">
        <f>'df.IC.finalSRP.soil.0t10'!S24</f>
        <v>5.0000000000000001E-3</v>
      </c>
      <c r="K24">
        <f>1</f>
        <v>1</v>
      </c>
      <c r="L24">
        <v>0</v>
      </c>
      <c r="M24">
        <v>0</v>
      </c>
      <c r="N24">
        <v>1000</v>
      </c>
      <c r="O24">
        <f>Table1[[#This Row],[LOI_mean]]</f>
        <v>0.30302184014062</v>
      </c>
      <c r="P24" s="1">
        <f>Table1[[#This Row],[LOI_sd]]</f>
        <v>0.153130290058243</v>
      </c>
      <c r="Q24">
        <f>31*(Table1[[#This Row],[Ox.Al_mean]]/27+Table1[[#This Row],[Ox.Fe_mean]]/56)/1000</f>
        <v>5.1033010153106515</v>
      </c>
      <c r="R24">
        <f>31*(Table1[[#This Row],[Ox.Al_sd]]/27+Table1[[#This Row],[Ox.Fe_sd]]/56)/1000</f>
        <v>0.25327487557832956</v>
      </c>
      <c r="S24">
        <f>Table1[[#This Row],[Ox.PSR_mean]]</f>
        <v>0.12636902230536501</v>
      </c>
      <c r="T24">
        <f>Table1[[#This Row],[Ox.PSR_sd]]</f>
        <v>8.7690613348932796E-3</v>
      </c>
      <c r="U24">
        <f>Table1[[#This Row],[clay_mean]]/100</f>
        <v>0.15</v>
      </c>
      <c r="V24">
        <f>1 - Table1[[#This Row],[sand_mean]]/100</f>
        <v>0.93550000000000044</v>
      </c>
      <c r="W24">
        <f>Table1[[#This Row],[BD_mean]]*1000*Table1[[#This Row],[WEPw_mean]]/1000*0.1</f>
        <v>1.7489495833055178E-2</v>
      </c>
    </row>
    <row r="25" spans="1:95" x14ac:dyDescent="0.25">
      <c r="A25" s="1" t="s">
        <v>53</v>
      </c>
      <c r="B25" s="1">
        <v>0</v>
      </c>
      <c r="C25" s="1" t="s">
        <v>34</v>
      </c>
      <c r="D25" s="1" t="s">
        <v>54</v>
      </c>
      <c r="E25">
        <f>'df.IC.finalSRP.soil.0t10'!E25</f>
        <v>12.1197916666666</v>
      </c>
      <c r="F25">
        <f t="shared" si="0"/>
        <v>3.3204908675798908E-2</v>
      </c>
      <c r="G25">
        <f>'df.IC.finalSRP.soil.0t10'!F25</f>
        <v>2.6090916666666599E-2</v>
      </c>
      <c r="H25">
        <f>'df.IC.finalSRP.soil.0t10'!M25</f>
        <v>1.2001582633956899E-2</v>
      </c>
      <c r="I25">
        <f>'df.IC.finalSRP.soil.0t10'!H25</f>
        <v>17.899999999999999</v>
      </c>
      <c r="J25">
        <f>'df.IC.finalSRP.soil.0t10'!S25</f>
        <v>5.0000000000000001E-3</v>
      </c>
      <c r="K25">
        <f>1</f>
        <v>1</v>
      </c>
      <c r="L25">
        <v>0</v>
      </c>
      <c r="M25">
        <v>0</v>
      </c>
      <c r="N25">
        <v>1000</v>
      </c>
      <c r="O25">
        <f>Table1[[#This Row],[LOI_mean]]</f>
        <v>0.30302184014062</v>
      </c>
      <c r="P25" s="1">
        <f>Table1[[#This Row],[LOI_sd]]</f>
        <v>0.153130290058243</v>
      </c>
      <c r="Q25">
        <f>31*(Table1[[#This Row],[Ox.Al_mean]]/27+Table1[[#This Row],[Ox.Fe_mean]]/56)/1000</f>
        <v>5.1033010153106515</v>
      </c>
      <c r="R25">
        <f>31*(Table1[[#This Row],[Ox.Al_sd]]/27+Table1[[#This Row],[Ox.Fe_sd]]/56)/1000</f>
        <v>0.25327487557832956</v>
      </c>
      <c r="S25">
        <f>Table1[[#This Row],[Ox.PSR_mean]]</f>
        <v>0.12636902230536501</v>
      </c>
      <c r="T25">
        <f>Table1[[#This Row],[Ox.PSR_sd]]</f>
        <v>8.7690613348932796E-3</v>
      </c>
      <c r="U25">
        <f>Table1[[#This Row],[clay_mean]]/100</f>
        <v>0.15</v>
      </c>
      <c r="V25">
        <f>1 - Table1[[#This Row],[sand_mean]]/100</f>
        <v>0.93550000000000044</v>
      </c>
      <c r="W25">
        <f>Table1[[#This Row],[BD_mean]]*1000*Table1[[#This Row],[WEPw_mean]]/1000*0.1</f>
        <v>1.7489495833055178E-2</v>
      </c>
    </row>
    <row r="26" spans="1:95" x14ac:dyDescent="0.25">
      <c r="A26" s="1" t="s">
        <v>53</v>
      </c>
      <c r="B26" s="1">
        <v>2</v>
      </c>
      <c r="C26" s="1" t="s">
        <v>29</v>
      </c>
      <c r="D26" s="1" t="s">
        <v>56</v>
      </c>
      <c r="E26">
        <f>'df.IC.finalSRP.soil.0t10'!E26</f>
        <v>11.7708333333333</v>
      </c>
      <c r="F26">
        <f t="shared" si="0"/>
        <v>3.2248858447488496E-2</v>
      </c>
      <c r="G26">
        <f>'df.IC.finalSRP.soil.0t10'!F26</f>
        <v>6.5570000000000003E-2</v>
      </c>
      <c r="H26">
        <f>'df.IC.finalSRP.soil.0t10'!M26</f>
        <v>3.1894877958694202E-2</v>
      </c>
      <c r="I26">
        <f>'df.IC.finalSRP.soil.0t10'!H26</f>
        <v>22</v>
      </c>
      <c r="J26">
        <f>'df.IC.finalSRP.soil.0t10'!S26</f>
        <v>5.0000000000000001E-3</v>
      </c>
      <c r="K26">
        <f>1</f>
        <v>1</v>
      </c>
      <c r="L26">
        <v>0</v>
      </c>
      <c r="M26">
        <v>0</v>
      </c>
      <c r="N26">
        <v>1000</v>
      </c>
      <c r="O26">
        <f>Table1[[#This Row],[LOI_mean]]</f>
        <v>0.18842595944789201</v>
      </c>
      <c r="P26" s="1">
        <f>Table1[[#This Row],[LOI_sd]]</f>
        <v>6.9673932908379602E-2</v>
      </c>
      <c r="Q26">
        <f>31*(Table1[[#This Row],[Ox.Al_mean]]/27+Table1[[#This Row],[Ox.Fe_mean]]/56)/1000</f>
        <v>5.2015466728380426</v>
      </c>
      <c r="R26">
        <f>31*(Table1[[#This Row],[Ox.Al_sd]]/27+Table1[[#This Row],[Ox.Fe_sd]]/56)/1000</f>
        <v>0.49392553647726184</v>
      </c>
      <c r="S26">
        <f>Table1[[#This Row],[Ox.PSR_mean]]</f>
        <v>0.12152131348389</v>
      </c>
      <c r="T26">
        <f>Table1[[#This Row],[Ox.PSR_sd]]</f>
        <v>1.4063252994677099E-2</v>
      </c>
      <c r="U26">
        <f>Table1[[#This Row],[clay_mean]]/100</f>
        <v>0.1</v>
      </c>
      <c r="V26">
        <f>1 - Table1[[#This Row],[sand_mean]]/100</f>
        <v>0.93744999999999978</v>
      </c>
      <c r="W26">
        <f>Table1[[#This Row],[BD_mean]]*1000*Table1[[#This Row],[WEPw_mean]]/1000*0.1</f>
        <v>9.6237905008441458E-3</v>
      </c>
    </row>
    <row r="27" spans="1:95" x14ac:dyDescent="0.25">
      <c r="A27" s="1" t="s">
        <v>53</v>
      </c>
      <c r="B27" s="1">
        <v>2</v>
      </c>
      <c r="C27" s="1" t="s">
        <v>34</v>
      </c>
      <c r="D27" s="1" t="s">
        <v>56</v>
      </c>
      <c r="E27">
        <f>'df.IC.finalSRP.soil.0t10'!E27</f>
        <v>11.7708333333333</v>
      </c>
      <c r="F27">
        <f t="shared" si="0"/>
        <v>3.2248858447488496E-2</v>
      </c>
      <c r="G27">
        <f>'df.IC.finalSRP.soil.0t10'!F27</f>
        <v>1.88066666666666E-2</v>
      </c>
      <c r="H27">
        <f>'df.IC.finalSRP.soil.0t10'!M27</f>
        <v>6.0025483477158803E-3</v>
      </c>
      <c r="I27">
        <f>'df.IC.finalSRP.soil.0t10'!H27</f>
        <v>22.066666666666599</v>
      </c>
      <c r="J27">
        <f>'df.IC.finalSRP.soil.0t10'!S27</f>
        <v>5.0000000000000001E-3</v>
      </c>
      <c r="K27">
        <f>1</f>
        <v>1</v>
      </c>
      <c r="L27">
        <v>0</v>
      </c>
      <c r="M27">
        <v>0</v>
      </c>
      <c r="N27">
        <v>1000</v>
      </c>
      <c r="O27">
        <f>Table1[[#This Row],[LOI_mean]]</f>
        <v>0.18842595944789201</v>
      </c>
      <c r="P27" s="1">
        <f>Table1[[#This Row],[LOI_sd]]</f>
        <v>6.9673932908379602E-2</v>
      </c>
      <c r="Q27">
        <f>31*(Table1[[#This Row],[Ox.Al_mean]]/27+Table1[[#This Row],[Ox.Fe_mean]]/56)/1000</f>
        <v>5.2015466728380426</v>
      </c>
      <c r="R27">
        <f>31*(Table1[[#This Row],[Ox.Al_sd]]/27+Table1[[#This Row],[Ox.Fe_sd]]/56)/1000</f>
        <v>0.49392553647726184</v>
      </c>
      <c r="S27">
        <f>Table1[[#This Row],[Ox.PSR_mean]]</f>
        <v>0.12152131348389</v>
      </c>
      <c r="T27">
        <f>Table1[[#This Row],[Ox.PSR_sd]]</f>
        <v>1.4063252994677099E-2</v>
      </c>
      <c r="U27">
        <f>Table1[[#This Row],[clay_mean]]/100</f>
        <v>0.1</v>
      </c>
      <c r="V27">
        <f>1 - Table1[[#This Row],[sand_mean]]/100</f>
        <v>0.93744999999999978</v>
      </c>
      <c r="W27">
        <f>Table1[[#This Row],[BD_mean]]*1000*Table1[[#This Row],[WEPw_mean]]/1000*0.1</f>
        <v>9.6237905008441458E-3</v>
      </c>
    </row>
    <row r="28" spans="1:95" x14ac:dyDescent="0.25">
      <c r="A28" s="1" t="s">
        <v>53</v>
      </c>
      <c r="B28" s="1">
        <v>4</v>
      </c>
      <c r="C28" s="1" t="s">
        <v>29</v>
      </c>
      <c r="D28" s="1" t="s">
        <v>57</v>
      </c>
      <c r="E28">
        <f>'df.IC.finalSRP.soil.0t10'!E28</f>
        <v>12.1197916666666</v>
      </c>
      <c r="F28">
        <f t="shared" si="0"/>
        <v>3.3204908675798908E-2</v>
      </c>
      <c r="G28">
        <f>'df.IC.finalSRP.soil.0t10'!F28</f>
        <v>6.0130666666666603E-2</v>
      </c>
      <c r="H28">
        <f>'df.IC.finalSRP.soil.0t10'!M28</f>
        <v>1.80524161230231E-2</v>
      </c>
      <c r="I28">
        <f>'df.IC.finalSRP.soil.0t10'!H28</f>
        <v>17.899999999999999</v>
      </c>
      <c r="J28">
        <f>'df.IC.finalSRP.soil.0t10'!S28</f>
        <v>5.0000000000000001E-3</v>
      </c>
      <c r="K28">
        <f>1</f>
        <v>1</v>
      </c>
      <c r="L28">
        <v>0</v>
      </c>
      <c r="M28">
        <v>0</v>
      </c>
      <c r="N28">
        <v>1000</v>
      </c>
      <c r="O28">
        <f>Table1[[#This Row],[LOI_mean]]</f>
        <v>0.18059922159706801</v>
      </c>
      <c r="P28" s="1">
        <f>Table1[[#This Row],[LOI_sd]]</f>
        <v>9.1992407245965205E-2</v>
      </c>
      <c r="Q28">
        <f>31*(Table1[[#This Row],[Ox.Al_mean]]/27+Table1[[#This Row],[Ox.Fe_mean]]/56)/1000</f>
        <v>5.0044323171897167</v>
      </c>
      <c r="R28">
        <f>31*(Table1[[#This Row],[Ox.Al_sd]]/27+Table1[[#This Row],[Ox.Fe_sd]]/56)/1000</f>
        <v>0.23563250103273525</v>
      </c>
      <c r="S28">
        <f>Table1[[#This Row],[Ox.PSR_mean]]</f>
        <v>9.29082874792765E-2</v>
      </c>
      <c r="T28">
        <f>Table1[[#This Row],[Ox.PSR_sd]]</f>
        <v>1.48384997574793E-2</v>
      </c>
      <c r="U28">
        <f>Table1[[#This Row],[clay_mean]]/100</f>
        <v>8.7499999999999994E-2</v>
      </c>
      <c r="V28">
        <f>1 - Table1[[#This Row],[sand_mean]]/100</f>
        <v>0.84010000000000096</v>
      </c>
      <c r="W28">
        <f>Table1[[#This Row],[BD_mean]]*1000*Table1[[#This Row],[WEPw_mean]]/1000*0.1</f>
        <v>8.2505125603153356E-3</v>
      </c>
    </row>
    <row r="29" spans="1:95" x14ac:dyDescent="0.25">
      <c r="A29" s="1" t="s">
        <v>53</v>
      </c>
      <c r="B29" s="1">
        <v>4</v>
      </c>
      <c r="C29" s="1" t="s">
        <v>34</v>
      </c>
      <c r="D29" s="1" t="s">
        <v>57</v>
      </c>
      <c r="E29">
        <f>'df.IC.finalSRP.soil.0t10'!E29</f>
        <v>12.1197916666666</v>
      </c>
      <c r="F29">
        <f t="shared" si="0"/>
        <v>3.3204908675798908E-2</v>
      </c>
      <c r="G29">
        <f>'df.IC.finalSRP.soil.0t10'!F29</f>
        <v>2.2963916666666601E-2</v>
      </c>
      <c r="H29">
        <f>'df.IC.finalSRP.soil.0t10'!M29</f>
        <v>5.7500183945687301E-3</v>
      </c>
      <c r="I29">
        <f>'df.IC.finalSRP.soil.0t10'!H29</f>
        <v>17.899999999999999</v>
      </c>
      <c r="J29">
        <f>'df.IC.finalSRP.soil.0t10'!S29</f>
        <v>5.0000000000000001E-3</v>
      </c>
      <c r="K29">
        <f>1</f>
        <v>1</v>
      </c>
      <c r="L29">
        <v>0</v>
      </c>
      <c r="M29">
        <v>0</v>
      </c>
      <c r="N29">
        <v>1000</v>
      </c>
      <c r="O29">
        <f>Table1[[#This Row],[LOI_mean]]</f>
        <v>0.18059922159706801</v>
      </c>
      <c r="P29" s="1">
        <f>Table1[[#This Row],[LOI_sd]]</f>
        <v>9.1992407245965205E-2</v>
      </c>
      <c r="Q29">
        <f>31*(Table1[[#This Row],[Ox.Al_mean]]/27+Table1[[#This Row],[Ox.Fe_mean]]/56)/1000</f>
        <v>5.0044323171897167</v>
      </c>
      <c r="R29">
        <f>31*(Table1[[#This Row],[Ox.Al_sd]]/27+Table1[[#This Row],[Ox.Fe_sd]]/56)/1000</f>
        <v>0.23563250103273525</v>
      </c>
      <c r="S29">
        <f>Table1[[#This Row],[Ox.PSR_mean]]</f>
        <v>9.29082874792765E-2</v>
      </c>
      <c r="T29">
        <f>Table1[[#This Row],[Ox.PSR_sd]]</f>
        <v>1.48384997574793E-2</v>
      </c>
      <c r="U29">
        <f>Table1[[#This Row],[clay_mean]]/100</f>
        <v>8.7499999999999994E-2</v>
      </c>
      <c r="V29">
        <f>1 - Table1[[#This Row],[sand_mean]]/100</f>
        <v>0.84010000000000096</v>
      </c>
      <c r="W29">
        <f>Table1[[#This Row],[BD_mean]]*1000*Table1[[#This Row],[WEPw_mean]]/1000*0.1</f>
        <v>8.2505125603153356E-3</v>
      </c>
    </row>
    <row r="30" spans="1:95" x14ac:dyDescent="0.25">
      <c r="A30" s="1" t="s">
        <v>53</v>
      </c>
      <c r="B30" s="1" t="s">
        <v>58</v>
      </c>
      <c r="C30" s="1" t="s">
        <v>29</v>
      </c>
      <c r="D30" s="1" t="s">
        <v>59</v>
      </c>
      <c r="E30">
        <f>'df.IC.finalSRP.soil.0t10'!E30</f>
        <v>11.2552083333333</v>
      </c>
      <c r="F30">
        <f t="shared" si="0"/>
        <v>3.0836187214611781E-2</v>
      </c>
      <c r="G30">
        <f>'df.IC.finalSRP.soil.0t10'!F30</f>
        <v>0.42969616666666599</v>
      </c>
      <c r="H30">
        <f>'df.IC.finalSRP.soil.0t10'!M30</f>
        <v>0.275736950199581</v>
      </c>
      <c r="I30">
        <f>'df.IC.finalSRP.soil.0t10'!H30</f>
        <v>19.05</v>
      </c>
      <c r="J30">
        <f>'df.IC.finalSRP.soil.0t10'!S30</f>
        <v>5.0000000000000001E-3</v>
      </c>
      <c r="K30">
        <f>1</f>
        <v>1</v>
      </c>
      <c r="L30">
        <v>0</v>
      </c>
      <c r="M30">
        <v>0</v>
      </c>
      <c r="N30">
        <v>1000</v>
      </c>
      <c r="O30">
        <f>Table1[[#This Row],[LOI_mean]]</f>
        <v>7.1362740775622199E-2</v>
      </c>
      <c r="P30" s="1">
        <f>Table1[[#This Row],[LOI_sd]]</f>
        <v>5.1506192285910796E-3</v>
      </c>
      <c r="Q30">
        <f>31*(Table1[[#This Row],[Ox.Al_mean]]/27+Table1[[#This Row],[Ox.Fe_mean]]/56)/1000</f>
        <v>2.7447889669064125</v>
      </c>
      <c r="R30">
        <f>31*(Table1[[#This Row],[Ox.Al_sd]]/27+Table1[[#This Row],[Ox.Fe_sd]]/56)/1000</f>
        <v>6.6023639261902259E-2</v>
      </c>
      <c r="S30">
        <f>Table1[[#This Row],[Ox.PSR_mean]]</f>
        <v>0.124212205514316</v>
      </c>
      <c r="T30">
        <f>Table1[[#This Row],[Ox.PSR_sd]]</f>
        <v>6.66940694295698E-3</v>
      </c>
      <c r="U30">
        <f>Table1[[#This Row],[clay_mean]]/100</f>
        <v>7.4999999999999997E-2</v>
      </c>
      <c r="V30">
        <f>1 - Table1[[#This Row],[sand_mean]]/100</f>
        <v>0.69933333333333403</v>
      </c>
      <c r="W30">
        <f>Table1[[#This Row],[BD_mean]]*1000*Table1[[#This Row],[WEPw_mean]]/1000*0.1</f>
        <v>0.17284511242283027</v>
      </c>
    </row>
    <row r="31" spans="1:95" x14ac:dyDescent="0.25">
      <c r="A31" s="1" t="s">
        <v>53</v>
      </c>
      <c r="B31" s="1" t="s">
        <v>58</v>
      </c>
      <c r="C31" s="1" t="s">
        <v>34</v>
      </c>
      <c r="D31" s="1" t="s">
        <v>59</v>
      </c>
      <c r="E31">
        <f>'df.IC.finalSRP.soil.0t10'!E31</f>
        <v>11.2552083333333</v>
      </c>
      <c r="F31">
        <f t="shared" si="0"/>
        <v>3.0836187214611781E-2</v>
      </c>
      <c r="G31">
        <f>'df.IC.finalSRP.soil.0t10'!F31</f>
        <v>0.32922950000000001</v>
      </c>
      <c r="H31">
        <f>'df.IC.finalSRP.soil.0t10'!M31</f>
        <v>0.29898559301996402</v>
      </c>
      <c r="I31">
        <f>'df.IC.finalSRP.soil.0t10'!H31</f>
        <v>19.05</v>
      </c>
      <c r="J31">
        <f>'df.IC.finalSRP.soil.0t10'!S31</f>
        <v>5.0000000000000001E-3</v>
      </c>
      <c r="K31">
        <f>1</f>
        <v>1</v>
      </c>
      <c r="L31">
        <v>0</v>
      </c>
      <c r="M31">
        <v>0</v>
      </c>
      <c r="N31">
        <v>1000</v>
      </c>
      <c r="O31">
        <f>Table1[[#This Row],[LOI_mean]]</f>
        <v>7.1362740775622199E-2</v>
      </c>
      <c r="P31" s="1">
        <f>Table1[[#This Row],[LOI_sd]]</f>
        <v>5.1506192285910796E-3</v>
      </c>
      <c r="Q31">
        <f>31*(Table1[[#This Row],[Ox.Al_mean]]/27+Table1[[#This Row],[Ox.Fe_mean]]/56)/1000</f>
        <v>2.7447889669064125</v>
      </c>
      <c r="R31">
        <f>31*(Table1[[#This Row],[Ox.Al_sd]]/27+Table1[[#This Row],[Ox.Fe_sd]]/56)/1000</f>
        <v>6.6023639261902259E-2</v>
      </c>
      <c r="S31">
        <f>Table1[[#This Row],[Ox.PSR_mean]]</f>
        <v>0.124212205514316</v>
      </c>
      <c r="T31">
        <f>Table1[[#This Row],[Ox.PSR_sd]]</f>
        <v>6.66940694295698E-3</v>
      </c>
      <c r="U31">
        <f>Table1[[#This Row],[clay_mean]]/100</f>
        <v>7.4999999999999997E-2</v>
      </c>
      <c r="V31">
        <f>1 - Table1[[#This Row],[sand_mean]]/100</f>
        <v>0.69933333333333403</v>
      </c>
      <c r="W31">
        <f>Table1[[#This Row],[BD_mean]]*1000*Table1[[#This Row],[WEPw_mean]]/1000*0.1</f>
        <v>0.17284511242283027</v>
      </c>
    </row>
    <row r="32" spans="1:95" x14ac:dyDescent="0.25">
      <c r="A32" s="1" t="s">
        <v>53</v>
      </c>
      <c r="B32" s="1" t="s">
        <v>60</v>
      </c>
      <c r="C32" s="1" t="s">
        <v>29</v>
      </c>
      <c r="D32" s="1" t="s">
        <v>61</v>
      </c>
      <c r="E32">
        <f>'df.IC.finalSRP.soil.0t10'!E32</f>
        <v>11.2552083333333</v>
      </c>
      <c r="F32">
        <f t="shared" si="0"/>
        <v>3.0836187214611781E-2</v>
      </c>
      <c r="G32">
        <f>'df.IC.finalSRP.soil.0t10'!F32</f>
        <v>0.71520966666666597</v>
      </c>
      <c r="H32">
        <f>'df.IC.finalSRP.soil.0t10'!M32</f>
        <v>0.24447438187071099</v>
      </c>
      <c r="I32">
        <f>'df.IC.finalSRP.soil.0t10'!H32</f>
        <v>19.05</v>
      </c>
      <c r="J32">
        <f>'df.IC.finalSRP.soil.0t10'!S32</f>
        <v>5.0000000000000001E-3</v>
      </c>
      <c r="K32">
        <f>1</f>
        <v>1</v>
      </c>
      <c r="L32">
        <v>0</v>
      </c>
      <c r="M32">
        <v>0</v>
      </c>
      <c r="N32">
        <v>1000</v>
      </c>
      <c r="O32">
        <f>Table1[[#This Row],[LOI_mean]]</f>
        <v>5.2967151213186701E-2</v>
      </c>
      <c r="P32" s="1">
        <f>Table1[[#This Row],[LOI_sd]]</f>
        <v>3.9581906959328204E-3</v>
      </c>
      <c r="Q32">
        <f>31*(Table1[[#This Row],[Ox.Al_mean]]/27+Table1[[#This Row],[Ox.Fe_mean]]/56)/1000</f>
        <v>2.9003816330416745</v>
      </c>
      <c r="R32">
        <f>31*(Table1[[#This Row],[Ox.Al_sd]]/27+Table1[[#This Row],[Ox.Fe_sd]]/56)/1000</f>
        <v>0.16721214181535066</v>
      </c>
      <c r="S32">
        <f>Table1[[#This Row],[Ox.PSR_mean]]</f>
        <v>0.19028631707386701</v>
      </c>
      <c r="T32">
        <f>Table1[[#This Row],[Ox.PSR_sd]]</f>
        <v>9.4505813832901908E-3</v>
      </c>
      <c r="U32">
        <f>Table1[[#This Row],[clay_mean]]/100</f>
        <v>7.4999999999999997E-2</v>
      </c>
      <c r="V32">
        <f>1 - Table1[[#This Row],[sand_mean]]/100</f>
        <v>0.72933333333333406</v>
      </c>
      <c r="W32">
        <f>Table1[[#This Row],[BD_mean]]*1000*Table1[[#This Row],[WEPw_mean]]/1000*0.1</f>
        <v>0.23438214266322951</v>
      </c>
      <c r="CN32" s="2"/>
    </row>
    <row r="33" spans="1:92" x14ac:dyDescent="0.25">
      <c r="A33" s="1" t="s">
        <v>53</v>
      </c>
      <c r="B33" s="1" t="s">
        <v>60</v>
      </c>
      <c r="C33" s="1" t="s">
        <v>34</v>
      </c>
      <c r="D33" s="1" t="s">
        <v>61</v>
      </c>
      <c r="E33">
        <f>'df.IC.finalSRP.soil.0t10'!E33</f>
        <v>11.2552083333333</v>
      </c>
      <c r="F33">
        <f t="shared" si="0"/>
        <v>3.0836187214611781E-2</v>
      </c>
      <c r="G33">
        <f>'df.IC.finalSRP.soil.0t10'!F33</f>
        <v>0.33264783333333298</v>
      </c>
      <c r="H33">
        <f>'df.IC.finalSRP.soil.0t10'!M33</f>
        <v>0.23829296967591501</v>
      </c>
      <c r="I33">
        <f>'df.IC.finalSRP.soil.0t10'!H33</f>
        <v>19.05</v>
      </c>
      <c r="J33">
        <f>'df.IC.finalSRP.soil.0t10'!S33</f>
        <v>5.0000000000000001E-3</v>
      </c>
      <c r="K33">
        <f>1</f>
        <v>1</v>
      </c>
      <c r="L33">
        <v>0</v>
      </c>
      <c r="M33">
        <v>0</v>
      </c>
      <c r="N33">
        <v>1000</v>
      </c>
      <c r="O33">
        <f>Table1[[#This Row],[LOI_mean]]</f>
        <v>5.2967151213186701E-2</v>
      </c>
      <c r="P33" s="1">
        <f>Table1[[#This Row],[LOI_sd]]</f>
        <v>3.9581906959328204E-3</v>
      </c>
      <c r="Q33">
        <f>31*(Table1[[#This Row],[Ox.Al_mean]]/27+Table1[[#This Row],[Ox.Fe_mean]]/56)/1000</f>
        <v>2.9003816330416745</v>
      </c>
      <c r="R33">
        <f>31*(Table1[[#This Row],[Ox.Al_sd]]/27+Table1[[#This Row],[Ox.Fe_sd]]/56)/1000</f>
        <v>0.16721214181535066</v>
      </c>
      <c r="S33">
        <f>Table1[[#This Row],[Ox.PSR_mean]]</f>
        <v>0.19028631707386701</v>
      </c>
      <c r="T33">
        <f>Table1[[#This Row],[Ox.PSR_sd]]</f>
        <v>9.4505813832901908E-3</v>
      </c>
      <c r="U33">
        <f>Table1[[#This Row],[clay_mean]]/100</f>
        <v>7.4999999999999997E-2</v>
      </c>
      <c r="V33">
        <f>1 - Table1[[#This Row],[sand_mean]]/100</f>
        <v>0.72933333333333406</v>
      </c>
      <c r="W33">
        <f>Table1[[#This Row],[BD_mean]]*1000*Table1[[#This Row],[WEPw_mean]]/1000*0.1</f>
        <v>0.23438214266322951</v>
      </c>
      <c r="CN33" s="2"/>
    </row>
    <row r="34" spans="1:92" x14ac:dyDescent="0.25">
      <c r="A34" s="1" t="s">
        <v>62</v>
      </c>
      <c r="B34" s="1">
        <v>0</v>
      </c>
      <c r="C34" s="1" t="s">
        <v>29</v>
      </c>
      <c r="D34" s="1" t="s">
        <v>63</v>
      </c>
      <c r="E34">
        <f>'df.IC.finalSRP.soil.0t10'!E34</f>
        <v>12.1197916666666</v>
      </c>
      <c r="F34">
        <f t="shared" si="0"/>
        <v>3.3204908675798908E-2</v>
      </c>
      <c r="G34">
        <f>'df.IC.finalSRP.soil.0t10'!F34</f>
        <v>0.22923774999999999</v>
      </c>
      <c r="H34">
        <f>'df.IC.finalSRP.soil.0t10'!M34</f>
        <v>0.14749388096036301</v>
      </c>
      <c r="I34">
        <f>'df.IC.finalSRP.soil.0t10'!H34</f>
        <v>17.899999999999999</v>
      </c>
      <c r="J34">
        <f>'df.IC.finalSRP.soil.0t10'!S34</f>
        <v>5.0000000000000001E-3</v>
      </c>
      <c r="K34">
        <f>1</f>
        <v>1</v>
      </c>
      <c r="L34">
        <v>0</v>
      </c>
      <c r="M34">
        <v>0</v>
      </c>
      <c r="N34">
        <v>1000</v>
      </c>
      <c r="O34">
        <f>Table1[[#This Row],[LOI_mean]]</f>
        <v>0.32709633171386598</v>
      </c>
      <c r="P34" s="1">
        <f>Table1[[#This Row],[LOI_sd]]</f>
        <v>0.160768366063579</v>
      </c>
      <c r="Q34">
        <f>31*(Table1[[#This Row],[Ox.Al_mean]]/27+Table1[[#This Row],[Ox.Fe_mean]]/56)/1000</f>
        <v>3.3177039145789058</v>
      </c>
      <c r="R34">
        <f>31*(Table1[[#This Row],[Ox.Al_sd]]/27+Table1[[#This Row],[Ox.Fe_sd]]/56)/1000</f>
        <v>0.74306028322854656</v>
      </c>
      <c r="S34">
        <f>Table1[[#This Row],[Ox.PSR_mean]]</f>
        <v>0.163217065738644</v>
      </c>
      <c r="T34">
        <f>Table1[[#This Row],[Ox.PSR_sd]]</f>
        <v>1.4093881736470901E-2</v>
      </c>
      <c r="U34">
        <f>Table1[[#This Row],[clay_mean]]/100</f>
        <v>0.1125</v>
      </c>
      <c r="V34">
        <f>1 - Table1[[#This Row],[sand_mean]]/100</f>
        <v>0.98545000000000016</v>
      </c>
      <c r="W34">
        <f>Table1[[#This Row],[BD_mean]]*1000*Table1[[#This Row],[WEPw_mean]]/1000*0.1</f>
        <v>1.5730221190992873E-2</v>
      </c>
    </row>
    <row r="35" spans="1:92" x14ac:dyDescent="0.25">
      <c r="A35" s="1" t="s">
        <v>62</v>
      </c>
      <c r="B35" s="1">
        <v>0</v>
      </c>
      <c r="C35" s="1" t="s">
        <v>34</v>
      </c>
      <c r="D35" s="1" t="s">
        <v>63</v>
      </c>
      <c r="E35">
        <f>'df.IC.finalSRP.soil.0t10'!E35</f>
        <v>12.1197916666666</v>
      </c>
      <c r="F35">
        <f t="shared" si="0"/>
        <v>3.3204908675798908E-2</v>
      </c>
      <c r="G35">
        <f>'df.IC.finalSRP.soil.0t10'!F35</f>
        <v>0.11172225</v>
      </c>
      <c r="H35">
        <f>'df.IC.finalSRP.soil.0t10'!M35</f>
        <v>8.7647463110229695E-2</v>
      </c>
      <c r="I35">
        <f>'df.IC.finalSRP.soil.0t10'!H35</f>
        <v>17.899999999999999</v>
      </c>
      <c r="J35">
        <f>'df.IC.finalSRP.soil.0t10'!S35</f>
        <v>5.0000000000000001E-3</v>
      </c>
      <c r="K35">
        <f>1</f>
        <v>1</v>
      </c>
      <c r="L35">
        <v>0</v>
      </c>
      <c r="M35">
        <v>0</v>
      </c>
      <c r="N35">
        <v>1000</v>
      </c>
      <c r="O35">
        <f>Table1[[#This Row],[LOI_mean]]</f>
        <v>0.32709633171386598</v>
      </c>
      <c r="P35" s="1">
        <f>Table1[[#This Row],[LOI_sd]]</f>
        <v>0.160768366063579</v>
      </c>
      <c r="Q35">
        <f>31*(Table1[[#This Row],[Ox.Al_mean]]/27+Table1[[#This Row],[Ox.Fe_mean]]/56)/1000</f>
        <v>3.3177039145789058</v>
      </c>
      <c r="R35">
        <f>31*(Table1[[#This Row],[Ox.Al_sd]]/27+Table1[[#This Row],[Ox.Fe_sd]]/56)/1000</f>
        <v>0.74306028322854656</v>
      </c>
      <c r="S35">
        <f>Table1[[#This Row],[Ox.PSR_mean]]</f>
        <v>0.163217065738644</v>
      </c>
      <c r="T35">
        <f>Table1[[#This Row],[Ox.PSR_sd]]</f>
        <v>1.4093881736470901E-2</v>
      </c>
      <c r="U35">
        <f>Table1[[#This Row],[clay_mean]]/100</f>
        <v>0.1125</v>
      </c>
      <c r="V35">
        <f>1 - Table1[[#This Row],[sand_mean]]/100</f>
        <v>0.98545000000000016</v>
      </c>
      <c r="W35">
        <f>Table1[[#This Row],[BD_mean]]*1000*Table1[[#This Row],[WEPw_mean]]/1000*0.1</f>
        <v>1.5730221190992873E-2</v>
      </c>
    </row>
    <row r="36" spans="1:92" x14ac:dyDescent="0.25">
      <c r="A36" s="1" t="s">
        <v>62</v>
      </c>
      <c r="B36" s="1">
        <v>2</v>
      </c>
      <c r="C36" s="1" t="s">
        <v>29</v>
      </c>
      <c r="D36" s="1" t="s">
        <v>64</v>
      </c>
      <c r="E36">
        <f>'df.IC.finalSRP.soil.0t10'!E36</f>
        <v>11.5895833333333</v>
      </c>
      <c r="F36">
        <f t="shared" si="0"/>
        <v>3.175228310502274E-2</v>
      </c>
      <c r="G36">
        <f>'df.IC.finalSRP.soil.0t10'!F36</f>
        <v>0.40854600000000002</v>
      </c>
      <c r="H36">
        <f>'df.IC.finalSRP.soil.0t10'!M36</f>
        <v>0.191528954547347</v>
      </c>
      <c r="I36">
        <f>'df.IC.finalSRP.soil.0t10'!H36</f>
        <v>21.82</v>
      </c>
      <c r="J36">
        <f>'df.IC.finalSRP.soil.0t10'!S36</f>
        <v>5.0000000000000001E-3</v>
      </c>
      <c r="K36">
        <f>1</f>
        <v>1</v>
      </c>
      <c r="L36">
        <v>0</v>
      </c>
      <c r="M36">
        <v>0</v>
      </c>
      <c r="N36">
        <v>1000</v>
      </c>
      <c r="O36">
        <f>Table1[[#This Row],[LOI_mean]]</f>
        <v>0.20461676055729</v>
      </c>
      <c r="P36" s="1">
        <f>Table1[[#This Row],[LOI_sd]]</f>
        <v>4.9906568969360299E-2</v>
      </c>
      <c r="Q36">
        <f>31*(Table1[[#This Row],[Ox.Al_mean]]/27+Table1[[#This Row],[Ox.Fe_mean]]/56)/1000</f>
        <v>4.0605580367522771</v>
      </c>
      <c r="R36">
        <f>31*(Table1[[#This Row],[Ox.Al_sd]]/27+Table1[[#This Row],[Ox.Fe_sd]]/56)/1000</f>
        <v>0.11259085752792974</v>
      </c>
      <c r="S36">
        <f>Table1[[#This Row],[Ox.PSR_mean]]</f>
        <v>0.184991182957184</v>
      </c>
      <c r="T36">
        <f>Table1[[#This Row],[Ox.PSR_sd]]</f>
        <v>1.13375415833636E-2</v>
      </c>
      <c r="U36">
        <f>Table1[[#This Row],[clay_mean]]/100</f>
        <v>0.15</v>
      </c>
      <c r="V36">
        <f>1 - Table1[[#This Row],[sand_mean]]/100</f>
        <v>0.97034999999999993</v>
      </c>
      <c r="W36">
        <f>Table1[[#This Row],[BD_mean]]*1000*Table1[[#This Row],[WEPw_mean]]/1000*0.1</f>
        <v>4.4664818695350925E-2</v>
      </c>
      <c r="CM36" s="2"/>
    </row>
    <row r="37" spans="1:92" x14ac:dyDescent="0.25">
      <c r="A37" s="1" t="s">
        <v>62</v>
      </c>
      <c r="B37" s="1">
        <v>2</v>
      </c>
      <c r="C37" s="1" t="s">
        <v>34</v>
      </c>
      <c r="D37" s="1" t="s">
        <v>64</v>
      </c>
      <c r="E37">
        <f>'df.IC.finalSRP.soil.0t10'!E37</f>
        <v>11.7708333333333</v>
      </c>
      <c r="F37">
        <f t="shared" si="0"/>
        <v>3.2248858447488496E-2</v>
      </c>
      <c r="G37">
        <f>'df.IC.finalSRP.soil.0t10'!F37</f>
        <v>0.15793333333333301</v>
      </c>
      <c r="H37">
        <f>'df.IC.finalSRP.soil.0t10'!M37</f>
        <v>0.103897560638672</v>
      </c>
      <c r="I37">
        <f>'df.IC.finalSRP.soil.0t10'!H37</f>
        <v>22.066666666666599</v>
      </c>
      <c r="J37">
        <f>'df.IC.finalSRP.soil.0t10'!S37</f>
        <v>5.0000000000000001E-3</v>
      </c>
      <c r="K37">
        <f>1</f>
        <v>1</v>
      </c>
      <c r="L37">
        <v>0</v>
      </c>
      <c r="M37">
        <v>0</v>
      </c>
      <c r="N37">
        <v>1000</v>
      </c>
      <c r="O37">
        <f>Table1[[#This Row],[LOI_mean]]</f>
        <v>0.20461676055729</v>
      </c>
      <c r="P37" s="1">
        <f>Table1[[#This Row],[LOI_sd]]</f>
        <v>4.9906568969360299E-2</v>
      </c>
      <c r="Q37">
        <f>31*(Table1[[#This Row],[Ox.Al_mean]]/27+Table1[[#This Row],[Ox.Fe_mean]]/56)/1000</f>
        <v>4.0605580367522771</v>
      </c>
      <c r="R37">
        <f>31*(Table1[[#This Row],[Ox.Al_sd]]/27+Table1[[#This Row],[Ox.Fe_sd]]/56)/1000</f>
        <v>0.11259085752792974</v>
      </c>
      <c r="S37">
        <f>Table1[[#This Row],[Ox.PSR_mean]]</f>
        <v>0.184991182957184</v>
      </c>
      <c r="T37">
        <f>Table1[[#This Row],[Ox.PSR_sd]]</f>
        <v>1.13375415833636E-2</v>
      </c>
      <c r="U37">
        <f>Table1[[#This Row],[clay_mean]]/100</f>
        <v>0.15</v>
      </c>
      <c r="V37">
        <f>1 - Table1[[#This Row],[sand_mean]]/100</f>
        <v>0.97034999999999993</v>
      </c>
      <c r="W37">
        <f>Table1[[#This Row],[BD_mean]]*1000*Table1[[#This Row],[WEPw_mean]]/1000*0.1</f>
        <v>4.4664818695350925E-2</v>
      </c>
      <c r="CM37" s="2"/>
    </row>
    <row r="38" spans="1:92" x14ac:dyDescent="0.25">
      <c r="A38" s="1" t="s">
        <v>62</v>
      </c>
      <c r="B38" s="1">
        <v>4</v>
      </c>
      <c r="C38" s="1" t="s">
        <v>29</v>
      </c>
      <c r="D38" s="1" t="s">
        <v>65</v>
      </c>
      <c r="E38">
        <f>'df.IC.finalSRP.soil.0t10'!E38</f>
        <v>12.2518939393939</v>
      </c>
      <c r="F38">
        <f t="shared" si="0"/>
        <v>3.3566832710668223E-2</v>
      </c>
      <c r="G38">
        <f>'df.IC.finalSRP.soil.0t10'!F38</f>
        <v>0.14547490909090899</v>
      </c>
      <c r="H38">
        <f>'df.IC.finalSRP.soil.0t10'!M38</f>
        <v>8.70951850235758E-2</v>
      </c>
      <c r="I38">
        <f>'df.IC.finalSRP.soil.0t10'!H38</f>
        <v>17.899999999999999</v>
      </c>
      <c r="J38">
        <f>'df.IC.finalSRP.soil.0t10'!S38</f>
        <v>5.0000000000000001E-3</v>
      </c>
      <c r="K38">
        <f>1</f>
        <v>1</v>
      </c>
      <c r="L38">
        <v>0</v>
      </c>
      <c r="M38">
        <v>0</v>
      </c>
      <c r="N38">
        <v>1000</v>
      </c>
      <c r="O38">
        <f>Table1[[#This Row],[LOI_mean]]</f>
        <v>0.17104405728785901</v>
      </c>
      <c r="P38" s="1">
        <f>Table1[[#This Row],[LOI_sd]]</f>
        <v>0.12847847027488801</v>
      </c>
      <c r="Q38">
        <f>31*(Table1[[#This Row],[Ox.Al_mean]]/27+Table1[[#This Row],[Ox.Fe_mean]]/56)/1000</f>
        <v>3.776126819230984</v>
      </c>
      <c r="R38">
        <f>31*(Table1[[#This Row],[Ox.Al_sd]]/27+Table1[[#This Row],[Ox.Fe_sd]]/56)/1000</f>
        <v>4.1539490839849071E-2</v>
      </c>
      <c r="S38">
        <f>Table1[[#This Row],[Ox.PSR_mean]]</f>
        <v>0.13352646463204901</v>
      </c>
      <c r="T38">
        <f>Table1[[#This Row],[Ox.PSR_sd]]</f>
        <v>2.78908786219903E-3</v>
      </c>
      <c r="U38">
        <f>Table1[[#This Row],[clay_mean]]/100</f>
        <v>7.4999999999999997E-2</v>
      </c>
      <c r="V38">
        <f>1 - Table1[[#This Row],[sand_mean]]/100</f>
        <v>0.75914999999999999</v>
      </c>
      <c r="W38">
        <f>Table1[[#This Row],[BD_mean]]*1000*Table1[[#This Row],[WEPw_mean]]/1000*0.1</f>
        <v>3.2225125782824514E-2</v>
      </c>
      <c r="CM38" s="2"/>
      <c r="CN38" s="2"/>
    </row>
    <row r="39" spans="1:92" x14ac:dyDescent="0.25">
      <c r="A39" s="1" t="s">
        <v>62</v>
      </c>
      <c r="B39" s="1">
        <v>4</v>
      </c>
      <c r="C39" s="1" t="s">
        <v>34</v>
      </c>
      <c r="D39" s="1" t="s">
        <v>65</v>
      </c>
      <c r="E39">
        <f>'df.IC.finalSRP.soil.0t10'!E39</f>
        <v>12.1197916666666</v>
      </c>
      <c r="F39">
        <f t="shared" si="0"/>
        <v>3.3204908675798908E-2</v>
      </c>
      <c r="G39">
        <f>'df.IC.finalSRP.soil.0t10'!F39</f>
        <v>2.2903E-2</v>
      </c>
      <c r="H39">
        <f>'df.IC.finalSRP.soil.0t10'!M39</f>
        <v>1.08808549797756E-2</v>
      </c>
      <c r="I39">
        <f>'df.IC.finalSRP.soil.0t10'!H39</f>
        <v>17.899999999999999</v>
      </c>
      <c r="J39">
        <f>'df.IC.finalSRP.soil.0t10'!S39</f>
        <v>5.0000000000000001E-3</v>
      </c>
      <c r="K39">
        <f>1</f>
        <v>1</v>
      </c>
      <c r="L39">
        <v>0</v>
      </c>
      <c r="M39">
        <v>0</v>
      </c>
      <c r="N39">
        <v>1000</v>
      </c>
      <c r="O39">
        <f>Table1[[#This Row],[LOI_mean]]</f>
        <v>0.17104405728785901</v>
      </c>
      <c r="P39" s="1">
        <f>Table1[[#This Row],[LOI_sd]]</f>
        <v>0.12847847027488801</v>
      </c>
      <c r="Q39">
        <f>31*(Table1[[#This Row],[Ox.Al_mean]]/27+Table1[[#This Row],[Ox.Fe_mean]]/56)/1000</f>
        <v>3.776126819230984</v>
      </c>
      <c r="R39">
        <f>31*(Table1[[#This Row],[Ox.Al_sd]]/27+Table1[[#This Row],[Ox.Fe_sd]]/56)/1000</f>
        <v>4.1539490839849071E-2</v>
      </c>
      <c r="S39">
        <f>Table1[[#This Row],[Ox.PSR_mean]]</f>
        <v>0.13352646463204901</v>
      </c>
      <c r="T39">
        <f>Table1[[#This Row],[Ox.PSR_sd]]</f>
        <v>2.78908786219903E-3</v>
      </c>
      <c r="U39">
        <f>Table1[[#This Row],[clay_mean]]/100</f>
        <v>7.4999999999999997E-2</v>
      </c>
      <c r="V39">
        <f>1 - Table1[[#This Row],[sand_mean]]/100</f>
        <v>0.75914999999999999</v>
      </c>
      <c r="W39">
        <f>Table1[[#This Row],[BD_mean]]*1000*Table1[[#This Row],[WEPw_mean]]/1000*0.1</f>
        <v>3.2225125782824514E-2</v>
      </c>
      <c r="CM39" s="2"/>
      <c r="CN39" s="2"/>
    </row>
    <row r="40" spans="1:92" x14ac:dyDescent="0.25">
      <c r="A40" s="1" t="s">
        <v>66</v>
      </c>
      <c r="B40" s="1">
        <v>2</v>
      </c>
      <c r="C40" s="1" t="s">
        <v>29</v>
      </c>
      <c r="D40" s="1" t="s">
        <v>67</v>
      </c>
      <c r="E40">
        <f>'df.IC.finalSRP.soil.0t10'!E40</f>
        <v>12.8680555555555</v>
      </c>
      <c r="F40">
        <f t="shared" si="0"/>
        <v>3.5254946727549315E-2</v>
      </c>
      <c r="G40">
        <f>'df.IC.finalSRP.soil.0t10'!F40</f>
        <v>0.89026836356883798</v>
      </c>
      <c r="H40">
        <f>'df.IC.finalSRP.soil.0t10'!M40</f>
        <v>0.53235413461535896</v>
      </c>
      <c r="I40">
        <f>'df.IC.finalSRP.soil.0t10'!H40</f>
        <v>21.6</v>
      </c>
      <c r="J40">
        <f>'df.IC.finalSRP.soil.0t10'!S40</f>
        <v>1.03E-2</v>
      </c>
      <c r="K40">
        <f>1</f>
        <v>1</v>
      </c>
      <c r="L40">
        <v>0</v>
      </c>
      <c r="M40">
        <v>0</v>
      </c>
      <c r="N40">
        <v>1000</v>
      </c>
      <c r="O40">
        <f>Table1[[#This Row],[LOI_mean]]</f>
        <v>0.212389380530974</v>
      </c>
      <c r="P40" s="1" t="str">
        <f>Table1[[#This Row],[LOI_sd]]</f>
        <v>NA</v>
      </c>
      <c r="Q40">
        <f>31*(Table1[[#This Row],[Ox.Al_mean]]/27+Table1[[#This Row],[Ox.Fe_mean]]/56)/1000</f>
        <v>4.416679894179893</v>
      </c>
      <c r="R40" t="e">
        <f>31*(Table1[[#This Row],[Ox.Al_sd]]/27+Table1[[#This Row],[Ox.Fe_sd]]/56)/1000</f>
        <v>#VALUE!</v>
      </c>
      <c r="S40">
        <f>Table1[[#This Row],[Ox.PSR_mean]]</f>
        <v>0.167999496856852</v>
      </c>
      <c r="T40" t="str">
        <f>Table1[[#This Row],[Ox.PSR_sd]]</f>
        <v>NA</v>
      </c>
      <c r="U40" t="e">
        <f>Table1[[#This Row],[clay_mean]]/100</f>
        <v>#VALUE!</v>
      </c>
      <c r="V40" t="e">
        <f>1 - Table1[[#This Row],[sand_mean]]/100</f>
        <v>#VALUE!</v>
      </c>
      <c r="W40">
        <f>Table1[[#This Row],[BD_mean]]*1000*Table1[[#This Row],[WEPw_mean]]/1000*0.1</f>
        <v>0.12862539688888833</v>
      </c>
    </row>
    <row r="41" spans="1:92" x14ac:dyDescent="0.25">
      <c r="A41" s="1" t="s">
        <v>66</v>
      </c>
      <c r="B41" s="1">
        <v>2</v>
      </c>
      <c r="C41" s="1" t="s">
        <v>29</v>
      </c>
      <c r="D41" s="1" t="s">
        <v>67</v>
      </c>
      <c r="E41">
        <f>'df.IC.finalSRP.soil.0t10'!E41</f>
        <v>12.8680555555555</v>
      </c>
      <c r="F41">
        <f t="shared" si="0"/>
        <v>3.5254946727549315E-2</v>
      </c>
      <c r="G41">
        <f>'df.IC.finalSRP.soil.0t10'!F41</f>
        <v>0.89026836356883798</v>
      </c>
      <c r="H41">
        <f>'df.IC.finalSRP.soil.0t10'!M41</f>
        <v>0.53235413461535896</v>
      </c>
      <c r="I41">
        <f>'df.IC.finalSRP.soil.0t10'!H41</f>
        <v>21.6</v>
      </c>
      <c r="J41">
        <f>'df.IC.finalSRP.soil.0t10'!S41</f>
        <v>1.03E-2</v>
      </c>
      <c r="K41">
        <f>1</f>
        <v>1</v>
      </c>
      <c r="L41">
        <v>0</v>
      </c>
      <c r="M41">
        <v>0</v>
      </c>
      <c r="N41">
        <v>1000</v>
      </c>
      <c r="O41">
        <f>Table1[[#This Row],[LOI_mean]]</f>
        <v>9.8744225439590202E-2</v>
      </c>
      <c r="P41" s="1">
        <f>Table1[[#This Row],[LOI_sd]]</f>
        <v>7.2381750227843798E-3</v>
      </c>
      <c r="Q41">
        <f>31*(Table1[[#This Row],[Ox.Al_mean]]/27+Table1[[#This Row],[Ox.Fe_mean]]/56)/1000</f>
        <v>3.5806270613067741</v>
      </c>
      <c r="R41">
        <f>31*(Table1[[#This Row],[Ox.Al_sd]]/27+Table1[[#This Row],[Ox.Fe_sd]]/56)/1000</f>
        <v>0.19089374327359604</v>
      </c>
      <c r="S41">
        <f>Table1[[#This Row],[Ox.PSR_mean]]</f>
        <v>0.15529312339863599</v>
      </c>
      <c r="T41">
        <f>Table1[[#This Row],[Ox.PSR_sd]]</f>
        <v>1.42998448437739E-3</v>
      </c>
      <c r="U41">
        <f>Table1[[#This Row],[clay_mean]]/100</f>
        <v>0.1125</v>
      </c>
      <c r="V41">
        <f>1 - Table1[[#This Row],[sand_mean]]/100</f>
        <v>0.94299999999999995</v>
      </c>
      <c r="W41" t="e">
        <f>Table1[[#This Row],[BD_mean]]*1000*Table1[[#This Row],[WEPw_mean]]/1000*0.1</f>
        <v>#VALUE!</v>
      </c>
    </row>
    <row r="42" spans="1:92" x14ac:dyDescent="0.25">
      <c r="A42" s="1" t="s">
        <v>66</v>
      </c>
      <c r="B42" s="1">
        <v>2</v>
      </c>
      <c r="C42" s="1" t="s">
        <v>34</v>
      </c>
      <c r="D42" s="1" t="s">
        <v>67</v>
      </c>
      <c r="E42">
        <f>'df.IC.finalSRP.soil.0t10'!E42</f>
        <v>12.8638888888888</v>
      </c>
      <c r="F42">
        <f t="shared" si="0"/>
        <v>3.524353120243507E-2</v>
      </c>
      <c r="G42">
        <f>'df.IC.finalSRP.soil.0t10'!F42</f>
        <v>0.43789400000000001</v>
      </c>
      <c r="H42">
        <f>'df.IC.finalSRP.soil.0t10'!M42</f>
        <v>0.24654983032441899</v>
      </c>
      <c r="I42">
        <f>'df.IC.finalSRP.soil.0t10'!H42</f>
        <v>21.7</v>
      </c>
      <c r="J42">
        <f>'df.IC.finalSRP.soil.0t10'!S42</f>
        <v>1.03E-2</v>
      </c>
      <c r="K42">
        <f>1</f>
        <v>1</v>
      </c>
      <c r="L42">
        <v>0</v>
      </c>
      <c r="M42">
        <v>0</v>
      </c>
      <c r="N42">
        <v>1000</v>
      </c>
      <c r="O42">
        <f>Table1[[#This Row],[LOI_mean]]</f>
        <v>0.212389380530974</v>
      </c>
      <c r="P42" s="1" t="str">
        <f>Table1[[#This Row],[LOI_sd]]</f>
        <v>NA</v>
      </c>
      <c r="Q42">
        <f>31*(Table1[[#This Row],[Ox.Al_mean]]/27+Table1[[#This Row],[Ox.Fe_mean]]/56)/1000</f>
        <v>4.416679894179893</v>
      </c>
      <c r="R42" t="e">
        <f>31*(Table1[[#This Row],[Ox.Al_sd]]/27+Table1[[#This Row],[Ox.Fe_sd]]/56)/1000</f>
        <v>#VALUE!</v>
      </c>
      <c r="S42">
        <f>Table1[[#This Row],[Ox.PSR_mean]]</f>
        <v>0.167999496856852</v>
      </c>
      <c r="T42" t="str">
        <f>Table1[[#This Row],[Ox.PSR_sd]]</f>
        <v>NA</v>
      </c>
      <c r="U42" t="e">
        <f>Table1[[#This Row],[clay_mean]]/100</f>
        <v>#VALUE!</v>
      </c>
      <c r="V42" t="e">
        <f>1 - Table1[[#This Row],[sand_mean]]/100</f>
        <v>#VALUE!</v>
      </c>
      <c r="W42">
        <f>Table1[[#This Row],[BD_mean]]*1000*Table1[[#This Row],[WEPw_mean]]/1000*0.1</f>
        <v>0.12862539688888833</v>
      </c>
    </row>
    <row r="43" spans="1:92" x14ac:dyDescent="0.25">
      <c r="A43" s="1" t="s">
        <v>66</v>
      </c>
      <c r="B43" s="1">
        <v>2</v>
      </c>
      <c r="C43" s="1" t="s">
        <v>34</v>
      </c>
      <c r="D43" s="1" t="s">
        <v>67</v>
      </c>
      <c r="E43">
        <f>'df.IC.finalSRP.soil.0t10'!E43</f>
        <v>12.8638888888888</v>
      </c>
      <c r="F43">
        <f t="shared" si="0"/>
        <v>3.524353120243507E-2</v>
      </c>
      <c r="G43">
        <f>'df.IC.finalSRP.soil.0t10'!F43</f>
        <v>0.43789400000000001</v>
      </c>
      <c r="H43">
        <f>'df.IC.finalSRP.soil.0t10'!M43</f>
        <v>0.24654983032441899</v>
      </c>
      <c r="I43">
        <f>'df.IC.finalSRP.soil.0t10'!H43</f>
        <v>21.7</v>
      </c>
      <c r="J43">
        <f>'df.IC.finalSRP.soil.0t10'!S43</f>
        <v>1.03E-2</v>
      </c>
      <c r="K43">
        <f>1</f>
        <v>1</v>
      </c>
      <c r="L43">
        <v>0</v>
      </c>
      <c r="M43">
        <v>0</v>
      </c>
      <c r="N43">
        <v>1000</v>
      </c>
      <c r="O43">
        <f>Table1[[#This Row],[LOI_mean]]</f>
        <v>9.8744225439590202E-2</v>
      </c>
      <c r="P43" s="1">
        <f>Table1[[#This Row],[LOI_sd]]</f>
        <v>7.2381750227843798E-3</v>
      </c>
      <c r="Q43">
        <f>31*(Table1[[#This Row],[Ox.Al_mean]]/27+Table1[[#This Row],[Ox.Fe_mean]]/56)/1000</f>
        <v>3.5806270613067741</v>
      </c>
      <c r="R43">
        <f>31*(Table1[[#This Row],[Ox.Al_sd]]/27+Table1[[#This Row],[Ox.Fe_sd]]/56)/1000</f>
        <v>0.19089374327359604</v>
      </c>
      <c r="S43">
        <f>Table1[[#This Row],[Ox.PSR_mean]]</f>
        <v>0.15529312339863599</v>
      </c>
      <c r="T43">
        <f>Table1[[#This Row],[Ox.PSR_sd]]</f>
        <v>1.42998448437739E-3</v>
      </c>
      <c r="U43">
        <f>Table1[[#This Row],[clay_mean]]/100</f>
        <v>0.1125</v>
      </c>
      <c r="V43">
        <f>1 - Table1[[#This Row],[sand_mean]]/100</f>
        <v>0.94299999999999995</v>
      </c>
      <c r="W43" t="e">
        <f>Table1[[#This Row],[BD_mean]]*1000*Table1[[#This Row],[WEPw_mean]]/1000*0.1</f>
        <v>#VALUE!</v>
      </c>
    </row>
    <row r="44" spans="1:92" x14ac:dyDescent="0.25">
      <c r="A44" s="1" t="s">
        <v>68</v>
      </c>
      <c r="B44" s="1">
        <v>3</v>
      </c>
      <c r="C44" s="1" t="s">
        <v>29</v>
      </c>
      <c r="D44" s="1" t="s">
        <v>69</v>
      </c>
      <c r="E44">
        <f>'df.IC.finalSRP.soil.0t10'!E44</f>
        <v>12.876388888888799</v>
      </c>
      <c r="F44">
        <f t="shared" si="0"/>
        <v>3.5277777777777533E-2</v>
      </c>
      <c r="G44">
        <f>'df.IC.finalSRP.soil.0t10'!F44</f>
        <v>0.11901766666666599</v>
      </c>
      <c r="H44">
        <f>'df.IC.finalSRP.soil.0t10'!M44</f>
        <v>9.6459006859563504E-2</v>
      </c>
      <c r="I44">
        <f>'df.IC.finalSRP.soil.0t10'!H44</f>
        <v>21.6</v>
      </c>
      <c r="J44">
        <f>'df.IC.finalSRP.soil.0t10'!S44</f>
        <v>1.03E-2</v>
      </c>
      <c r="K44">
        <f>1</f>
        <v>1</v>
      </c>
      <c r="L44">
        <v>0</v>
      </c>
      <c r="M44">
        <v>0</v>
      </c>
      <c r="N44">
        <v>1000</v>
      </c>
      <c r="O44">
        <f>Table1[[#This Row],[LOI_mean]]</f>
        <v>0.24224264282813901</v>
      </c>
      <c r="P44" s="1">
        <f>Table1[[#This Row],[LOI_sd]]</f>
        <v>4.2811459725728501E-2</v>
      </c>
      <c r="Q44">
        <f>31*(Table1[[#This Row],[Ox.Al_mean]]/27+Table1[[#This Row],[Ox.Fe_mean]]/56)/1000</f>
        <v>4.4005962750184242</v>
      </c>
      <c r="R44">
        <f>31*(Table1[[#This Row],[Ox.Al_sd]]/27+Table1[[#This Row],[Ox.Fe_sd]]/56)/1000</f>
        <v>1.0383022381795834</v>
      </c>
      <c r="S44">
        <f>Table1[[#This Row],[Ox.PSR_mean]]</f>
        <v>0.15695668619810199</v>
      </c>
      <c r="T44">
        <f>Table1[[#This Row],[Ox.PSR_sd]]</f>
        <v>4.3052799773330701E-2</v>
      </c>
      <c r="U44">
        <f>Table1[[#This Row],[clay_mean]]/100</f>
        <v>0.16250000000000001</v>
      </c>
      <c r="V44">
        <f>1 - Table1[[#This Row],[sand_mean]]/100</f>
        <v>0.97160000000000024</v>
      </c>
      <c r="W44">
        <f>Table1[[#This Row],[BD_mean]]*1000*Table1[[#This Row],[WEPw_mean]]/1000*0.1</f>
        <v>5.6629243695335328E-3</v>
      </c>
    </row>
    <row r="45" spans="1:92" x14ac:dyDescent="0.25">
      <c r="A45" s="1" t="s">
        <v>68</v>
      </c>
      <c r="B45" s="1">
        <v>3</v>
      </c>
      <c r="C45" s="1" t="s">
        <v>29</v>
      </c>
      <c r="D45" s="1" t="s">
        <v>69</v>
      </c>
      <c r="E45">
        <f>'df.IC.finalSRP.soil.0t10'!E45</f>
        <v>12.876388888888799</v>
      </c>
      <c r="F45">
        <f t="shared" si="0"/>
        <v>3.5277777777777533E-2</v>
      </c>
      <c r="G45">
        <f>'df.IC.finalSRP.soil.0t10'!F45</f>
        <v>0.11901766666666599</v>
      </c>
      <c r="H45">
        <f>'df.IC.finalSRP.soil.0t10'!M45</f>
        <v>9.6459006859563504E-2</v>
      </c>
      <c r="I45">
        <f>'df.IC.finalSRP.soil.0t10'!H45</f>
        <v>21.6</v>
      </c>
      <c r="J45">
        <f>'df.IC.finalSRP.soil.0t10'!S45</f>
        <v>1.03E-2</v>
      </c>
      <c r="K45">
        <f>1</f>
        <v>1</v>
      </c>
      <c r="L45">
        <v>0</v>
      </c>
      <c r="M45">
        <v>0</v>
      </c>
      <c r="N45">
        <v>1000</v>
      </c>
      <c r="O45">
        <f>Table1[[#This Row],[LOI_mean]]</f>
        <v>0.30238629347222401</v>
      </c>
      <c r="P45" s="1" t="str">
        <f>Table1[[#This Row],[LOI_sd]]</f>
        <v>NA</v>
      </c>
      <c r="Q45">
        <f>31*(Table1[[#This Row],[Ox.Al_mean]]/27+Table1[[#This Row],[Ox.Fe_mean]]/56)/1000</f>
        <v>4.0713436819396085</v>
      </c>
      <c r="R45" t="e">
        <f>31*(Table1[[#This Row],[Ox.Al_sd]]/27+Table1[[#This Row],[Ox.Fe_sd]]/56)/1000</f>
        <v>#VALUE!</v>
      </c>
      <c r="S45">
        <f>Table1[[#This Row],[Ox.PSR_mean]]</f>
        <v>0.148164262181844</v>
      </c>
      <c r="T45" t="str">
        <f>Table1[[#This Row],[Ox.PSR_sd]]</f>
        <v>NA</v>
      </c>
      <c r="U45">
        <f>Table1[[#This Row],[clay_mean]]/100</f>
        <v>0.16250000000000001</v>
      </c>
      <c r="V45">
        <f>1 - Table1[[#This Row],[sand_mean]]/100</f>
        <v>0.97160000000000024</v>
      </c>
      <c r="W45" t="e">
        <f>Table1[[#This Row],[BD_mean]]*1000*Table1[[#This Row],[WEPw_mean]]/1000*0.1</f>
        <v>#VALUE!</v>
      </c>
    </row>
    <row r="46" spans="1:92" x14ac:dyDescent="0.25">
      <c r="A46" s="1" t="s">
        <v>68</v>
      </c>
      <c r="B46" s="1">
        <v>3</v>
      </c>
      <c r="C46" s="1" t="s">
        <v>34</v>
      </c>
      <c r="D46" s="1" t="s">
        <v>69</v>
      </c>
      <c r="E46">
        <f>'df.IC.finalSRP.soil.0t10'!E46</f>
        <v>12.8722222222222</v>
      </c>
      <c r="F46">
        <f t="shared" si="0"/>
        <v>3.5266362252663566E-2</v>
      </c>
      <c r="G46">
        <f>'df.IC.finalSRP.soil.0t10'!F46</f>
        <v>4.3287730423837101E-2</v>
      </c>
      <c r="H46">
        <f>'df.IC.finalSRP.soil.0t10'!M46</f>
        <v>7.2523917906564704E-3</v>
      </c>
      <c r="I46">
        <f>'df.IC.finalSRP.soil.0t10'!H46</f>
        <v>21.7</v>
      </c>
      <c r="J46">
        <f>'df.IC.finalSRP.soil.0t10'!S46</f>
        <v>1.03E-2</v>
      </c>
      <c r="K46">
        <f>1</f>
        <v>1</v>
      </c>
      <c r="L46">
        <v>0</v>
      </c>
      <c r="M46">
        <v>0</v>
      </c>
      <c r="N46">
        <v>1000</v>
      </c>
      <c r="O46">
        <f>Table1[[#This Row],[LOI_mean]]</f>
        <v>0.24224264282813901</v>
      </c>
      <c r="P46" s="1">
        <f>Table1[[#This Row],[LOI_sd]]</f>
        <v>4.2811459725728501E-2</v>
      </c>
      <c r="Q46">
        <f>31*(Table1[[#This Row],[Ox.Al_mean]]/27+Table1[[#This Row],[Ox.Fe_mean]]/56)/1000</f>
        <v>4.4005962750184242</v>
      </c>
      <c r="R46">
        <f>31*(Table1[[#This Row],[Ox.Al_sd]]/27+Table1[[#This Row],[Ox.Fe_sd]]/56)/1000</f>
        <v>1.0383022381795834</v>
      </c>
      <c r="S46">
        <f>Table1[[#This Row],[Ox.PSR_mean]]</f>
        <v>0.15695668619810199</v>
      </c>
      <c r="T46">
        <f>Table1[[#This Row],[Ox.PSR_sd]]</f>
        <v>4.3052799773330701E-2</v>
      </c>
      <c r="U46">
        <f>Table1[[#This Row],[clay_mean]]/100</f>
        <v>0.16250000000000001</v>
      </c>
      <c r="V46">
        <f>1 - Table1[[#This Row],[sand_mean]]/100</f>
        <v>0.97160000000000024</v>
      </c>
      <c r="W46">
        <f>Table1[[#This Row],[BD_mean]]*1000*Table1[[#This Row],[WEPw_mean]]/1000*0.1</f>
        <v>5.6629243695335328E-3</v>
      </c>
    </row>
    <row r="47" spans="1:92" x14ac:dyDescent="0.25">
      <c r="A47" s="1" t="s">
        <v>68</v>
      </c>
      <c r="B47" s="1">
        <v>3</v>
      </c>
      <c r="C47" s="1" t="s">
        <v>34</v>
      </c>
      <c r="D47" s="1" t="s">
        <v>69</v>
      </c>
      <c r="E47">
        <f>'df.IC.finalSRP.soil.0t10'!E47</f>
        <v>12.8722222222222</v>
      </c>
      <c r="F47">
        <f t="shared" si="0"/>
        <v>3.5266362252663566E-2</v>
      </c>
      <c r="G47">
        <f>'df.IC.finalSRP.soil.0t10'!F47</f>
        <v>4.3287730423837101E-2</v>
      </c>
      <c r="H47">
        <f>'df.IC.finalSRP.soil.0t10'!M47</f>
        <v>7.2523917906564704E-3</v>
      </c>
      <c r="I47">
        <f>'df.IC.finalSRP.soil.0t10'!H47</f>
        <v>21.7</v>
      </c>
      <c r="J47">
        <f>'df.IC.finalSRP.soil.0t10'!S47</f>
        <v>1.03E-2</v>
      </c>
      <c r="K47">
        <f>1</f>
        <v>1</v>
      </c>
      <c r="L47">
        <v>0</v>
      </c>
      <c r="M47">
        <v>0</v>
      </c>
      <c r="N47">
        <v>1000</v>
      </c>
      <c r="O47">
        <f>Table1[[#This Row],[LOI_mean]]</f>
        <v>0.30238629347222401</v>
      </c>
      <c r="P47" s="1" t="str">
        <f>Table1[[#This Row],[LOI_sd]]</f>
        <v>NA</v>
      </c>
      <c r="Q47">
        <f>31*(Table1[[#This Row],[Ox.Al_mean]]/27+Table1[[#This Row],[Ox.Fe_mean]]/56)/1000</f>
        <v>4.0713436819396085</v>
      </c>
      <c r="R47" t="e">
        <f>31*(Table1[[#This Row],[Ox.Al_sd]]/27+Table1[[#This Row],[Ox.Fe_sd]]/56)/1000</f>
        <v>#VALUE!</v>
      </c>
      <c r="S47">
        <f>Table1[[#This Row],[Ox.PSR_mean]]</f>
        <v>0.148164262181844</v>
      </c>
      <c r="T47" t="str">
        <f>Table1[[#This Row],[Ox.PSR_sd]]</f>
        <v>NA</v>
      </c>
      <c r="U47">
        <f>Table1[[#This Row],[clay_mean]]/100</f>
        <v>0.16250000000000001</v>
      </c>
      <c r="V47">
        <f>1 - Table1[[#This Row],[sand_mean]]/100</f>
        <v>0.97160000000000024</v>
      </c>
      <c r="W47" t="e">
        <f>Table1[[#This Row],[BD_mean]]*1000*Table1[[#This Row],[WEPw_mean]]/1000*0.1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A573-8385-4796-B74F-12EDAFBC42BE}">
  <dimension ref="A1:BD41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G32" activeCellId="2" sqref="G14:G18 G22:G26 G32:G36"/>
    </sheetView>
  </sheetViews>
  <sheetFormatPr defaultRowHeight="13.8" x14ac:dyDescent="0.25"/>
  <cols>
    <col min="3" max="3" width="10.8984375" customWidth="1"/>
    <col min="4" max="4" width="9.3984375" customWidth="1"/>
    <col min="5" max="5" width="12.09765625" customWidth="1"/>
    <col min="6" max="6" width="10.796875" customWidth="1"/>
    <col min="7" max="7" width="19.796875" customWidth="1"/>
    <col min="8" max="8" width="17.09765625" customWidth="1"/>
    <col min="11" max="11" width="9.5" customWidth="1"/>
    <col min="13" max="13" width="10.8984375" customWidth="1"/>
    <col min="14" max="14" width="9.69921875" customWidth="1"/>
    <col min="16" max="16" width="10.296875" customWidth="1"/>
    <col min="17" max="17" width="11.09765625" customWidth="1"/>
    <col min="18" max="18" width="14" customWidth="1"/>
    <col min="20" max="20" width="10.8984375" customWidth="1"/>
    <col min="22" max="23" width="10.09765625" style="6" customWidth="1"/>
    <col min="24" max="26" width="13" style="6" customWidth="1"/>
    <col min="27" max="29" width="8.796875" style="6"/>
    <col min="30" max="30" width="10.296875" customWidth="1"/>
    <col min="32" max="32" width="8.796875" style="4"/>
    <col min="33" max="33" width="9.19921875" style="4" bestFit="1" customWidth="1"/>
    <col min="34" max="36" width="9.19921875" customWidth="1"/>
    <col min="40" max="40" width="9.19921875" bestFit="1" customWidth="1"/>
    <col min="45" max="45" width="12.09765625" bestFit="1" customWidth="1"/>
    <col min="49" max="49" width="9.19921875" bestFit="1" customWidth="1"/>
    <col min="50" max="50" width="10.296875" customWidth="1"/>
    <col min="52" max="52" width="13.699218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171</v>
      </c>
      <c r="G1" t="s">
        <v>173</v>
      </c>
      <c r="H1" t="s">
        <v>181</v>
      </c>
      <c r="I1" t="s">
        <v>70</v>
      </c>
      <c r="J1" t="s">
        <v>71</v>
      </c>
      <c r="K1" t="s">
        <v>168</v>
      </c>
      <c r="L1" t="s">
        <v>169</v>
      </c>
      <c r="M1" t="s">
        <v>179</v>
      </c>
      <c r="N1" t="s">
        <v>180</v>
      </c>
      <c r="O1" s="1" t="s">
        <v>81</v>
      </c>
      <c r="P1" t="s">
        <v>166</v>
      </c>
      <c r="Q1" t="s">
        <v>175</v>
      </c>
      <c r="R1" t="s">
        <v>170</v>
      </c>
      <c r="S1" t="s">
        <v>176</v>
      </c>
      <c r="T1" t="s">
        <v>177</v>
      </c>
      <c r="U1" t="s">
        <v>178</v>
      </c>
      <c r="V1" t="s">
        <v>167</v>
      </c>
      <c r="W1" s="6" t="s">
        <v>174</v>
      </c>
      <c r="X1" s="6" t="s">
        <v>197</v>
      </c>
      <c r="Y1" s="6" t="s">
        <v>184</v>
      </c>
      <c r="Z1" s="6" t="s">
        <v>209</v>
      </c>
      <c r="AA1" s="6" t="s">
        <v>208</v>
      </c>
      <c r="AB1" s="6" t="s">
        <v>207</v>
      </c>
      <c r="AC1" s="6" t="s">
        <v>217</v>
      </c>
      <c r="AD1" s="6" t="s">
        <v>211</v>
      </c>
      <c r="AE1" t="s">
        <v>185</v>
      </c>
      <c r="AF1" t="s">
        <v>183</v>
      </c>
      <c r="AG1" s="4" t="s">
        <v>203</v>
      </c>
      <c r="AH1" s="4" t="s">
        <v>204</v>
      </c>
      <c r="AI1" t="s">
        <v>202</v>
      </c>
      <c r="AJ1" t="s">
        <v>205</v>
      </c>
      <c r="AK1" t="s">
        <v>206</v>
      </c>
      <c r="AL1" t="s">
        <v>190</v>
      </c>
      <c r="AM1" t="s">
        <v>189</v>
      </c>
      <c r="AN1" t="s">
        <v>192</v>
      </c>
      <c r="AO1" t="s">
        <v>191</v>
      </c>
      <c r="AP1" t="s">
        <v>187</v>
      </c>
      <c r="AQ1" t="s">
        <v>188</v>
      </c>
      <c r="AS1" t="s">
        <v>193</v>
      </c>
      <c r="AT1" t="s">
        <v>194</v>
      </c>
      <c r="AU1" t="s">
        <v>195</v>
      </c>
      <c r="AV1" t="s">
        <v>196</v>
      </c>
      <c r="AX1" t="s">
        <v>41</v>
      </c>
      <c r="AY1" t="s">
        <v>212</v>
      </c>
      <c r="AZ1" t="s">
        <v>213</v>
      </c>
      <c r="BA1" t="s">
        <v>199</v>
      </c>
    </row>
    <row r="2" spans="1:56" x14ac:dyDescent="0.25">
      <c r="A2" t="s">
        <v>27</v>
      </c>
      <c r="B2" t="s">
        <v>28</v>
      </c>
      <c r="C2" t="s">
        <v>29</v>
      </c>
      <c r="D2" t="s">
        <v>30</v>
      </c>
      <c r="E2">
        <v>11.2552083333333</v>
      </c>
      <c r="F2">
        <v>3.0836187214611781E-2</v>
      </c>
      <c r="G2">
        <v>1.7717274999999999</v>
      </c>
      <c r="H2">
        <v>0.45097233042338603</v>
      </c>
      <c r="I2">
        <v>19.05</v>
      </c>
      <c r="J2">
        <v>5.0000000000000001E-3</v>
      </c>
      <c r="K2">
        <v>1</v>
      </c>
      <c r="L2">
        <v>0</v>
      </c>
      <c r="M2">
        <v>0</v>
      </c>
      <c r="N2">
        <v>1000</v>
      </c>
      <c r="O2" s="1">
        <v>0.95080188351666595</v>
      </c>
      <c r="P2">
        <v>8.3136596765579496E-2</v>
      </c>
      <c r="Q2">
        <v>1.55090337472752E-2</v>
      </c>
      <c r="R2">
        <v>2.7455035888351702</v>
      </c>
      <c r="S2">
        <v>0.15948505238549396</v>
      </c>
      <c r="T2">
        <v>0.40155622273952701</v>
      </c>
      <c r="U2">
        <v>4.5253726186215697E-2</v>
      </c>
      <c r="V2">
        <v>4.2000000000000003E-2</v>
      </c>
      <c r="W2" s="6">
        <v>0.49033333333333406</v>
      </c>
      <c r="X2" s="6">
        <f>31*EXP(5.81244 + 0.25773*LN(Table36[[#This Row],[k_LOI]]) +
                   0.32107*LN((1-Table36[[#This Row],[k_LOI]])*Table36[[#This Row],[k_f_fines]]))/1000</f>
        <v>4.2246778394897904</v>
      </c>
      <c r="Y2" s="6">
        <v>0.37872639307828099</v>
      </c>
      <c r="Z2" s="6">
        <v>0.37872649629214017</v>
      </c>
      <c r="AA2" s="6">
        <v>0.37872649629214</v>
      </c>
      <c r="AB2" s="6">
        <v>0.37872649629214</v>
      </c>
      <c r="AC2" s="6">
        <f>(((1-Table36[[#This Row],[k_PSR]])*Table36[[#This Row],[k_Ex_max]])/Table36[[#This Row],[k_PSR]])</f>
        <v>4.0916550289658176</v>
      </c>
      <c r="AD2" s="6">
        <f>((1-Table36[[#This Row],[k_PSR]])*Table36[[#This Row],[k_Ex_max]])</f>
        <v>1.6430295381847038</v>
      </c>
      <c r="AE2">
        <f>IF(Table36[[#This Row],[treatment]]="O2",AY$2,AY$3)</f>
        <v>1.0035536233050284E-3</v>
      </c>
      <c r="AF2" s="3">
        <f>(Table36[[#This Row],[k_Ex_max]]*Table36[[#This Row],[k_PSR]])/((Table36[[#This Row],[k_Ex_max]]-Table36[[#This Row],[k_PSR]]*Table36[[#This Row],[k_Ex_max]])*1.04)</f>
        <v>0.6451930278257455</v>
      </c>
      <c r="AG2" s="4">
        <f>IF(Table36[[#This Row],[treatment]]="O2",AX$2*Table36[[#This Row],[k_E_opt3]]^(-AY$2),AX$3*Table36[[#This Row],[k_E_opt3]]^(-AY$3))</f>
        <v>0.10634645311954449</v>
      </c>
      <c r="AH2" s="4">
        <f>(Table36[[#This Row],[k_Ex_max_modeled]]*Table36[[#This Row],[k_PSR]])/((Table36[[#This Row],[k_Ex_max_modeled]]-Table36[[#This Row],[k_PSR]]*Table36[[#This Row],[k_Ex_max_modeled]]))</f>
        <v>0.67100074893877537</v>
      </c>
      <c r="AI2" s="3">
        <f>Table36[[#This Row],[test_SRP_mgl_mean]]-Table36[[#This Row],[DIP_E]]</f>
        <v>1.1265344721742543</v>
      </c>
      <c r="AJ2" s="3">
        <f>LOG(Table36[[#This Row],[test_SRP_mgl_mean]])-LOG(Table36[[#This Row],[DIP_E_measured_Ex_Max]])</f>
        <v>1.2216739163234984</v>
      </c>
      <c r="AK2" s="3">
        <f>(G2-AH2)</f>
        <v>1.1007267510612246</v>
      </c>
      <c r="AL2" s="3">
        <f>ABS(Table36[[#This Row],[res_measured_Ex_max]])</f>
        <v>1.2216739163234984</v>
      </c>
      <c r="AM2" s="3">
        <f>Table36[[#This Row],[res_measured_Ex_max]]^2</f>
        <v>1.4924871578251941</v>
      </c>
      <c r="AN2" s="3">
        <f>Table36[[#This Row],[sqresid]]/((Table36[[#This Row],[DIP_E]]-AVERAGE(Table36[test_SRP_mgl_mean]))^2)</f>
        <v>17.669054971692113</v>
      </c>
      <c r="AO2" s="3">
        <f>Table36[[#This Row],[sqresid]]/LOG(Table36[[#This Row],[test_SRP_mgl_sd]]+1)</f>
        <v>9.2323096859968867</v>
      </c>
      <c r="AP2" cm="1">
        <f t="array" ref="AP2">IF(Table36[[#This Row],[treatment]]="O2",NA,Table36[[#This Row],[test_SRP_mgl_mean]])</f>
        <v>1.7717274999999999</v>
      </c>
      <c r="AQ2" cm="1">
        <f t="array" ref="AQ2">IF(Table36[[#This Row],[treatment]]="O2",NA,Table36[[#This Row],[DIP_E_measured_Ex_Max]])</f>
        <v>0.10634645311954449</v>
      </c>
      <c r="AR2" t="s">
        <v>34</v>
      </c>
      <c r="AS2">
        <f>SUMIF(Table36[treatment],AR2,Table36[absresid])</f>
        <v>12.125668780853173</v>
      </c>
      <c r="AT2">
        <f>SUMIF(Table36[treatment],AR2,Table36[sqresid])</f>
        <v>13.1888393853691</v>
      </c>
      <c r="AU2">
        <f>SUMIF(Table36[treatment],AR2,Table36[absres_cost])</f>
        <v>411.50745075612826</v>
      </c>
      <c r="AV2">
        <f>SUMIF(Table36[treatment],AR2,Table36[sqres_cost])</f>
        <v>176.1299647202836</v>
      </c>
      <c r="AX2">
        <v>2.9805221052582043E-2</v>
      </c>
      <c r="AY2" s="3">
        <v>1.0000294868557681E-3</v>
      </c>
      <c r="AZ2" t="s">
        <v>34</v>
      </c>
      <c r="BA2">
        <v>0.21062237694156599</v>
      </c>
    </row>
    <row r="3" spans="1:56" hidden="1" x14ac:dyDescent="0.25">
      <c r="A3" t="s">
        <v>27</v>
      </c>
      <c r="B3" t="s">
        <v>28</v>
      </c>
      <c r="C3" t="s">
        <v>34</v>
      </c>
      <c r="D3" t="s">
        <v>30</v>
      </c>
      <c r="E3">
        <v>11.2552083333333</v>
      </c>
      <c r="F3">
        <v>3.0836187214611781E-2</v>
      </c>
      <c r="G3">
        <v>2.0961466666666602</v>
      </c>
      <c r="H3">
        <v>0.55657211429128095</v>
      </c>
      <c r="I3">
        <v>19.05</v>
      </c>
      <c r="J3">
        <v>5.0000000000000001E-3</v>
      </c>
      <c r="K3">
        <v>1</v>
      </c>
      <c r="L3">
        <v>0</v>
      </c>
      <c r="M3">
        <v>0</v>
      </c>
      <c r="N3">
        <v>1000</v>
      </c>
      <c r="O3" s="1">
        <v>0.95080188351666595</v>
      </c>
      <c r="P3">
        <v>8.3136596765579496E-2</v>
      </c>
      <c r="Q3">
        <v>1.55090337472752E-2</v>
      </c>
      <c r="R3">
        <v>2.7455035888351671</v>
      </c>
      <c r="S3">
        <v>0.15948505238549396</v>
      </c>
      <c r="T3">
        <v>0.40155622273952701</v>
      </c>
      <c r="U3">
        <v>4.5253726186215697E-2</v>
      </c>
      <c r="V3">
        <v>4.2000000000000003E-2</v>
      </c>
      <c r="W3">
        <v>0.49033333333333406</v>
      </c>
      <c r="X3">
        <f>31*EXP(5.81244 + 0.25773*LN(Table36[[#This Row],[k_LOI]]) +
                   0.32107*LN((1-Table36[[#This Row],[k_LOI]])*Table36[[#This Row],[k_f_fines]]))/1000</f>
        <v>4.2246778394897904</v>
      </c>
      <c r="Y3" s="6">
        <v>0.3201112332532165</v>
      </c>
      <c r="Z3" s="6">
        <v>0.32011125319686901</v>
      </c>
      <c r="AA3" s="6">
        <v>0.32011125319686901</v>
      </c>
      <c r="AB3" s="6">
        <v>0.32011125319686901</v>
      </c>
      <c r="AC3" s="6">
        <f>(((1-Table36[[#This Row],[k_PSR]])*Table36[[#This Row],[k_Ex_max]])/Table36[[#This Row],[k_PSR]])</f>
        <v>4.0916550289658131</v>
      </c>
      <c r="AD3" s="6">
        <f>((1-Table36[[#This Row],[k_PSR]])*Table36[[#This Row],[k_Ex_max]])</f>
        <v>1.6430295381847018</v>
      </c>
      <c r="AE3">
        <f>IF(Table36[[#This Row],[treatment]]="O2",AY$2,AY$3)</f>
        <v>1.0000294868557681E-3</v>
      </c>
      <c r="AF3" s="3">
        <f>(Table36[[#This Row],[k_Ex_max]]*Table36[[#This Row],[k_PSR]])/((Table36[[#This Row],[k_Ex_max]]-Table36[[#This Row],[k_PSR]]*Table36[[#This Row],[k_Ex_max]])*1.04)</f>
        <v>0.64519302782574539</v>
      </c>
      <c r="AG3" s="4">
        <f>IF(Table36[[#This Row],[treatment]]="O2",AX$2*Table36[[#This Row],[k_E_opt3]]^(-AY$2),AX$3*Table36[[#This Row],[k_E_opt3]]^(-AY$3))</f>
        <v>2.9790424751473289E-2</v>
      </c>
      <c r="AH3" s="4">
        <f>(Table36[[#This Row],[k_Ex_max_modeled]]*Table36[[#This Row],[k_PSR]])/((Table36[[#This Row],[k_Ex_max_modeled]]-Table36[[#This Row],[k_PSR]]*Table36[[#This Row],[k_Ex_max_modeled]]))</f>
        <v>0.67100074893877537</v>
      </c>
      <c r="AI3" s="3">
        <f>Table36[[#This Row],[test_SRP_mgl_mean]]-Table36[[#This Row],[DIP_E]]</f>
        <v>1.4509536388409148</v>
      </c>
      <c r="AJ3" s="3">
        <f>LOG(Table36[[#This Row],[test_SRP_mgl_mean]])-LOG(Table36[[#This Row],[DIP_E_measured_Ex_Max]])</f>
        <v>1.8473449713874337</v>
      </c>
      <c r="AK3" s="3">
        <f>(G3-AH3)</f>
        <v>1.4251459177278849</v>
      </c>
      <c r="AL3" s="3">
        <f>ABS(Table36[[#This Row],[res_measured_Ex_max]])</f>
        <v>1.8473449713874337</v>
      </c>
      <c r="AM3" s="3">
        <f>Table36[[#This Row],[res_measured_Ex_max]]^2</f>
        <v>3.412683443310438</v>
      </c>
      <c r="AN3">
        <f>Table36[[#This Row],[sqresid]]/((Table36[[#This Row],[DIP_E]]-AVERAGE(Table36[test_SRP_mgl_mean]))^2)</f>
        <v>40.401614878014342</v>
      </c>
      <c r="AO3" s="3">
        <f>Table36[[#This Row],[sqresid]]/LOG(Table36[[#This Row],[test_SRP_mgl_sd]]+1)</f>
        <v>17.758738802191921</v>
      </c>
      <c r="AP3" t="e" cm="1">
        <f t="array" ref="AP3">IF(Table36[[#This Row],[treatment]]="O2",NA,Table36[[#This Row],[test_SRP_mgl_mean]])</f>
        <v>#NAME?</v>
      </c>
      <c r="AQ3" t="e" cm="1">
        <f t="array" ref="AQ3">IF(Table36[[#This Row],[treatment]]="O2",NA,Table36[[#This Row],[DIP_E_measured_Ex_Max]])</f>
        <v>#NAME?</v>
      </c>
      <c r="AR3" t="s">
        <v>29</v>
      </c>
      <c r="AS3">
        <f>SUMIF(Table36[treatment],AR3,Table36[absresid])</f>
        <v>9.3638940734019904</v>
      </c>
      <c r="AT3">
        <f>SUMIF(Table36[treatment],AR3,Table36[sqresid])</f>
        <v>6.7959817234708284</v>
      </c>
      <c r="AU3">
        <f>SUMIF(Table36[treatment],AR3,Table36[absres_cost])</f>
        <v>251.28622885035315</v>
      </c>
      <c r="AV3">
        <f>SUMIF(Table36[treatment],AR3,Table36[sqres_cost])</f>
        <v>99.526148736458993</v>
      </c>
      <c r="AX3" s="3">
        <v>0.10639945943693033</v>
      </c>
      <c r="AY3">
        <v>1.0035536233050284E-3</v>
      </c>
      <c r="AZ3" t="s">
        <v>29</v>
      </c>
      <c r="BA3">
        <v>0.2</v>
      </c>
    </row>
    <row r="4" spans="1:56" x14ac:dyDescent="0.25">
      <c r="A4" t="s">
        <v>35</v>
      </c>
      <c r="B4">
        <v>2</v>
      </c>
      <c r="C4" t="s">
        <v>29</v>
      </c>
      <c r="D4" t="s">
        <v>36</v>
      </c>
      <c r="E4">
        <v>11.8541666666666</v>
      </c>
      <c r="F4">
        <v>3.2477168949771505E-2</v>
      </c>
      <c r="G4">
        <v>0.68082666666666602</v>
      </c>
      <c r="H4">
        <v>7.5725788922048703E-2</v>
      </c>
      <c r="I4">
        <v>20.933333333333302</v>
      </c>
      <c r="J4">
        <v>5.0000000000000001E-3</v>
      </c>
      <c r="K4">
        <v>1</v>
      </c>
      <c r="L4">
        <v>0</v>
      </c>
      <c r="M4">
        <v>0</v>
      </c>
      <c r="N4">
        <v>1000</v>
      </c>
      <c r="O4" s="1">
        <v>0.94280383248900601</v>
      </c>
      <c r="P4">
        <v>3.9469455401219197E-2</v>
      </c>
      <c r="Q4">
        <v>3.1123844498527399E-3</v>
      </c>
      <c r="R4">
        <v>2.0446584440150439</v>
      </c>
      <c r="S4">
        <v>0.16366604376609781</v>
      </c>
      <c r="T4">
        <v>0.415130085976957</v>
      </c>
      <c r="U4">
        <v>1.5278796833423701E-2</v>
      </c>
      <c r="V4">
        <v>6.25E-2</v>
      </c>
      <c r="W4" s="6">
        <v>0.466700000000001</v>
      </c>
      <c r="X4" s="6">
        <f>31*EXP(5.81244 + 0.25773*LN(Table36[[#This Row],[k_LOI]]) +
                   0.32107*LN((1-Table36[[#This Row],[k_LOI]])*Table36[[#This Row],[k_f_fines]]))/1000</f>
        <v>3.4834495534108729</v>
      </c>
      <c r="Y4" s="6">
        <v>1.0425247106465705</v>
      </c>
      <c r="Z4" s="6">
        <v>1.0425294713125026</v>
      </c>
      <c r="AA4" s="6">
        <v>1.0425294713125026</v>
      </c>
      <c r="AB4" s="6">
        <v>1.0425294713125026</v>
      </c>
      <c r="AC4" s="6">
        <f>(((1-Table36[[#This Row],[k_PSR]])*Table36[[#This Row],[k_Ex_max]])/Table36[[#This Row],[k_PSR]])</f>
        <v>2.8806854736708898</v>
      </c>
      <c r="AD4" s="6">
        <f>((1-Table36[[#This Row],[k_PSR]])*Table36[[#This Row],[k_Ex_max]])</f>
        <v>1.1958592083575676</v>
      </c>
      <c r="AE4">
        <f>IF(Table36[[#This Row],[treatment]]="O2",AY$2,AY$3)</f>
        <v>1.0035536233050284E-3</v>
      </c>
      <c r="AF4" s="3">
        <f>(Table36[[#This Row],[k_Ex_max]]*Table36[[#This Row],[k_PSR]])/((Table36[[#This Row],[k_Ex_max]]-Table36[[#This Row],[k_PSR]]*Table36[[#This Row],[k_Ex_max]])*1.04)</f>
        <v>0.68248260790669768</v>
      </c>
      <c r="AG4" s="4">
        <f>IF(Table36[[#This Row],[treatment]]="O2",AX$2*Table36[[#This Row],[k_E_opt3]]^(-AY$2),AX$3*Table36[[#This Row],[k_E_opt3]]^(-AY$3))</f>
        <v>0.10638036238962657</v>
      </c>
      <c r="AH4" s="4">
        <f>(Table36[[#This Row],[k_Ex_max_modeled]]*Table36[[#This Row],[k_PSR]])/((Table36[[#This Row],[k_Ex_max_modeled]]-Table36[[#This Row],[k_PSR]]*Table36[[#This Row],[k_Ex_max_modeled]]))</f>
        <v>0.70978191222296561</v>
      </c>
      <c r="AI4" s="3">
        <f>Table36[[#This Row],[test_SRP_mgl_mean]]-Table36[[#This Row],[DIP_E]]</f>
        <v>-1.6559412400316553E-3</v>
      </c>
      <c r="AJ4" s="3">
        <f>LOG(Table36[[#This Row],[test_SRP_mgl_mean]])-LOG(Table36[[#This Row],[DIP_E_measured_Ex_Max]])</f>
        <v>0.80617509245509522</v>
      </c>
      <c r="AK4" s="3">
        <f>(G4-AH4)</f>
        <v>-2.895524555629958E-2</v>
      </c>
      <c r="AL4" s="3">
        <f>ABS(Table36[[#This Row],[res_measured_Ex_max]])</f>
        <v>0.80617509245509522</v>
      </c>
      <c r="AM4" s="3">
        <f>Table36[[#This Row],[res_measured_Ex_max]]^2</f>
        <v>0.64991827969498128</v>
      </c>
      <c r="AN4">
        <f>Table36[[#This Row],[sqresid]]/((Table36[[#This Row],[DIP_E]]-AVERAGE(Table36[test_SRP_mgl_mean]))^2)</f>
        <v>6.0437921637344783</v>
      </c>
      <c r="AO4" s="3">
        <f>Table36[[#This Row],[sqresid]]/LOG(Table36[[#This Row],[test_SRP_mgl_sd]]+1)</f>
        <v>20.501131908395244</v>
      </c>
      <c r="AP4" cm="1">
        <f t="array" ref="AP4">IF(Table36[[#This Row],[treatment]]="O2",NA,Table36[[#This Row],[test_SRP_mgl_mean]])</f>
        <v>0.68082666666666602</v>
      </c>
      <c r="AQ4" cm="1">
        <f t="array" ref="AQ4">IF(Table36[[#This Row],[treatment]]="O2",NA,Table36[[#This Row],[DIP_E_measured_Ex_Max]])</f>
        <v>0.10638036238962657</v>
      </c>
      <c r="AR4" t="s">
        <v>186</v>
      </c>
      <c r="AS4">
        <f>AS2+AS3</f>
        <v>21.489562854255162</v>
      </c>
      <c r="AT4">
        <f>AT2+AT3</f>
        <v>19.984821108839927</v>
      </c>
      <c r="AU4">
        <f>AU2+AU3</f>
        <v>662.79367960648142</v>
      </c>
      <c r="AV4">
        <f>AV2+AV3</f>
        <v>275.65611345674256</v>
      </c>
      <c r="AX4" s="3">
        <v>0.71744765315761827</v>
      </c>
    </row>
    <row r="5" spans="1:56" hidden="1" x14ac:dyDescent="0.25">
      <c r="A5" t="s">
        <v>35</v>
      </c>
      <c r="B5">
        <v>2</v>
      </c>
      <c r="C5" t="s">
        <v>34</v>
      </c>
      <c r="D5" t="s">
        <v>36</v>
      </c>
      <c r="E5">
        <v>11.8541666666666</v>
      </c>
      <c r="F5">
        <v>3.2477168949771505E-2</v>
      </c>
      <c r="G5">
        <v>0.63131816666666596</v>
      </c>
      <c r="H5">
        <v>0.21465677147895099</v>
      </c>
      <c r="I5">
        <v>20.9</v>
      </c>
      <c r="J5">
        <v>5.0000000000000001E-3</v>
      </c>
      <c r="K5">
        <v>1</v>
      </c>
      <c r="L5">
        <v>0</v>
      </c>
      <c r="M5">
        <v>0</v>
      </c>
      <c r="N5">
        <v>1000</v>
      </c>
      <c r="O5" s="1">
        <v>0.94280383248900601</v>
      </c>
      <c r="P5">
        <v>3.9469455401219197E-2</v>
      </c>
      <c r="Q5">
        <v>3.1123844498527399E-3</v>
      </c>
      <c r="R5">
        <v>2.0446584440150439</v>
      </c>
      <c r="S5">
        <v>0.16366604376609781</v>
      </c>
      <c r="T5">
        <v>0.415130085976957</v>
      </c>
      <c r="U5">
        <v>1.5278796833423701E-2</v>
      </c>
      <c r="V5">
        <v>6.25E-2</v>
      </c>
      <c r="W5">
        <v>0.466700000000001</v>
      </c>
      <c r="X5">
        <f>31*EXP(5.81244 + 0.25773*LN(Table36[[#This Row],[k_LOI]]) +
                   0.32107*LN((1-Table36[[#This Row],[k_LOI]])*Table36[[#This Row],[k_f_fines]]))/1000</f>
        <v>3.4834495534108729</v>
      </c>
      <c r="Y5" s="6">
        <v>1.1242886674066062</v>
      </c>
      <c r="Z5" s="6">
        <v>1.1242857156413322</v>
      </c>
      <c r="AA5" s="6">
        <v>1.1242857156413322</v>
      </c>
      <c r="AB5" s="6">
        <v>1.1242857156413322</v>
      </c>
      <c r="AC5" s="6">
        <f>(((1-Table36[[#This Row],[k_PSR]])*Table36[[#This Row],[k_Ex_max]])/Table36[[#This Row],[k_PSR]])</f>
        <v>2.8806854736708898</v>
      </c>
      <c r="AD5" s="6">
        <f>((1-Table36[[#This Row],[k_PSR]])*Table36[[#This Row],[k_Ex_max]])</f>
        <v>1.1958592083575676</v>
      </c>
      <c r="AE5">
        <f>IF(Table36[[#This Row],[treatment]]="O2",AY$2,AY$3)</f>
        <v>1.0000294868557681E-3</v>
      </c>
      <c r="AF5" s="3">
        <f>(Table36[[#This Row],[k_Ex_max]]*Table36[[#This Row],[k_PSR]])/((Table36[[#This Row],[k_Ex_max]]-Table36[[#This Row],[k_PSR]]*Table36[[#This Row],[k_Ex_max]])*1.04)</f>
        <v>0.68248260790669768</v>
      </c>
      <c r="AG5" s="4">
        <f>IF(Table36[[#This Row],[treatment]]="O2",AX$2*Table36[[#This Row],[k_E_opt3]]^(-AY$2),AX$3*Table36[[#This Row],[k_E_opt3]]^(-AY$3))</f>
        <v>2.9799890263386027E-2</v>
      </c>
      <c r="AH5" s="4">
        <f>(Table36[[#This Row],[k_Ex_max_modeled]]*Table36[[#This Row],[k_PSR]])/((Table36[[#This Row],[k_Ex_max_modeled]]-Table36[[#This Row],[k_PSR]]*Table36[[#This Row],[k_Ex_max_modeled]]))</f>
        <v>0.70978191222296561</v>
      </c>
      <c r="AI5" s="3">
        <f>Table36[[#This Row],[test_SRP_mgl_mean]]-Table36[[#This Row],[DIP_E]]</f>
        <v>-5.1164441240031722E-2</v>
      </c>
      <c r="AJ5" s="3">
        <f>LOG(Table36[[#This Row],[test_SRP_mgl_mean]])-LOG(Table36[[#This Row],[DIP_E_measured_Ex_Max]])</f>
        <v>1.3260336218541311</v>
      </c>
      <c r="AK5" s="3">
        <f>(G5-AH5)</f>
        <v>-7.8463745556299647E-2</v>
      </c>
      <c r="AL5" s="3">
        <f>ABS(Table36[[#This Row],[res_measured_Ex_max]])</f>
        <v>1.3260336218541311</v>
      </c>
      <c r="AM5" s="3">
        <f>Table36[[#This Row],[res_measured_Ex_max]]^2</f>
        <v>1.7583651662875848</v>
      </c>
      <c r="AN5">
        <f>Table36[[#This Row],[sqresid]]/((Table36[[#This Row],[DIP_E]]-AVERAGE(Table36[test_SRP_mgl_mean]))^2)</f>
        <v>16.351584414551496</v>
      </c>
      <c r="AO5" s="3">
        <f>Table36[[#This Row],[sqresid]]/LOG(Table36[[#This Row],[test_SRP_mgl_sd]]+1)</f>
        <v>20.820494021317202</v>
      </c>
      <c r="AP5" t="e" cm="1">
        <f t="array" ref="AP5">IF(Table36[[#This Row],[treatment]]="O2",NA,Table36[[#This Row],[test_SRP_mgl_mean]])</f>
        <v>#NAME?</v>
      </c>
      <c r="AQ5" t="e" cm="1">
        <f t="array" ref="AQ5">IF(Table36[[#This Row],[treatment]]="O2",NA,Table36[[#This Row],[DIP_E_measured_Ex_Max]])</f>
        <v>#NAME?</v>
      </c>
      <c r="AS5">
        <v>1.04252953886531</v>
      </c>
      <c r="AT5" s="3"/>
      <c r="AU5" s="3">
        <v>4.3009576462951502</v>
      </c>
      <c r="AV5" s="3">
        <v>1.715680333344936</v>
      </c>
      <c r="AX5" s="3">
        <v>0.56000000000000005</v>
      </c>
    </row>
    <row r="6" spans="1:56" x14ac:dyDescent="0.25">
      <c r="A6" t="s">
        <v>35</v>
      </c>
      <c r="B6" t="s">
        <v>28</v>
      </c>
      <c r="C6" t="s">
        <v>29</v>
      </c>
      <c r="D6" t="s">
        <v>38</v>
      </c>
      <c r="E6">
        <v>11.283333333333299</v>
      </c>
      <c r="F6">
        <v>3.0913242009132327E-2</v>
      </c>
      <c r="G6">
        <v>8.0335199999999996E-2</v>
      </c>
      <c r="H6">
        <v>2.68992356712974E-2</v>
      </c>
      <c r="I6">
        <v>20.22</v>
      </c>
      <c r="J6">
        <v>5.0000000000000001E-3</v>
      </c>
      <c r="K6">
        <v>1</v>
      </c>
      <c r="L6">
        <v>0</v>
      </c>
      <c r="M6">
        <v>0</v>
      </c>
      <c r="N6">
        <v>1000</v>
      </c>
      <c r="O6" s="1">
        <v>1.06654954186666</v>
      </c>
      <c r="P6">
        <v>5.0274943009140899E-2</v>
      </c>
      <c r="Q6">
        <v>2.1915324089828601E-3</v>
      </c>
      <c r="R6">
        <v>3.0658020765800393</v>
      </c>
      <c r="S6">
        <v>6.0449120131976383E-2</v>
      </c>
      <c r="T6">
        <v>0.125760600638884</v>
      </c>
      <c r="U6">
        <v>9.2392153057842697E-3</v>
      </c>
      <c r="V6">
        <v>6.7000000000000004E-2</v>
      </c>
      <c r="W6" s="6">
        <v>0.69066666666666698</v>
      </c>
      <c r="X6" s="6">
        <f>31*EXP(5.81244 + 0.25773*LN(Table36[[#This Row],[k_LOI]]) +
                   0.32107*LN((1-Table36[[#This Row],[k_LOI]])*Table36[[#This Row],[k_f_fines]]))/1000</f>
        <v>4.1896037482086852</v>
      </c>
      <c r="Y6" s="6">
        <v>1.7907134661293249</v>
      </c>
      <c r="Z6" s="6">
        <v>1.7906380938304771</v>
      </c>
      <c r="AA6" s="6">
        <v>1.7906380938304771</v>
      </c>
      <c r="AB6" s="6">
        <v>1.7906380938304771</v>
      </c>
      <c r="AC6" s="6">
        <f>(((1-Table36[[#This Row],[k_PSR]])*Table36[[#This Row],[k_Ex_max]])/Table36[[#This Row],[k_PSR]])</f>
        <v>21.312278665761152</v>
      </c>
      <c r="AD6" s="6">
        <f>((1-Table36[[#This Row],[k_PSR]])*Table36[[#This Row],[k_Ex_max]])</f>
        <v>2.6802449659893957</v>
      </c>
      <c r="AE6">
        <f>IF(Table36[[#This Row],[treatment]]="O2",AY$2,AY$3)</f>
        <v>1.0035536233050284E-3</v>
      </c>
      <c r="AF6" s="3">
        <f>(Table36[[#This Row],[k_Ex_max]]*Table36[[#This Row],[k_PSR]])/((Table36[[#This Row],[k_Ex_max]]-Table36[[#This Row],[k_PSR]]*Table36[[#This Row],[k_Ex_max]])*1.04)</f>
        <v>0.13831869685675913</v>
      </c>
      <c r="AG6" s="4">
        <f>IF(Table36[[#This Row],[treatment]]="O2",AX$2*Table36[[#This Row],[k_E_opt3]]^(-AY$2),AX$3*Table36[[#This Row],[k_E_opt3]]^(-AY$3))</f>
        <v>0.10629423862436842</v>
      </c>
      <c r="AH6" s="4">
        <f>(Table36[[#This Row],[k_Ex_max_modeled]]*Table36[[#This Row],[k_PSR]])/((Table36[[#This Row],[k_Ex_max_modeled]]-Table36[[#This Row],[k_PSR]]*Table36[[#This Row],[k_Ex_max_modeled]]))</f>
        <v>0.14385144473102951</v>
      </c>
      <c r="AI6" s="3">
        <f>Table36[[#This Row],[test_SRP_mgl_mean]]-Table36[[#This Row],[DIP_E]]</f>
        <v>-5.7983496856759131E-2</v>
      </c>
      <c r="AJ6" s="3">
        <f>LOG(Table36[[#This Row],[test_SRP_mgl_mean]])-LOG(Table36[[#This Row],[DIP_E_measured_Ex_Max]])</f>
        <v>-0.1216038462411666</v>
      </c>
      <c r="AK6" s="3">
        <f>(G6-AH6)</f>
        <v>-6.3516244731029514E-2</v>
      </c>
      <c r="AL6" s="3">
        <f>ABS(Table36[[#This Row],[res_measured_Ex_max]])</f>
        <v>0.1216038462411666</v>
      </c>
      <c r="AM6" s="3">
        <f>Table36[[#This Row],[res_measured_Ex_max]]^2</f>
        <v>1.4787495420645289E-2</v>
      </c>
      <c r="AN6">
        <f>Table36[[#This Row],[sqresid]]/((Table36[[#This Row],[DIP_E]]-AVERAGE(Table36[test_SRP_mgl_mean]))^2)</f>
        <v>0.3162475717246277</v>
      </c>
      <c r="AO6" s="3">
        <f>Table36[[#This Row],[sqresid]]/LOG(Table36[[#This Row],[test_SRP_mgl_sd]]+1)</f>
        <v>1.2827648082390051</v>
      </c>
      <c r="AP6" cm="1">
        <f t="array" ref="AP6">IF(Table36[[#This Row],[treatment]]="O2",NA,Table36[[#This Row],[test_SRP_mgl_mean]])</f>
        <v>8.0335199999999996E-2</v>
      </c>
      <c r="AQ6" cm="1">
        <f t="array" ref="AQ6">IF(Table36[[#This Row],[treatment]]="O2",NA,Table36[[#This Row],[DIP_E_measured_Ex_Max]])</f>
        <v>0.10629423862436842</v>
      </c>
      <c r="AX6" s="3">
        <v>0.82081114653027276</v>
      </c>
    </row>
    <row r="7" spans="1:56" hidden="1" x14ac:dyDescent="0.25">
      <c r="A7" t="s">
        <v>35</v>
      </c>
      <c r="B7" t="s">
        <v>28</v>
      </c>
      <c r="C7" t="s">
        <v>34</v>
      </c>
      <c r="D7" t="s">
        <v>38</v>
      </c>
      <c r="E7">
        <v>11.3836805555555</v>
      </c>
      <c r="F7">
        <v>3.1188165905631508E-2</v>
      </c>
      <c r="G7">
        <v>1.9155078333333301E-2</v>
      </c>
      <c r="H7">
        <v>1.4987781784873099E-2</v>
      </c>
      <c r="I7">
        <v>20.2</v>
      </c>
      <c r="J7">
        <v>5.0000000000000001E-3</v>
      </c>
      <c r="K7">
        <v>1</v>
      </c>
      <c r="L7">
        <v>0</v>
      </c>
      <c r="M7">
        <v>0</v>
      </c>
      <c r="N7">
        <v>1000</v>
      </c>
      <c r="O7" s="1">
        <v>1.06654954186666</v>
      </c>
      <c r="P7">
        <v>5.0274943009140899E-2</v>
      </c>
      <c r="Q7">
        <v>2.1915324089828601E-3</v>
      </c>
      <c r="R7">
        <v>3.0658020765800393</v>
      </c>
      <c r="S7">
        <v>6.0449120131976383E-2</v>
      </c>
      <c r="T7">
        <v>0.125760600638884</v>
      </c>
      <c r="U7">
        <v>9.2392153057842697E-3</v>
      </c>
      <c r="V7">
        <v>6.7000000000000004E-2</v>
      </c>
      <c r="W7">
        <v>0.69066666666666698</v>
      </c>
      <c r="X7">
        <f>31*EXP(5.81244 + 0.25773*LN(Table36[[#This Row],[k_LOI]]) +
                   0.32107*LN((1-Table36[[#This Row],[k_LOI]])*Table36[[#This Row],[k_f_fines]]))/1000</f>
        <v>4.1896037482086852</v>
      </c>
      <c r="Y7" s="6">
        <v>7.5029425788407202</v>
      </c>
      <c r="Z7" s="6">
        <v>7.5058934559244639</v>
      </c>
      <c r="AA7" s="6">
        <v>7.5058934559244639</v>
      </c>
      <c r="AB7" s="6">
        <v>7.5058934559244639</v>
      </c>
      <c r="AC7" s="6">
        <f>(((1-Table36[[#This Row],[k_PSR]])*Table36[[#This Row],[k_Ex_max]])/Table36[[#This Row],[k_PSR]])</f>
        <v>21.312278665761152</v>
      </c>
      <c r="AD7" s="6">
        <f>((1-Table36[[#This Row],[k_PSR]])*Table36[[#This Row],[k_Ex_max]])</f>
        <v>2.6802449659893957</v>
      </c>
      <c r="AE7">
        <f>IF(Table36[[#This Row],[treatment]]="O2",AY$2,AY$3)</f>
        <v>1.0000294868557681E-3</v>
      </c>
      <c r="AF7" s="3">
        <f>(Table36[[#This Row],[k_Ex_max]]*Table36[[#This Row],[k_PSR]])/((Table36[[#This Row],[k_Ex_max]]-Table36[[#This Row],[k_PSR]]*Table36[[#This Row],[k_Ex_max]])*1.04)</f>
        <v>0.13831869685675913</v>
      </c>
      <c r="AG7" s="4">
        <f>IF(Table36[[#This Row],[treatment]]="O2",AX$2*Table36[[#This Row],[k_E_opt3]]^(-AY$2),AX$3*Table36[[#This Row],[k_E_opt3]]^(-AY$3))</f>
        <v>2.977584945605324E-2</v>
      </c>
      <c r="AH7" s="4">
        <f>(Table36[[#This Row],[k_Ex_max_modeled]]*Table36[[#This Row],[k_PSR]])/((Table36[[#This Row],[k_Ex_max_modeled]]-Table36[[#This Row],[k_PSR]]*Table36[[#This Row],[k_Ex_max_modeled]]))</f>
        <v>0.14385144473102951</v>
      </c>
      <c r="AI7" s="3">
        <f>Table36[[#This Row],[test_SRP_mgl_mean]]-Table36[[#This Row],[DIP_E]]</f>
        <v>-0.11916361852342583</v>
      </c>
      <c r="AJ7" s="3">
        <f>LOG(Table36[[#This Row],[test_SRP_mgl_mean]])-LOG(Table36[[#This Row],[DIP_E_measured_Ex_Max]])</f>
        <v>-0.19158022770023675</v>
      </c>
      <c r="AK7" s="3">
        <f>(G7-AH7)</f>
        <v>-0.12469636639769621</v>
      </c>
      <c r="AL7" s="3">
        <f>ABS(Table36[[#This Row],[res_measured_Ex_max]])</f>
        <v>0.19158022770023675</v>
      </c>
      <c r="AM7" s="3">
        <f>Table36[[#This Row],[res_measured_Ex_max]]^2</f>
        <v>3.6702983645674557E-2</v>
      </c>
      <c r="AN7">
        <f>Table36[[#This Row],[sqresid]]/((Table36[[#This Row],[DIP_E]]-AVERAGE(Table36[test_SRP_mgl_mean]))^2)</f>
        <v>0.78493545545164345</v>
      </c>
      <c r="AO7" s="3">
        <f>Table36[[#This Row],[sqresid]]/LOG(Table36[[#This Row],[test_SRP_mgl_sd]]+1)</f>
        <v>5.6808602996503108</v>
      </c>
      <c r="AP7" t="e" cm="1">
        <f t="array" ref="AP7">IF(Table36[[#This Row],[treatment]]="O2",NA,Table36[[#This Row],[test_SRP_mgl_mean]])</f>
        <v>#NAME?</v>
      </c>
      <c r="AQ7" t="e" cm="1">
        <f t="array" ref="AQ7">IF(Table36[[#This Row],[treatment]]="O2",NA,Table36[[#This Row],[DIP_E_measured_Ex_Max]])</f>
        <v>#NAME?</v>
      </c>
    </row>
    <row r="8" spans="1:56" x14ac:dyDescent="0.25">
      <c r="A8" t="s">
        <v>40</v>
      </c>
      <c r="B8" t="s">
        <v>41</v>
      </c>
      <c r="C8" t="s">
        <v>29</v>
      </c>
      <c r="D8" t="s">
        <v>42</v>
      </c>
      <c r="E8">
        <v>11.3836805555555</v>
      </c>
      <c r="F8">
        <v>3.1188165905631508E-2</v>
      </c>
      <c r="G8">
        <v>1.722637</v>
      </c>
      <c r="H8">
        <v>1.0802566843958801</v>
      </c>
      <c r="I8">
        <v>20.2</v>
      </c>
      <c r="J8">
        <v>5.0000000000000001E-3</v>
      </c>
      <c r="K8">
        <v>1</v>
      </c>
      <c r="L8">
        <v>0</v>
      </c>
      <c r="M8">
        <v>0</v>
      </c>
      <c r="N8">
        <v>1000</v>
      </c>
      <c r="O8" s="1">
        <v>1.01117931301666</v>
      </c>
      <c r="P8">
        <v>0.115279170629385</v>
      </c>
      <c r="Q8">
        <v>7.3641104114416794E-2</v>
      </c>
      <c r="R8">
        <v>3.8318131556514872</v>
      </c>
      <c r="S8">
        <v>0.21016423616389535</v>
      </c>
      <c r="T8">
        <v>0.198006054758634</v>
      </c>
      <c r="U8">
        <v>4.6331363677071004E-3</v>
      </c>
      <c r="V8">
        <v>0.12133333333333302</v>
      </c>
      <c r="W8" s="6">
        <v>0.834666666666667</v>
      </c>
      <c r="X8" s="6">
        <f>31*EXP(5.81244 + 0.25773*LN(Table36[[#This Row],[k_LOI]]) +
                   0.32107*LN((1-Table36[[#This Row],[k_LOI]])*Table36[[#This Row],[k_f_fines]]))/1000</f>
        <v>5.3898743606154849</v>
      </c>
      <c r="Y8" s="6">
        <v>0.14332214922905648</v>
      </c>
      <c r="Z8" s="6">
        <v>0.14332210258665184</v>
      </c>
      <c r="AA8" s="6">
        <v>0.14332210258665184</v>
      </c>
      <c r="AB8" s="6">
        <v>0.14332210258665184</v>
      </c>
      <c r="AC8" s="6">
        <f>(((1-Table36[[#This Row],[k_PSR]])*Table36[[#This Row],[k_Ex_max]])/Table36[[#This Row],[k_PSR]])</f>
        <v>15.520186763353021</v>
      </c>
      <c r="AD8" s="6">
        <f>((1-Table36[[#This Row],[k_PSR]])*Table36[[#This Row],[k_Ex_max]])</f>
        <v>3.0730909501287047</v>
      </c>
      <c r="AE8">
        <f>IF(Table36[[#This Row],[treatment]]="O2",AY$2,AY$3)</f>
        <v>1.0035536233050284E-3</v>
      </c>
      <c r="AF8" s="3">
        <f>(Table36[[#This Row],[k_Ex_max]]*Table36[[#This Row],[k_PSR]])/((Table36[[#This Row],[k_Ex_max]]-Table36[[#This Row],[k_PSR]]*Table36[[#This Row],[k_Ex_max]])*1.04)</f>
        <v>0.23739635242585017</v>
      </c>
      <c r="AG8" s="4">
        <f>IF(Table36[[#This Row],[treatment]]="O2",AX$2*Table36[[#This Row],[k_E_opt3]]^(-AY$2),AX$3*Table36[[#This Row],[k_E_opt3]]^(-AY$3))</f>
        <v>0.10627964949426197</v>
      </c>
      <c r="AH8" s="4">
        <f>(Table36[[#This Row],[k_Ex_max_modeled]]*Table36[[#This Row],[k_PSR]])/((Table36[[#This Row],[k_Ex_max_modeled]]-Table36[[#This Row],[k_PSR]]*Table36[[#This Row],[k_Ex_max_modeled]]))</f>
        <v>0.24689220652288418</v>
      </c>
      <c r="AI8" s="3">
        <f>Table36[[#This Row],[test_SRP_mgl_mean]]-Table36[[#This Row],[DIP_E]]</f>
        <v>1.4852406475741498</v>
      </c>
      <c r="AJ8" s="3">
        <f>LOG(Table36[[#This Row],[test_SRP_mgl_mean]])-LOG(Table36[[#This Row],[DIP_E_measured_Ex_Max]])</f>
        <v>1.2097436576044001</v>
      </c>
      <c r="AK8" s="3">
        <f>(G8-AH8)</f>
        <v>1.4757447934771157</v>
      </c>
      <c r="AL8" s="3">
        <f>ABS(Table36[[#This Row],[res_measured_Ex_max]])</f>
        <v>1.2097436576044001</v>
      </c>
      <c r="AM8" s="3">
        <f>Table36[[#This Row],[res_measured_Ex_max]]^2</f>
        <v>1.4634797171140719</v>
      </c>
      <c r="AN8">
        <f>Table36[[#This Row],[sqresid]]/((Table36[[#This Row],[DIP_E]]-AVERAGE(Table36[test_SRP_mgl_mean]))^2)</f>
        <v>106.6152103371804</v>
      </c>
      <c r="AO8" s="3">
        <f>Table36[[#This Row],[sqresid]]/LOG(Table36[[#This Row],[test_SRP_mgl_sd]]+1)</f>
        <v>4.6004459261954755</v>
      </c>
      <c r="AP8" cm="1">
        <f t="array" ref="AP8">IF(Table36[[#This Row],[treatment]]="O2",NA,Table36[[#This Row],[test_SRP_mgl_mean]])</f>
        <v>1.722637</v>
      </c>
      <c r="AQ8" cm="1">
        <f t="array" ref="AQ8">IF(Table36[[#This Row],[treatment]]="O2",NA,Table36[[#This Row],[DIP_E_measured_Ex_Max]])</f>
        <v>0.10627964949426197</v>
      </c>
    </row>
    <row r="9" spans="1:56" hidden="1" x14ac:dyDescent="0.25">
      <c r="A9" t="s">
        <v>40</v>
      </c>
      <c r="B9" t="s">
        <v>41</v>
      </c>
      <c r="C9" t="s">
        <v>34</v>
      </c>
      <c r="D9" t="s">
        <v>42</v>
      </c>
      <c r="E9">
        <v>11.3836805555555</v>
      </c>
      <c r="F9">
        <v>3.1188165905631508E-2</v>
      </c>
      <c r="G9">
        <v>0.90562933333333295</v>
      </c>
      <c r="H9">
        <v>1.13782156228042</v>
      </c>
      <c r="I9">
        <v>20.2</v>
      </c>
      <c r="J9">
        <v>5.0000000000000001E-3</v>
      </c>
      <c r="K9">
        <v>1</v>
      </c>
      <c r="L9">
        <v>0</v>
      </c>
      <c r="M9">
        <v>0</v>
      </c>
      <c r="N9">
        <v>1000</v>
      </c>
      <c r="O9" s="1">
        <v>1.01117931301666</v>
      </c>
      <c r="P9">
        <v>0.115279170629385</v>
      </c>
      <c r="Q9">
        <v>7.3641104114416794E-2</v>
      </c>
      <c r="R9">
        <v>3.8318131556514872</v>
      </c>
      <c r="S9">
        <v>0.21016423616389535</v>
      </c>
      <c r="T9">
        <v>0.198006054758634</v>
      </c>
      <c r="U9">
        <v>4.6331363677071004E-3</v>
      </c>
      <c r="V9">
        <v>0.12133333333333302</v>
      </c>
      <c r="W9">
        <v>0.834666666666667</v>
      </c>
      <c r="X9">
        <f>31*EXP(5.81244 + 0.25773*LN(Table36[[#This Row],[k_LOI]]) +
                   0.32107*LN((1-Table36[[#This Row],[k_LOI]])*Table36[[#This Row],[k_f_fines]]))/1000</f>
        <v>5.3898743606154849</v>
      </c>
      <c r="Y9" s="6">
        <v>0.27261999720254765</v>
      </c>
      <c r="Z9" s="6">
        <v>0.27261917291830334</v>
      </c>
      <c r="AA9" s="6">
        <v>0.27261917291830334</v>
      </c>
      <c r="AB9" s="6">
        <v>0.27261917291830334</v>
      </c>
      <c r="AC9" s="6">
        <f>(((1-Table36[[#This Row],[k_PSR]])*Table36[[#This Row],[k_Ex_max]])/Table36[[#This Row],[k_PSR]])</f>
        <v>15.520186763353021</v>
      </c>
      <c r="AD9" s="6">
        <f>((1-Table36[[#This Row],[k_PSR]])*Table36[[#This Row],[k_Ex_max]])</f>
        <v>3.0730909501287047</v>
      </c>
      <c r="AE9">
        <f>IF(Table36[[#This Row],[treatment]]="O2",AY$2,AY$3)</f>
        <v>1.0000294868557681E-3</v>
      </c>
      <c r="AF9" s="3">
        <f>(Table36[[#This Row],[k_Ex_max]]*Table36[[#This Row],[k_PSR]])/((Table36[[#This Row],[k_Ex_max]]-Table36[[#This Row],[k_PSR]]*Table36[[#This Row],[k_Ex_max]])*1.04)</f>
        <v>0.23739635242585017</v>
      </c>
      <c r="AG9" s="4">
        <f>IF(Table36[[#This Row],[treatment]]="O2",AX$2*Table36[[#This Row],[k_E_opt3]]^(-AY$2),AX$3*Table36[[#This Row],[k_E_opt3]]^(-AY$3))</f>
        <v>2.9771777002319318E-2</v>
      </c>
      <c r="AH9" s="4">
        <f>(Table36[[#This Row],[k_Ex_max_modeled]]*Table36[[#This Row],[k_PSR]])/((Table36[[#This Row],[k_Ex_max_modeled]]-Table36[[#This Row],[k_PSR]]*Table36[[#This Row],[k_Ex_max_modeled]]))</f>
        <v>0.24689220652288418</v>
      </c>
      <c r="AI9" s="3">
        <f>Table36[[#This Row],[test_SRP_mgl_mean]]-Table36[[#This Row],[DIP_E]]</f>
        <v>0.66823298090748273</v>
      </c>
      <c r="AJ9" s="3">
        <f>LOG(Table36[[#This Row],[test_SRP_mgl_mean]])-LOG(Table36[[#This Row],[DIP_E_measured_Ex_Max]])</f>
        <v>1.4831457235067105</v>
      </c>
      <c r="AK9" s="3">
        <f>(G9-AH9)</f>
        <v>0.65873712681044871</v>
      </c>
      <c r="AL9" s="3">
        <f>ABS(Table36[[#This Row],[res_measured_Ex_max]])</f>
        <v>1.4831457235067105</v>
      </c>
      <c r="AM9" s="3">
        <f>Table36[[#This Row],[res_measured_Ex_max]]^2</f>
        <v>2.1997212371562438</v>
      </c>
      <c r="AN9">
        <f>Table36[[#This Row],[sqresid]]/((Table36[[#This Row],[DIP_E]]-AVERAGE(Table36[test_SRP_mgl_mean]))^2)</f>
        <v>160.25076373798183</v>
      </c>
      <c r="AO9" s="3">
        <f>Table36[[#This Row],[sqresid]]/LOG(Table36[[#This Row],[test_SRP_mgl_sd]]+1)</f>
        <v>6.6663986127601929</v>
      </c>
      <c r="AP9" t="e" cm="1">
        <f t="array" ref="AP9">IF(Table36[[#This Row],[treatment]]="O2",NA,Table36[[#This Row],[test_SRP_mgl_mean]])</f>
        <v>#NAME?</v>
      </c>
      <c r="AQ9" t="e" cm="1">
        <f t="array" ref="AQ9">IF(Table36[[#This Row],[treatment]]="O2",NA,Table36[[#This Row],[DIP_E_measured_Ex_Max]])</f>
        <v>#NAME?</v>
      </c>
    </row>
    <row r="10" spans="1:56" x14ac:dyDescent="0.25">
      <c r="A10" t="s">
        <v>40</v>
      </c>
      <c r="B10" t="s">
        <v>28</v>
      </c>
      <c r="C10" t="s">
        <v>29</v>
      </c>
      <c r="D10" t="s">
        <v>43</v>
      </c>
      <c r="E10">
        <v>11.3836805555555</v>
      </c>
      <c r="F10">
        <v>3.1188165905631508E-2</v>
      </c>
      <c r="G10">
        <v>0.1351415</v>
      </c>
      <c r="H10">
        <v>2.9258756014225801E-2</v>
      </c>
      <c r="I10">
        <v>20.2</v>
      </c>
      <c r="J10">
        <v>5.0000000000000001E-3</v>
      </c>
      <c r="K10">
        <v>1</v>
      </c>
      <c r="L10">
        <v>0</v>
      </c>
      <c r="M10">
        <v>0</v>
      </c>
      <c r="N10">
        <v>1000</v>
      </c>
      <c r="O10" s="1">
        <v>0.60723742811666603</v>
      </c>
      <c r="P10">
        <v>0.18823554143329599</v>
      </c>
      <c r="Q10">
        <v>7.8811604736588308E-3</v>
      </c>
      <c r="R10">
        <v>7.7995226394342181</v>
      </c>
      <c r="S10">
        <v>0.80190733165399852</v>
      </c>
      <c r="T10">
        <v>9.1267375877981199E-2</v>
      </c>
      <c r="U10">
        <v>3.2703235505608399E-3</v>
      </c>
      <c r="V10">
        <v>0.391666666666666</v>
      </c>
      <c r="W10" s="6">
        <v>0.98433333333333339</v>
      </c>
      <c r="X10" s="6">
        <f>31*EXP(5.81244 + 0.25773*LN(Table36[[#This Row],[k_LOI]]) +
                   0.32107*LN((1-Table36[[#This Row],[k_LOI]])*Table36[[#This Row],[k_f_fines]]))/1000</f>
        <v>6.2727795783387483</v>
      </c>
      <c r="Y10" s="6">
        <v>0.74317191825136741</v>
      </c>
      <c r="Z10" s="6">
        <v>0.74317147687218887</v>
      </c>
      <c r="AA10" s="6">
        <v>0.74317147687218887</v>
      </c>
      <c r="AB10" s="6">
        <v>0.74317147687218887</v>
      </c>
      <c r="AC10" s="6">
        <f>(((1-Table36[[#This Row],[k_PSR]])*Table36[[#This Row],[k_Ex_max]])/Table36[[#This Row],[k_PSR]])</f>
        <v>77.658425114664624</v>
      </c>
      <c r="AD10" s="6">
        <f>((1-Table36[[#This Row],[k_PSR]])*Table36[[#This Row],[k_Ex_max]])</f>
        <v>7.0876806750321517</v>
      </c>
      <c r="AE10">
        <f>IF(Table36[[#This Row],[treatment]]="O2",AY$2,AY$3)</f>
        <v>1.0035536233050284E-3</v>
      </c>
      <c r="AF10" s="3">
        <f>(Table36[[#This Row],[k_Ex_max]]*Table36[[#This Row],[k_PSR]])/((Table36[[#This Row],[k_Ex_max]]-Table36[[#This Row],[k_PSR]]*Table36[[#This Row],[k_Ex_max]])*1.04)</f>
        <v>9.6570861286237999E-2</v>
      </c>
      <c r="AG10" s="4">
        <f>IF(Table36[[#This Row],[treatment]]="O2",AX$2*Table36[[#This Row],[k_E_opt3]]^(-AY$2),AX$3*Table36[[#This Row],[k_E_opt3]]^(-AY$3))</f>
        <v>0.10619055607292081</v>
      </c>
      <c r="AH10" s="4">
        <f>(Table36[[#This Row],[k_Ex_max_modeled]]*Table36[[#This Row],[k_PSR]])/((Table36[[#This Row],[k_Ex_max_modeled]]-Table36[[#This Row],[k_PSR]]*Table36[[#This Row],[k_Ex_max_modeled]]))</f>
        <v>0.10043369573768751</v>
      </c>
      <c r="AI10" s="3">
        <f>Table36[[#This Row],[test_SRP_mgl_mean]]-Table36[[#This Row],[DIP_E]]</f>
        <v>3.8570638713761998E-2</v>
      </c>
      <c r="AJ10" s="3">
        <f>LOG(Table36[[#This Row],[test_SRP_mgl_mean]])-LOG(Table36[[#This Row],[DIP_E_measured_Ex_Max]])</f>
        <v>0.10470284004257768</v>
      </c>
      <c r="AK10" s="3">
        <f>(G10-AH10)</f>
        <v>3.4707804262312486E-2</v>
      </c>
      <c r="AL10" s="3">
        <f>ABS(Table36[[#This Row],[res_measured_Ex_max]])</f>
        <v>0.10470284004257768</v>
      </c>
      <c r="AM10" s="3">
        <f>Table36[[#This Row],[res_measured_Ex_max]]^2</f>
        <v>1.0962684712981608E-2</v>
      </c>
      <c r="AN10">
        <f>Table36[[#This Row],[sqresid]]/((Table36[[#This Row],[DIP_E]]-AVERAGE(Table36[test_SRP_mgl_mean]))^2)</f>
        <v>0.16471090623808321</v>
      </c>
      <c r="AO10" s="3">
        <f>Table36[[#This Row],[sqresid]]/LOG(Table36[[#This Row],[test_SRP_mgl_sd]]+1)</f>
        <v>0.87529427936013304</v>
      </c>
      <c r="AP10" cm="1">
        <f t="array" ref="AP10">IF(Table36[[#This Row],[treatment]]="O2",NA,Table36[[#This Row],[test_SRP_mgl_mean]])</f>
        <v>0.1351415</v>
      </c>
      <c r="AQ10" cm="1">
        <f t="array" ref="AQ10">IF(Table36[[#This Row],[treatment]]="O2",NA,Table36[[#This Row],[DIP_E_measured_Ex_Max]])</f>
        <v>0.10619055607292081</v>
      </c>
      <c r="BA10">
        <v>4.0105000000000004</v>
      </c>
      <c r="BB10" s="3">
        <v>1.2070000000000001</v>
      </c>
      <c r="BC10" t="s">
        <v>34</v>
      </c>
    </row>
    <row r="11" spans="1:56" hidden="1" x14ac:dyDescent="0.25">
      <c r="A11" t="s">
        <v>40</v>
      </c>
      <c r="B11" t="s">
        <v>28</v>
      </c>
      <c r="C11" t="s">
        <v>34</v>
      </c>
      <c r="D11" t="s">
        <v>43</v>
      </c>
      <c r="E11">
        <v>11.3836805555555</v>
      </c>
      <c r="F11">
        <v>3.1188165905631508E-2</v>
      </c>
      <c r="G11">
        <v>2.4296333333333298E-2</v>
      </c>
      <c r="H11">
        <v>5.7247027404631803E-3</v>
      </c>
      <c r="I11">
        <v>20.2</v>
      </c>
      <c r="J11">
        <v>5.0000000000000001E-3</v>
      </c>
      <c r="K11">
        <v>1</v>
      </c>
      <c r="L11">
        <v>0</v>
      </c>
      <c r="M11">
        <v>0</v>
      </c>
      <c r="N11">
        <v>1000</v>
      </c>
      <c r="O11" s="1">
        <v>0.60723742811666603</v>
      </c>
      <c r="P11">
        <v>0.18823554143329599</v>
      </c>
      <c r="Q11">
        <v>7.8811604736588308E-3</v>
      </c>
      <c r="R11">
        <v>7.7995226394342181</v>
      </c>
      <c r="S11">
        <v>0.80190733165399852</v>
      </c>
      <c r="T11">
        <v>9.1267375877981199E-2</v>
      </c>
      <c r="U11">
        <v>3.2703235505608399E-3</v>
      </c>
      <c r="V11">
        <v>0.391666666666666</v>
      </c>
      <c r="W11">
        <v>0.98433333333333339</v>
      </c>
      <c r="X11">
        <f>31*EXP(5.81244 + 0.25773*LN(Table36[[#This Row],[k_LOI]]) +
                   0.32107*LN((1-Table36[[#This Row],[k_LOI]])*Table36[[#This Row],[k_f_fines]]))/1000</f>
        <v>6.2727795783387483</v>
      </c>
      <c r="Y11" s="6">
        <v>4.133743227698953</v>
      </c>
      <c r="Z11" s="6">
        <v>4.133710770037732</v>
      </c>
      <c r="AA11" s="6">
        <v>4.133710770037732</v>
      </c>
      <c r="AB11" s="6">
        <v>4.133710770037732</v>
      </c>
      <c r="AC11" s="6">
        <f>(((1-Table36[[#This Row],[k_PSR]])*Table36[[#This Row],[k_Ex_max]])/Table36[[#This Row],[k_PSR]])</f>
        <v>77.658425114664624</v>
      </c>
      <c r="AD11" s="6">
        <f>((1-Table36[[#This Row],[k_PSR]])*Table36[[#This Row],[k_Ex_max]])</f>
        <v>7.0876806750321517</v>
      </c>
      <c r="AE11">
        <f>IF(Table36[[#This Row],[treatment]]="O2",AY$2,AY$3)</f>
        <v>1.0000294868557681E-3</v>
      </c>
      <c r="AF11" s="3">
        <f>(Table36[[#This Row],[k_Ex_max]]*Table36[[#This Row],[k_PSR]])/((Table36[[#This Row],[k_Ex_max]]-Table36[[#This Row],[k_PSR]]*Table36[[#This Row],[k_Ex_max]])*1.04)</f>
        <v>9.6570861286237999E-2</v>
      </c>
      <c r="AG11" s="4">
        <f>IF(Table36[[#This Row],[treatment]]="O2",AX$2*Table36[[#This Row],[k_E_opt3]]^(-AY$2),AX$3*Table36[[#This Row],[k_E_opt3]]^(-AY$3))</f>
        <v>2.9746907153643982E-2</v>
      </c>
      <c r="AH11" s="4">
        <f>(Table36[[#This Row],[k_Ex_max_modeled]]*Table36[[#This Row],[k_PSR]])/((Table36[[#This Row],[k_Ex_max_modeled]]-Table36[[#This Row],[k_PSR]]*Table36[[#This Row],[k_Ex_max_modeled]]))</f>
        <v>0.10043369573768751</v>
      </c>
      <c r="AI11" s="3">
        <f>Table36[[#This Row],[test_SRP_mgl_mean]]-Table36[[#This Row],[DIP_E]]</f>
        <v>-7.2274527952904705E-2</v>
      </c>
      <c r="AJ11" s="3">
        <f>LOG(Table36[[#This Row],[test_SRP_mgl_mean]])-LOG(Table36[[#This Row],[DIP_E_measured_Ex_Max]])</f>
        <v>-8.7901080681984656E-2</v>
      </c>
      <c r="AK11" s="3">
        <f>(G11-AH11)</f>
        <v>-7.6137362404354217E-2</v>
      </c>
      <c r="AL11" s="3">
        <f>ABS(Table36[[#This Row],[res_measured_Ex_max]])</f>
        <v>8.7901080681984656E-2</v>
      </c>
      <c r="AM11" s="3">
        <f>Table36[[#This Row],[res_measured_Ex_max]]^2</f>
        <v>7.7265999850607758E-3</v>
      </c>
      <c r="AN11">
        <f>Table36[[#This Row],[sqresid]]/((Table36[[#This Row],[DIP_E]]-AVERAGE(Table36[test_SRP_mgl_mean]))^2)</f>
        <v>0.11608974617061539</v>
      </c>
      <c r="AO11" s="3">
        <f>Table36[[#This Row],[sqresid]]/LOG(Table36[[#This Row],[test_SRP_mgl_sd]]+1)</f>
        <v>3.1166736228057808</v>
      </c>
      <c r="AP11" t="e" cm="1">
        <f t="array" ref="AP11">IF(Table36[[#This Row],[treatment]]="O2",NA,Table36[[#This Row],[test_SRP_mgl_mean]])</f>
        <v>#NAME?</v>
      </c>
      <c r="AQ11" t="e" cm="1">
        <f t="array" ref="AQ11">IF(Table36[[#This Row],[treatment]]="O2",NA,Table36[[#This Row],[DIP_E_measured_Ex_Max]])</f>
        <v>#NAME?</v>
      </c>
      <c r="BA11" s="3">
        <v>3.7103000000000002</v>
      </c>
      <c r="BB11">
        <v>0.89800000000000002</v>
      </c>
      <c r="BC11" t="s">
        <v>29</v>
      </c>
    </row>
    <row r="12" spans="1:56" x14ac:dyDescent="0.25">
      <c r="A12" t="s">
        <v>44</v>
      </c>
      <c r="B12">
        <v>1</v>
      </c>
      <c r="C12" t="s">
        <v>29</v>
      </c>
      <c r="D12" t="s">
        <v>45</v>
      </c>
      <c r="E12">
        <v>11.913888888888801</v>
      </c>
      <c r="F12">
        <v>3.2640791476407673E-2</v>
      </c>
      <c r="G12">
        <v>0.192915</v>
      </c>
      <c r="H12">
        <v>0.10164388037161901</v>
      </c>
      <c r="I12">
        <v>21.3</v>
      </c>
      <c r="J12">
        <v>1.03E-2</v>
      </c>
      <c r="K12">
        <v>1</v>
      </c>
      <c r="L12">
        <v>0</v>
      </c>
      <c r="M12">
        <v>0</v>
      </c>
      <c r="N12">
        <v>1000</v>
      </c>
      <c r="O12" s="1">
        <v>0.50599981347054601</v>
      </c>
      <c r="P12">
        <v>0.12844880304923301</v>
      </c>
      <c r="Q12">
        <v>1.9618026828991199E-2</v>
      </c>
      <c r="R12">
        <v>3.2822652829194876</v>
      </c>
      <c r="S12">
        <v>0.17172013270924658</v>
      </c>
      <c r="T12">
        <v>0.21647222375577299</v>
      </c>
      <c r="U12">
        <v>3.5193609984933698E-4</v>
      </c>
      <c r="V12">
        <v>0.1</v>
      </c>
      <c r="W12" s="6">
        <v>0.94694999999999974</v>
      </c>
      <c r="X12" s="6">
        <f>31*EXP(5.81244 + 0.25773*LN(Table36[[#This Row],[k_LOI]]) +
                   0.32107*LN((1-Table36[[#This Row],[k_LOI]])*Table36[[#This Row],[k_f_fines]]))/1000</f>
        <v>5.7437361171107444</v>
      </c>
      <c r="Y12" s="6">
        <v>1.4321343249531604</v>
      </c>
      <c r="Z12" s="6">
        <v>1.4321105565979126</v>
      </c>
      <c r="AA12" s="6">
        <v>1.4321105565979126</v>
      </c>
      <c r="AB12" s="6">
        <v>1.4321105565979126</v>
      </c>
      <c r="AC12" s="6">
        <f>(((1-Table36[[#This Row],[k_PSR]])*Table36[[#This Row],[k_Ex_max]])/Table36[[#This Row],[k_PSR]])</f>
        <v>11.880258693471061</v>
      </c>
      <c r="AD12" s="6">
        <f>((1-Table36[[#This Row],[k_PSR]])*Table36[[#This Row],[k_Ex_max]])</f>
        <v>2.5717460181695349</v>
      </c>
      <c r="AE12">
        <f>IF(Table36[[#This Row],[treatment]]="O2",AY$2,AY$3)</f>
        <v>1.0035536233050284E-3</v>
      </c>
      <c r="AF12" s="3">
        <f>(Table36[[#This Row],[k_Ex_max]]*Table36[[#This Row],[k_PSR]])/((Table36[[#This Row],[k_Ex_max]]-Table36[[#This Row],[k_PSR]]*Table36[[#This Row],[k_Ex_max]])*1.04)</f>
        <v>0.26565282725989275</v>
      </c>
      <c r="AG12" s="4">
        <f>IF(Table36[[#This Row],[treatment]]="O2",AX$2*Table36[[#This Row],[k_E_opt3]]^(-AY$2),AX$3*Table36[[#This Row],[k_E_opt3]]^(-AY$3))</f>
        <v>0.10629864673675271</v>
      </c>
      <c r="AH12" s="4">
        <f>(Table36[[#This Row],[k_Ex_max_modeled]]*Table36[[#This Row],[k_PSR]])/((Table36[[#This Row],[k_Ex_max_modeled]]-Table36[[#This Row],[k_PSR]]*Table36[[#This Row],[k_Ex_max_modeled]]))</f>
        <v>0.27627894035028849</v>
      </c>
      <c r="AI12" s="3">
        <f>Table36[[#This Row],[test_SRP_mgl_mean]]-Table36[[#This Row],[DIP_E]]</f>
        <v>-7.2737827259892751E-2</v>
      </c>
      <c r="AJ12" s="3">
        <f>LOG(Table36[[#This Row],[test_SRP_mgl_mean]])-LOG(Table36[[#This Row],[DIP_E_measured_Ex_Max]])</f>
        <v>0.25883826162911305</v>
      </c>
      <c r="AK12" s="3">
        <f>(G12-AH12)</f>
        <v>-8.336394035028849E-2</v>
      </c>
      <c r="AL12" s="3">
        <f>ABS(Table36[[#This Row],[res_measured_Ex_max]])</f>
        <v>0.25883826162911305</v>
      </c>
      <c r="AM12" s="3">
        <f>Table36[[#This Row],[res_measured_Ex_max]]^2</f>
        <v>6.6997245683181175E-2</v>
      </c>
      <c r="AN12">
        <f>Table36[[#This Row],[sqresid]]/((Table36[[#This Row],[DIP_E]]-AVERAGE(Table36[test_SRP_mgl_mean]))^2)</f>
        <v>8.4763205148311993</v>
      </c>
      <c r="AO12" s="3">
        <f>Table36[[#This Row],[sqresid]]/LOG(Table36[[#This Row],[test_SRP_mgl_sd]]+1)</f>
        <v>1.5936082649213938</v>
      </c>
      <c r="AP12" cm="1">
        <f t="array" ref="AP12">IF(Table36[[#This Row],[treatment]]="O2",NA,Table36[[#This Row],[test_SRP_mgl_mean]])</f>
        <v>0.192915</v>
      </c>
      <c r="AQ12" cm="1">
        <f t="array" ref="AQ12">IF(Table36[[#This Row],[treatment]]="O2",NA,Table36[[#This Row],[DIP_E_measured_Ex_Max]])</f>
        <v>0.10629864673675271</v>
      </c>
      <c r="BA12">
        <v>3.3053336715035879</v>
      </c>
      <c r="BB12" s="3">
        <v>0.86928395520818791</v>
      </c>
      <c r="BC12" t="s">
        <v>34</v>
      </c>
      <c r="BD12" t="s">
        <v>214</v>
      </c>
    </row>
    <row r="13" spans="1:56" hidden="1" x14ac:dyDescent="0.25">
      <c r="A13" t="s">
        <v>44</v>
      </c>
      <c r="B13">
        <v>1</v>
      </c>
      <c r="C13" t="s">
        <v>34</v>
      </c>
      <c r="D13" t="s">
        <v>45</v>
      </c>
      <c r="E13">
        <v>11.9013888888888</v>
      </c>
      <c r="F13">
        <v>3.2606544901065203E-2</v>
      </c>
      <c r="G13">
        <v>3.4684554999999999E-2</v>
      </c>
      <c r="H13">
        <v>1.0692410954694601E-2</v>
      </c>
      <c r="I13">
        <v>21.5</v>
      </c>
      <c r="J13">
        <v>1.03E-2</v>
      </c>
      <c r="K13">
        <v>1</v>
      </c>
      <c r="L13">
        <v>0</v>
      </c>
      <c r="M13">
        <v>0</v>
      </c>
      <c r="N13">
        <v>1000</v>
      </c>
      <c r="O13" s="1">
        <v>0.50599981347054601</v>
      </c>
      <c r="P13">
        <v>0.12844880304923301</v>
      </c>
      <c r="Q13">
        <v>1.9618026828991199E-2</v>
      </c>
      <c r="R13">
        <v>3.2822652829194876</v>
      </c>
      <c r="S13">
        <v>0.17172013270924658</v>
      </c>
      <c r="T13">
        <v>0.21647222375577299</v>
      </c>
      <c r="U13">
        <v>3.5193609984933698E-4</v>
      </c>
      <c r="V13">
        <v>0.1</v>
      </c>
      <c r="W13">
        <v>0.94694999999999974</v>
      </c>
      <c r="X13">
        <f>31*EXP(5.81244 + 0.25773*LN(Table36[[#This Row],[k_LOI]]) +
                   0.32107*LN((1-Table36[[#This Row],[k_LOI]])*Table36[[#This Row],[k_f_fines]]))/1000</f>
        <v>5.7437361171107444</v>
      </c>
      <c r="Y13" s="6">
        <v>7.971424594330732</v>
      </c>
      <c r="Z13" s="6">
        <v>7.9646298855884758</v>
      </c>
      <c r="AA13" s="6">
        <v>7.9646298855884758</v>
      </c>
      <c r="AB13" s="6">
        <v>7.9646298855884758</v>
      </c>
      <c r="AC13" s="6">
        <f>(((1-Table36[[#This Row],[k_PSR]])*Table36[[#This Row],[k_Ex_max]])/Table36[[#This Row],[k_PSR]])</f>
        <v>11.880258693471061</v>
      </c>
      <c r="AD13" s="6">
        <f>((1-Table36[[#This Row],[k_PSR]])*Table36[[#This Row],[k_Ex_max]])</f>
        <v>2.5717460181695349</v>
      </c>
      <c r="AE13">
        <f>IF(Table36[[#This Row],[treatment]]="O2",AY$2,AY$3)</f>
        <v>1.0000294868557681E-3</v>
      </c>
      <c r="AF13" s="3">
        <f>(Table36[[#This Row],[k_Ex_max]]*Table36[[#This Row],[k_PSR]])/((Table36[[#This Row],[k_Ex_max]]-Table36[[#This Row],[k_PSR]]*Table36[[#This Row],[k_Ex_max]])*1.04)</f>
        <v>0.26565282725989275</v>
      </c>
      <c r="AG13" s="4">
        <f>IF(Table36[[#This Row],[treatment]]="O2",AX$2*Table36[[#This Row],[k_E_opt3]]^(-AY$2),AX$3*Table36[[#This Row],[k_E_opt3]]^(-AY$3))</f>
        <v>2.9777079949439376E-2</v>
      </c>
      <c r="AH13" s="4">
        <f>(Table36[[#This Row],[k_Ex_max_modeled]]*Table36[[#This Row],[k_PSR]])/((Table36[[#This Row],[k_Ex_max_modeled]]-Table36[[#This Row],[k_PSR]]*Table36[[#This Row],[k_Ex_max_modeled]]))</f>
        <v>0.27627894035028849</v>
      </c>
      <c r="AI13" s="3">
        <f>Table36[[#This Row],[test_SRP_mgl_mean]]-Table36[[#This Row],[DIP_E]]</f>
        <v>-0.23096827225989275</v>
      </c>
      <c r="AJ13" s="3">
        <f>LOG(Table36[[#This Row],[test_SRP_mgl_mean]])-LOG(Table36[[#This Row],[DIP_E_measured_Ex_Max]])</f>
        <v>6.625401992714508E-2</v>
      </c>
      <c r="AK13" s="3">
        <f>(G13-AH13)</f>
        <v>-0.24159438535028849</v>
      </c>
      <c r="AL13" s="3">
        <f>ABS(Table36[[#This Row],[res_measured_Ex_max]])</f>
        <v>6.625401992714508E-2</v>
      </c>
      <c r="AM13" s="3">
        <f>Table36[[#This Row],[res_measured_Ex_max]]^2</f>
        <v>4.3895951565065374E-3</v>
      </c>
      <c r="AN13">
        <f>Table36[[#This Row],[sqresid]]/((Table36[[#This Row],[DIP_E]]-AVERAGE(Table36[test_SRP_mgl_mean]))^2)</f>
        <v>0.55536037485553746</v>
      </c>
      <c r="AO13" s="3">
        <f>Table36[[#This Row],[sqresid]]/LOG(Table36[[#This Row],[test_SRP_mgl_sd]]+1)</f>
        <v>0.95033355474295211</v>
      </c>
      <c r="AP13" t="e" cm="1">
        <f t="array" ref="AP13">IF(Table36[[#This Row],[treatment]]="O2",NA,Table36[[#This Row],[test_SRP_mgl_mean]])</f>
        <v>#NAME?</v>
      </c>
      <c r="AQ13" t="e" cm="1">
        <f t="array" ref="AQ13">IF(Table36[[#This Row],[treatment]]="O2",NA,Table36[[#This Row],[DIP_E_measured_Ex_Max]])</f>
        <v>#NAME?</v>
      </c>
      <c r="BA13" s="3">
        <v>2.4056472908777868</v>
      </c>
      <c r="BB13">
        <v>0.59492725740433472</v>
      </c>
      <c r="BC13" t="s">
        <v>29</v>
      </c>
      <c r="BD13" t="s">
        <v>214</v>
      </c>
    </row>
    <row r="14" spans="1:56" x14ac:dyDescent="0.25">
      <c r="A14" t="s">
        <v>47</v>
      </c>
      <c r="B14">
        <v>0</v>
      </c>
      <c r="C14" t="s">
        <v>29</v>
      </c>
      <c r="D14" t="s">
        <v>48</v>
      </c>
      <c r="E14">
        <v>12.9583333333333</v>
      </c>
      <c r="F14">
        <v>3.5502283105022743E-2</v>
      </c>
      <c r="G14">
        <v>0.29113711111111101</v>
      </c>
      <c r="H14">
        <v>0.120331393515412</v>
      </c>
      <c r="I14">
        <v>18.5</v>
      </c>
      <c r="J14">
        <v>5.0000000000000001E-3</v>
      </c>
      <c r="K14">
        <v>1</v>
      </c>
      <c r="L14">
        <v>0</v>
      </c>
      <c r="M14">
        <v>0</v>
      </c>
      <c r="N14">
        <v>1000</v>
      </c>
      <c r="O14" s="1">
        <v>0.27787873549551001</v>
      </c>
      <c r="P14">
        <v>0.24332643327384401</v>
      </c>
      <c r="Q14">
        <v>3.8927152125169E-2</v>
      </c>
      <c r="R14">
        <v>3.2990540767432579</v>
      </c>
      <c r="S14">
        <v>0.70138782513144349</v>
      </c>
      <c r="T14">
        <v>0.12108195360572201</v>
      </c>
      <c r="U14">
        <v>1.8885537611178201E-3</v>
      </c>
      <c r="V14">
        <v>0.1125</v>
      </c>
      <c r="W14" s="6">
        <v>0.627000000000001</v>
      </c>
      <c r="X14" s="6">
        <f>31*EXP(5.81244 + 0.25773*LN(Table36[[#This Row],[k_LOI]]) +
                   0.32107*LN((1-Table36[[#This Row],[k_LOI]])*Table36[[#This Row],[k_f_fines]]))/1000</f>
        <v>5.6689775820855219</v>
      </c>
      <c r="Y14" s="6">
        <v>0.47320115802487606</v>
      </c>
      <c r="Z14" s="6">
        <v>0.47318719983665941</v>
      </c>
      <c r="AA14" s="6">
        <v>0.47318719983665941</v>
      </c>
      <c r="AB14" s="6">
        <v>0.47318719983665941</v>
      </c>
      <c r="AC14" s="6">
        <f>(((1-Table36[[#This Row],[k_PSR]])*Table36[[#This Row],[k_Ex_max]])/Table36[[#This Row],[k_PSR]])</f>
        <v>23.947401555166476</v>
      </c>
      <c r="AD14" s="6">
        <f>((1-Table36[[#This Row],[k_PSR]])*Table36[[#This Row],[k_Ex_max]])</f>
        <v>2.8995981640802624</v>
      </c>
      <c r="AE14">
        <f>IF(Table36[[#This Row],[treatment]]="O2",AY$2,AY$3)</f>
        <v>1.0035536233050284E-3</v>
      </c>
      <c r="AF14" s="3">
        <f>(Table36[[#This Row],[k_Ex_max]]*Table36[[#This Row],[k_PSR]])/((Table36[[#This Row],[k_Ex_max]]-Table36[[#This Row],[k_PSR]]*Table36[[#This Row],[k_Ex_max]])*1.04)</f>
        <v>0.13246394913353465</v>
      </c>
      <c r="AG14" s="4">
        <f>IF(Table36[[#This Row],[treatment]]="O2",AX$2*Table36[[#This Row],[k_E_opt3]]^(-AY$2),AX$3*Table36[[#This Row],[k_E_opt3]]^(-AY$3))</f>
        <v>0.10628584771530551</v>
      </c>
      <c r="AH14" s="4">
        <f>(Table36[[#This Row],[k_Ex_max_modeled]]*Table36[[#This Row],[k_PSR]])/((Table36[[#This Row],[k_Ex_max_modeled]]-Table36[[#This Row],[k_PSR]]*Table36[[#This Row],[k_Ex_max_modeled]]))</f>
        <v>0.13776250709887608</v>
      </c>
      <c r="AI14" s="3">
        <f>Table36[[#This Row],[test_SRP_mgl_mean]]-Table36[[#This Row],[DIP_E]]</f>
        <v>0.15867316197757636</v>
      </c>
      <c r="AJ14" s="3">
        <f>LOG(Table36[[#This Row],[test_SRP_mgl_mean]])-LOG(Table36[[#This Row],[DIP_E_measured_Ex_Max]])</f>
        <v>0.43762212754303265</v>
      </c>
      <c r="AK14" s="3">
        <f>(G14-AH14)</f>
        <v>0.15337460401223493</v>
      </c>
      <c r="AL14" s="3">
        <f>ABS(Table36[[#This Row],[res_measured_Ex_max]])</f>
        <v>0.43762212754303265</v>
      </c>
      <c r="AM14" s="3">
        <f>Table36[[#This Row],[res_measured_Ex_max]]^2</f>
        <v>0.19151312651529034</v>
      </c>
      <c r="AN14">
        <f>Table36[[#This Row],[sqresid]]/((Table36[[#This Row],[DIP_E]]-AVERAGE(Table36[test_SRP_mgl_mean]))^2)</f>
        <v>3.8826343232765668</v>
      </c>
      <c r="AO14" s="3">
        <f>Table36[[#This Row],[sqresid]]/LOG(Table36[[#This Row],[test_SRP_mgl_sd]]+1)</f>
        <v>3.8809865759410407</v>
      </c>
      <c r="AP14" cm="1">
        <f t="array" ref="AP14">IF(Table36[[#This Row],[treatment]]="O2",NA,Table36[[#This Row],[test_SRP_mgl_mean]])</f>
        <v>0.29113711111111101</v>
      </c>
      <c r="AQ14" cm="1">
        <f t="array" ref="AQ14">IF(Table36[[#This Row],[treatment]]="O2",NA,Table36[[#This Row],[DIP_E_measured_Ex_Max]])</f>
        <v>0.10628584771530551</v>
      </c>
      <c r="BA14">
        <v>1.7637218141062174</v>
      </c>
      <c r="BB14" s="3">
        <v>0.96952816588314206</v>
      </c>
      <c r="BC14" t="s">
        <v>34</v>
      </c>
      <c r="BD14" t="s">
        <v>215</v>
      </c>
    </row>
    <row r="15" spans="1:56" hidden="1" x14ac:dyDescent="0.25">
      <c r="A15" t="s">
        <v>47</v>
      </c>
      <c r="B15">
        <v>0</v>
      </c>
      <c r="C15" t="s">
        <v>34</v>
      </c>
      <c r="D15" t="s">
        <v>48</v>
      </c>
      <c r="E15">
        <v>12.9583333333333</v>
      </c>
      <c r="F15">
        <v>3.5502283105022743E-2</v>
      </c>
      <c r="G15">
        <v>8.2485441111111099E-2</v>
      </c>
      <c r="H15">
        <v>3.8039194813819399E-2</v>
      </c>
      <c r="I15">
        <v>18.5</v>
      </c>
      <c r="J15">
        <v>5.0000000000000001E-3</v>
      </c>
      <c r="K15">
        <v>1</v>
      </c>
      <c r="L15">
        <v>0</v>
      </c>
      <c r="M15">
        <v>0</v>
      </c>
      <c r="N15">
        <v>1000</v>
      </c>
      <c r="O15" s="1">
        <v>0.27787873549551001</v>
      </c>
      <c r="P15">
        <v>0.24332643327384401</v>
      </c>
      <c r="Q15">
        <v>3.8927152125169E-2</v>
      </c>
      <c r="R15">
        <v>3.2990540767432579</v>
      </c>
      <c r="S15">
        <v>0.70138782513144349</v>
      </c>
      <c r="T15">
        <v>0.12108195360572201</v>
      </c>
      <c r="U15">
        <v>1.8885537611178201E-3</v>
      </c>
      <c r="V15">
        <v>0.1125</v>
      </c>
      <c r="W15">
        <v>0.627000000000001</v>
      </c>
      <c r="X15">
        <f>31*EXP(5.81244 + 0.25773*LN(Table36[[#This Row],[k_LOI]]) +
                   0.32107*LN((1-Table36[[#This Row],[k_LOI]])*Table36[[#This Row],[k_f_fines]]))/1000</f>
        <v>5.6689775820855219</v>
      </c>
      <c r="Y15" s="6">
        <v>1.6701711573146134</v>
      </c>
      <c r="Z15" s="6">
        <v>1.6701452084145192</v>
      </c>
      <c r="AA15" s="6">
        <v>1.6701452084145192</v>
      </c>
      <c r="AB15" s="6">
        <v>1.6701452084145192</v>
      </c>
      <c r="AC15" s="6">
        <f>(((1-Table36[[#This Row],[k_PSR]])*Table36[[#This Row],[k_Ex_max]])/Table36[[#This Row],[k_PSR]])</f>
        <v>23.947401555166476</v>
      </c>
      <c r="AD15" s="6">
        <f>((1-Table36[[#This Row],[k_PSR]])*Table36[[#This Row],[k_Ex_max]])</f>
        <v>2.8995981640802624</v>
      </c>
      <c r="AE15">
        <f>IF(Table36[[#This Row],[treatment]]="O2",AY$2,AY$3)</f>
        <v>1.0000294868557681E-3</v>
      </c>
      <c r="AF15" s="3">
        <f>(Table36[[#This Row],[k_Ex_max]]*Table36[[#This Row],[k_PSR]])/((Table36[[#This Row],[k_Ex_max]]-Table36[[#This Row],[k_PSR]]*Table36[[#This Row],[k_Ex_max]])*1.04)</f>
        <v>0.13246394913353465</v>
      </c>
      <c r="AG15" s="4">
        <f>IF(Table36[[#This Row],[treatment]]="O2",AX$2*Table36[[#This Row],[k_E_opt3]]^(-AY$2),AX$3*Table36[[#This Row],[k_E_opt3]]^(-AY$3))</f>
        <v>2.9773507192656049E-2</v>
      </c>
      <c r="AH15" s="4">
        <f>(Table36[[#This Row],[k_Ex_max_modeled]]*Table36[[#This Row],[k_PSR]])/((Table36[[#This Row],[k_Ex_max_modeled]]-Table36[[#This Row],[k_PSR]]*Table36[[#This Row],[k_Ex_max_modeled]]))</f>
        <v>0.13776250709887608</v>
      </c>
      <c r="AI15" s="3">
        <f>Table36[[#This Row],[test_SRP_mgl_mean]]-Table36[[#This Row],[DIP_E]]</f>
        <v>-4.9978508022423554E-2</v>
      </c>
      <c r="AJ15" s="3">
        <f>LOG(Table36[[#This Row],[test_SRP_mgl_mean]])-LOG(Table36[[#This Row],[DIP_E_measured_Ex_Max]])</f>
        <v>0.44254730553499377</v>
      </c>
      <c r="AK15" s="3">
        <f>(G15-AH15)</f>
        <v>-5.5277065987764981E-2</v>
      </c>
      <c r="AL15" s="3">
        <f>ABS(Table36[[#This Row],[res_measured_Ex_max]])</f>
        <v>0.44254730553499377</v>
      </c>
      <c r="AM15" s="3">
        <f>Table36[[#This Row],[res_measured_Ex_max]]^2</f>
        <v>0.19584811763628313</v>
      </c>
      <c r="AN15">
        <f>Table36[[#This Row],[sqresid]]/((Table36[[#This Row],[DIP_E]]-AVERAGE(Table36[test_SRP_mgl_mean]))^2)</f>
        <v>3.9705196062528332</v>
      </c>
      <c r="AO15" s="3">
        <f>Table36[[#This Row],[sqresid]]/LOG(Table36[[#This Row],[test_SRP_mgl_sd]]+1)</f>
        <v>12.079136032685483</v>
      </c>
      <c r="AP15" t="e" cm="1">
        <f t="array" ref="AP15">IF(Table36[[#This Row],[treatment]]="O2",NA,Table36[[#This Row],[test_SRP_mgl_mean]])</f>
        <v>#NAME?</v>
      </c>
      <c r="AQ15" t="e" cm="1">
        <f t="array" ref="AQ15">IF(Table36[[#This Row],[treatment]]="O2",NA,Table36[[#This Row],[DIP_E_measured_Ex_Max]])</f>
        <v>#NAME?</v>
      </c>
      <c r="BA15" s="3">
        <v>1.1623852589954147</v>
      </c>
      <c r="BB15">
        <v>0.50321039701479175</v>
      </c>
      <c r="BC15" t="s">
        <v>29</v>
      </c>
      <c r="BD15" t="s">
        <v>215</v>
      </c>
    </row>
    <row r="16" spans="1:56" x14ac:dyDescent="0.25">
      <c r="A16" t="s">
        <v>47</v>
      </c>
      <c r="B16">
        <v>2</v>
      </c>
      <c r="C16" t="s">
        <v>29</v>
      </c>
      <c r="D16" t="s">
        <v>49</v>
      </c>
      <c r="E16">
        <v>12.7215277777777</v>
      </c>
      <c r="F16">
        <v>3.4853500761034793E-2</v>
      </c>
      <c r="G16">
        <v>0.21734500000000001</v>
      </c>
      <c r="H16">
        <v>8.1940761712349194E-2</v>
      </c>
      <c r="I16">
        <v>21.883333333333301</v>
      </c>
      <c r="J16">
        <v>5.0000000000000001E-3</v>
      </c>
      <c r="K16">
        <v>1</v>
      </c>
      <c r="L16">
        <v>0</v>
      </c>
      <c r="M16">
        <v>0</v>
      </c>
      <c r="N16">
        <v>1000</v>
      </c>
      <c r="O16" s="1">
        <v>0.62061063762368096</v>
      </c>
      <c r="P16">
        <v>0.18933589983291399</v>
      </c>
      <c r="Q16">
        <v>1.49523386325979E-2</v>
      </c>
      <c r="R16">
        <v>4.1544527455095768</v>
      </c>
      <c r="S16">
        <v>0.34397317583787801</v>
      </c>
      <c r="T16">
        <v>8.6802561034888495E-2</v>
      </c>
      <c r="U16">
        <v>5.3704682955372602E-3</v>
      </c>
      <c r="V16">
        <v>0.3125</v>
      </c>
      <c r="W16" s="6">
        <v>0.8327</v>
      </c>
      <c r="X16" s="6">
        <f>31*EXP(5.81244 + 0.25773*LN(Table36[[#This Row],[k_LOI]]) +
                   0.32107*LN((1-Table36[[#This Row],[k_LOI]])*Table36[[#This Row],[k_f_fines]]))/1000</f>
        <v>5.9510882345833513</v>
      </c>
      <c r="Y16" s="6">
        <v>0.43734695641039151</v>
      </c>
      <c r="Z16" s="6">
        <v>0.43734002413974676</v>
      </c>
      <c r="AA16" s="6">
        <v>0.43734002413974676</v>
      </c>
      <c r="AB16" s="6">
        <v>0.43734002413974676</v>
      </c>
      <c r="AC16" s="6">
        <f>(((1-Table36[[#This Row],[k_PSR]])*Table36[[#This Row],[k_Ex_max]])/Table36[[#This Row],[k_PSR]])</f>
        <v>43.706493936003433</v>
      </c>
      <c r="AD16" s="6">
        <f>((1-Table36[[#This Row],[k_PSR]])*Table36[[#This Row],[k_Ex_max]])</f>
        <v>3.7938356075009216</v>
      </c>
      <c r="AE16">
        <f>IF(Table36[[#This Row],[treatment]]="O2",AY$2,AY$3)</f>
        <v>1.0035536233050284E-3</v>
      </c>
      <c r="AF16" s="3">
        <f>(Table36[[#This Row],[k_Ex_max]]*Table36[[#This Row],[k_PSR]])/((Table36[[#This Row],[k_Ex_max]]-Table36[[#This Row],[k_PSR]]*Table36[[#This Row],[k_Ex_max]])*1.04)</f>
        <v>9.1397541685696526E-2</v>
      </c>
      <c r="AG16" s="4">
        <f>IF(Table36[[#This Row],[treatment]]="O2",AX$2*Table36[[#This Row],[k_E_opt3]]^(-AY$2),AX$3*Table36[[#This Row],[k_E_opt3]]^(-AY$3))</f>
        <v>0.10625717984701662</v>
      </c>
      <c r="AH16" s="4">
        <f>(Table36[[#This Row],[k_Ex_max_modeled]]*Table36[[#This Row],[k_PSR]])/((Table36[[#This Row],[k_Ex_max_modeled]]-Table36[[#This Row],[k_PSR]]*Table36[[#This Row],[k_Ex_max_modeled]]))</f>
        <v>9.5053443353124392E-2</v>
      </c>
      <c r="AI16" s="3">
        <f>Table36[[#This Row],[test_SRP_mgl_mean]]-Table36[[#This Row],[DIP_E]]</f>
        <v>0.12594745831430348</v>
      </c>
      <c r="AJ16" s="3">
        <f>LOG(Table36[[#This Row],[test_SRP_mgl_mean]])-LOG(Table36[[#This Row],[DIP_E_measured_Ex_Max]])</f>
        <v>0.31079136854684541</v>
      </c>
      <c r="AK16" s="3">
        <f>(G16-AH16)</f>
        <v>0.12229155664687562</v>
      </c>
      <c r="AL16" s="3">
        <f>ABS(Table36[[#This Row],[res_measured_Ex_max]])</f>
        <v>0.31079136854684541</v>
      </c>
      <c r="AM16" s="3">
        <f>Table36[[#This Row],[res_measured_Ex_max]]^2</f>
        <v>9.6591274763221088E-2</v>
      </c>
      <c r="AN16">
        <f>Table36[[#This Row],[sqresid]]/((Table36[[#This Row],[DIP_E]]-AVERAGE(Table36[test_SRP_mgl_mean]))^2)</f>
        <v>1.3947556957907381</v>
      </c>
      <c r="AO16" s="3">
        <f>Table36[[#This Row],[sqresid]]/LOG(Table36[[#This Row],[test_SRP_mgl_sd]]+1)</f>
        <v>2.8240186769920932</v>
      </c>
      <c r="AP16" cm="1">
        <f t="array" ref="AP16">IF(Table36[[#This Row],[treatment]]="O2",NA,Table36[[#This Row],[test_SRP_mgl_mean]])</f>
        <v>0.21734500000000001</v>
      </c>
      <c r="AQ16" cm="1">
        <f t="array" ref="AQ16">IF(Table36[[#This Row],[treatment]]="O2",NA,Table36[[#This Row],[DIP_E_measured_Ex_Max]])</f>
        <v>0.10625717984701662</v>
      </c>
      <c r="BA16">
        <v>2.0757819176273453</v>
      </c>
      <c r="BB16" s="3">
        <v>1.0236649353736935</v>
      </c>
      <c r="BD16" t="s">
        <v>216</v>
      </c>
    </row>
    <row r="17" spans="1:56" hidden="1" x14ac:dyDescent="0.25">
      <c r="A17" t="s">
        <v>47</v>
      </c>
      <c r="B17">
        <v>2</v>
      </c>
      <c r="C17" t="s">
        <v>34</v>
      </c>
      <c r="D17" t="s">
        <v>49</v>
      </c>
      <c r="E17">
        <v>12.7215277777777</v>
      </c>
      <c r="F17">
        <v>3.4853500761034793E-2</v>
      </c>
      <c r="G17">
        <v>0.13182666666666601</v>
      </c>
      <c r="H17">
        <v>9.8072050792601798E-2</v>
      </c>
      <c r="I17">
        <v>22.033333333333299</v>
      </c>
      <c r="J17">
        <v>5.0000000000000001E-3</v>
      </c>
      <c r="K17">
        <v>1</v>
      </c>
      <c r="L17">
        <v>0</v>
      </c>
      <c r="M17">
        <v>0</v>
      </c>
      <c r="N17">
        <v>1000</v>
      </c>
      <c r="O17" s="1">
        <v>0.62061063762368096</v>
      </c>
      <c r="P17">
        <v>0.18933589983291399</v>
      </c>
      <c r="Q17">
        <v>1.49523386325979E-2</v>
      </c>
      <c r="R17">
        <v>4.1544527455095768</v>
      </c>
      <c r="S17">
        <v>0.34397317583787801</v>
      </c>
      <c r="T17">
        <v>8.6802561034888495E-2</v>
      </c>
      <c r="U17">
        <v>5.3704682955372602E-3</v>
      </c>
      <c r="V17">
        <v>0.3125</v>
      </c>
      <c r="W17">
        <v>0.8327</v>
      </c>
      <c r="X17">
        <f>31*EXP(5.81244 + 0.25773*LN(Table36[[#This Row],[k_LOI]]) +
                   0.32107*LN((1-Table36[[#This Row],[k_LOI]])*Table36[[#This Row],[k_f_fines]]))/1000</f>
        <v>5.9510882345833513</v>
      </c>
      <c r="Y17" s="6">
        <v>0.72104521884900363</v>
      </c>
      <c r="Z17" s="6">
        <v>0.72104399637721572</v>
      </c>
      <c r="AA17" s="6">
        <v>0.72104399637721572</v>
      </c>
      <c r="AB17" s="6">
        <v>0.72104399637721572</v>
      </c>
      <c r="AC17" s="6">
        <f>(((1-Table36[[#This Row],[k_PSR]])*Table36[[#This Row],[k_Ex_max]])/Table36[[#This Row],[k_PSR]])</f>
        <v>43.706493936003433</v>
      </c>
      <c r="AD17" s="6">
        <f>((1-Table36[[#This Row],[k_PSR]])*Table36[[#This Row],[k_Ex_max]])</f>
        <v>3.7938356075009216</v>
      </c>
      <c r="AE17">
        <f>IF(Table36[[#This Row],[treatment]]="O2",AY$2,AY$3)</f>
        <v>1.0000294868557681E-3</v>
      </c>
      <c r="AF17" s="3">
        <f>(Table36[[#This Row],[k_Ex_max]]*Table36[[#This Row],[k_PSR]])/((Table36[[#This Row],[k_Ex_max]]-Table36[[#This Row],[k_PSR]]*Table36[[#This Row],[k_Ex_max]])*1.04)</f>
        <v>9.1397541685696526E-2</v>
      </c>
      <c r="AG17" s="4">
        <f>IF(Table36[[#This Row],[treatment]]="O2",AX$2*Table36[[#This Row],[k_E_opt3]]^(-AY$2),AX$3*Table36[[#This Row],[k_E_opt3]]^(-AY$3))</f>
        <v>2.976550475344758E-2</v>
      </c>
      <c r="AH17" s="4">
        <f>(Table36[[#This Row],[k_Ex_max_modeled]]*Table36[[#This Row],[k_PSR]])/((Table36[[#This Row],[k_Ex_max_modeled]]-Table36[[#This Row],[k_PSR]]*Table36[[#This Row],[k_Ex_max_modeled]]))</f>
        <v>9.5053443353124392E-2</v>
      </c>
      <c r="AI17" s="3">
        <f>Table36[[#This Row],[test_SRP_mgl_mean]]-Table36[[#This Row],[DIP_E]]</f>
        <v>4.0429124980969483E-2</v>
      </c>
      <c r="AJ17" s="3">
        <f>LOG(Table36[[#This Row],[test_SRP_mgl_mean]])-LOG(Table36[[#This Row],[DIP_E_measured_Ex_Max]])</f>
        <v>0.64629001919404205</v>
      </c>
      <c r="AK17" s="3">
        <f>(G17-AH17)</f>
        <v>3.6773223313541617E-2</v>
      </c>
      <c r="AL17" s="3">
        <f>ABS(Table36[[#This Row],[res_measured_Ex_max]])</f>
        <v>0.64629001919404205</v>
      </c>
      <c r="AM17" s="3">
        <f>Table36[[#This Row],[res_measured_Ex_max]]^2</f>
        <v>0.41769078890983524</v>
      </c>
      <c r="AN17">
        <f>Table36[[#This Row],[sqresid]]/((Table36[[#This Row],[DIP_E]]-AVERAGE(Table36[test_SRP_mgl_mean]))^2)</f>
        <v>6.0313585087205652</v>
      </c>
      <c r="AO17" s="3">
        <f>Table36[[#This Row],[sqresid]]/LOG(Table36[[#This Row],[test_SRP_mgl_sd]]+1)</f>
        <v>10.280142217698435</v>
      </c>
      <c r="AP17" t="e" cm="1">
        <f t="array" ref="AP17">IF(Table36[[#This Row],[treatment]]="O2",NA,Table36[[#This Row],[test_SRP_mgl_mean]])</f>
        <v>#NAME?</v>
      </c>
      <c r="AQ17" t="e" cm="1">
        <f t="array" ref="AQ17">IF(Table36[[#This Row],[treatment]]="O2",NA,Table36[[#This Row],[DIP_E_measured_Ex_Max]])</f>
        <v>#NAME?</v>
      </c>
      <c r="BA17" s="3">
        <v>1.3231661705216915</v>
      </c>
      <c r="BB17">
        <v>0.57753407880562602</v>
      </c>
      <c r="BD17" t="s">
        <v>216</v>
      </c>
    </row>
    <row r="18" spans="1:56" x14ac:dyDescent="0.25">
      <c r="A18" t="s">
        <v>47</v>
      </c>
      <c r="B18">
        <v>4</v>
      </c>
      <c r="C18" t="s">
        <v>29</v>
      </c>
      <c r="D18" t="s">
        <v>50</v>
      </c>
      <c r="E18">
        <v>12.9583333333333</v>
      </c>
      <c r="F18">
        <v>3.5502283105022743E-2</v>
      </c>
      <c r="G18">
        <v>0.26560011111111098</v>
      </c>
      <c r="H18">
        <v>9.3647453169379405E-2</v>
      </c>
      <c r="I18">
        <v>18.5</v>
      </c>
      <c r="J18">
        <v>5.0000000000000001E-3</v>
      </c>
      <c r="K18">
        <v>1</v>
      </c>
      <c r="L18">
        <v>0</v>
      </c>
      <c r="M18">
        <v>0</v>
      </c>
      <c r="N18">
        <v>1000</v>
      </c>
      <c r="O18" s="1">
        <v>0.74123789738162404</v>
      </c>
      <c r="P18">
        <v>0.15390817741973201</v>
      </c>
      <c r="Q18">
        <v>1.9617302845701699E-2</v>
      </c>
      <c r="R18">
        <v>3.8975680285658489</v>
      </c>
      <c r="S18">
        <v>0.78988702345664952</v>
      </c>
      <c r="T18">
        <v>7.0812255367552701E-2</v>
      </c>
      <c r="U18">
        <v>6.4440036911691603E-3</v>
      </c>
      <c r="V18">
        <v>0.35</v>
      </c>
      <c r="W18" s="6">
        <v>0.84515000000000096</v>
      </c>
      <c r="X18" s="6">
        <f>31*EXP(5.81244 + 0.25773*LN(Table36[[#This Row],[k_LOI]]) +
                   0.32107*LN((1-Table36[[#This Row],[k_LOI]])*Table36[[#This Row],[k_f_fines]]))/1000</f>
        <v>5.7470084904018295</v>
      </c>
      <c r="Y18" s="6">
        <v>0.2869300473238694</v>
      </c>
      <c r="Z18" s="6">
        <v>0.28692980854031286</v>
      </c>
      <c r="AA18" s="6">
        <v>0.28692980854031286</v>
      </c>
      <c r="AB18" s="6">
        <v>0.28692980854031286</v>
      </c>
      <c r="AC18" s="6">
        <f>(((1-Table36[[#This Row],[k_PSR]])*Table36[[#This Row],[k_Ex_max]])/Table36[[#This Row],[k_PSR]])</f>
        <v>51.143300368231131</v>
      </c>
      <c r="AD18" s="6">
        <f>((1-Table36[[#This Row],[k_PSR]])*Table36[[#This Row],[k_Ex_max]])</f>
        <v>3.621572446014635</v>
      </c>
      <c r="AE18">
        <f>IF(Table36[[#This Row],[treatment]]="O2",AY$2,AY$3)</f>
        <v>1.0035536233050284E-3</v>
      </c>
      <c r="AF18" s="3">
        <f>(Table36[[#This Row],[k_Ex_max]]*Table36[[#This Row],[k_PSR]])/((Table36[[#This Row],[k_Ex_max]]-Table36[[#This Row],[k_PSR]]*Table36[[#This Row],[k_Ex_max]])*1.04)</f>
        <v>7.3277663720283659E-2</v>
      </c>
      <c r="AG18" s="4">
        <f>IF(Table36[[#This Row],[treatment]]="O2",AX$2*Table36[[#This Row],[k_E_opt3]]^(-AY$2),AX$3*Table36[[#This Row],[k_E_opt3]]^(-AY$3))</f>
        <v>0.1062621351988018</v>
      </c>
      <c r="AH18" s="4">
        <f>(Table36[[#This Row],[k_Ex_max_modeled]]*Table36[[#This Row],[k_PSR]])/((Table36[[#This Row],[k_Ex_max_modeled]]-Table36[[#This Row],[k_PSR]]*Table36[[#This Row],[k_Ex_max_modeled]]))</f>
        <v>7.6208770269095019E-2</v>
      </c>
      <c r="AI18" s="3">
        <f>Table36[[#This Row],[test_SRP_mgl_mean]]-Table36[[#This Row],[DIP_E]]</f>
        <v>0.19232244739082732</v>
      </c>
      <c r="AJ18" s="3">
        <f>LOG(Table36[[#This Row],[test_SRP_mgl_mean]])-LOG(Table36[[#This Row],[DIP_E_measured_Ex_Max]])</f>
        <v>0.39784971413699644</v>
      </c>
      <c r="AK18" s="3">
        <f>(G18-AH18)</f>
        <v>0.18939134084201598</v>
      </c>
      <c r="AL18" s="3">
        <f>ABS(Table36[[#This Row],[res_measured_Ex_max]])</f>
        <v>0.39784971413699644</v>
      </c>
      <c r="AM18" s="3">
        <f>Table36[[#This Row],[res_measured_Ex_max]]^2</f>
        <v>0.15828439503888977</v>
      </c>
      <c r="AN18">
        <f>Table36[[#This Row],[sqresid]]/((Table36[[#This Row],[DIP_E]]-AVERAGE(Table36[test_SRP_mgl_mean]))^2)</f>
        <v>2.0006023381003621</v>
      </c>
      <c r="AO18" s="3">
        <f>Table36[[#This Row],[sqresid]]/LOG(Table36[[#This Row],[test_SRP_mgl_sd]]+1)</f>
        <v>4.0713786205163398</v>
      </c>
      <c r="AP18" cm="1">
        <f t="array" ref="AP18">IF(Table36[[#This Row],[treatment]]="O2",NA,Table36[[#This Row],[test_SRP_mgl_mean]])</f>
        <v>0.26560011111111098</v>
      </c>
      <c r="AQ18" cm="1">
        <f t="array" ref="AQ18">IF(Table36[[#This Row],[treatment]]="O2",NA,Table36[[#This Row],[DIP_E_measured_Ex_Max]])</f>
        <v>0.1062621351988018</v>
      </c>
      <c r="BA18">
        <v>4.0102309992725402</v>
      </c>
      <c r="BB18" s="3">
        <v>1.2072834690164667</v>
      </c>
    </row>
    <row r="19" spans="1:56" hidden="1" x14ac:dyDescent="0.25">
      <c r="A19" t="s">
        <v>47</v>
      </c>
      <c r="B19">
        <v>4</v>
      </c>
      <c r="C19" t="s">
        <v>34</v>
      </c>
      <c r="D19" t="s">
        <v>50</v>
      </c>
      <c r="E19">
        <v>12.9583333333333</v>
      </c>
      <c r="F19">
        <v>3.5502283105022743E-2</v>
      </c>
      <c r="G19">
        <v>0.19173777777777701</v>
      </c>
      <c r="H19">
        <v>0.17064035283951501</v>
      </c>
      <c r="I19">
        <v>18.5</v>
      </c>
      <c r="J19">
        <v>5.0000000000000001E-3</v>
      </c>
      <c r="K19">
        <v>1</v>
      </c>
      <c r="L19">
        <v>0</v>
      </c>
      <c r="M19">
        <v>0</v>
      </c>
      <c r="N19">
        <v>1000</v>
      </c>
      <c r="O19" s="1">
        <v>0.74123789738162404</v>
      </c>
      <c r="P19">
        <v>0.15390817741973201</v>
      </c>
      <c r="Q19">
        <v>1.9617302845701699E-2</v>
      </c>
      <c r="R19">
        <v>3.8975680285658489</v>
      </c>
      <c r="S19">
        <v>0.78988702345664952</v>
      </c>
      <c r="T19">
        <v>7.0812255367552701E-2</v>
      </c>
      <c r="U19">
        <v>6.4440036911691603E-3</v>
      </c>
      <c r="V19">
        <v>0.35</v>
      </c>
      <c r="W19">
        <v>0.84515000000000096</v>
      </c>
      <c r="X19">
        <f>31*EXP(5.81244 + 0.25773*LN(Table36[[#This Row],[k_LOI]]) +
                   0.32107*LN((1-Table36[[#This Row],[k_LOI]])*Table36[[#This Row],[k_f_fines]]))/1000</f>
        <v>5.7470084904018295</v>
      </c>
      <c r="Y19" s="6">
        <v>0.39746125114645142</v>
      </c>
      <c r="Z19" s="6">
        <v>0.3974669180765813</v>
      </c>
      <c r="AA19" s="6">
        <v>0.3974669180765813</v>
      </c>
      <c r="AB19" s="6">
        <v>0.3974669180765813</v>
      </c>
      <c r="AC19" s="6">
        <f>(((1-Table36[[#This Row],[k_PSR]])*Table36[[#This Row],[k_Ex_max]])/Table36[[#This Row],[k_PSR]])</f>
        <v>51.143300368231131</v>
      </c>
      <c r="AD19" s="6">
        <f>((1-Table36[[#This Row],[k_PSR]])*Table36[[#This Row],[k_Ex_max]])</f>
        <v>3.621572446014635</v>
      </c>
      <c r="AE19">
        <f>IF(Table36[[#This Row],[treatment]]="O2",AY$2,AY$3)</f>
        <v>1.0000294868557681E-3</v>
      </c>
      <c r="AF19" s="3">
        <f>(Table36[[#This Row],[k_Ex_max]]*Table36[[#This Row],[k_PSR]])/((Table36[[#This Row],[k_Ex_max]]-Table36[[#This Row],[k_PSR]]*Table36[[#This Row],[k_Ex_max]])*1.04)</f>
        <v>7.3277663720283659E-2</v>
      </c>
      <c r="AG19" s="4">
        <f>IF(Table36[[#This Row],[treatment]]="O2",AX$2*Table36[[#This Row],[k_E_opt3]]^(-AY$2),AX$3*Table36[[#This Row],[k_E_opt3]]^(-AY$3))</f>
        <v>2.9766888006522219E-2</v>
      </c>
      <c r="AH19" s="4">
        <f>(Table36[[#This Row],[k_Ex_max_modeled]]*Table36[[#This Row],[k_PSR]])/((Table36[[#This Row],[k_Ex_max_modeled]]-Table36[[#This Row],[k_PSR]]*Table36[[#This Row],[k_Ex_max_modeled]]))</f>
        <v>7.6208770269095019E-2</v>
      </c>
      <c r="AI19" s="3">
        <f>Table36[[#This Row],[test_SRP_mgl_mean]]-Table36[[#This Row],[DIP_E]]</f>
        <v>0.11846011405749335</v>
      </c>
      <c r="AJ19" s="3">
        <f>LOG(Table36[[#This Row],[test_SRP_mgl_mean]])-LOG(Table36[[#This Row],[DIP_E_measured_Ex_Max]])</f>
        <v>0.80897425613700757</v>
      </c>
      <c r="AK19" s="3">
        <f>(G19-AH19)</f>
        <v>0.11552900750868199</v>
      </c>
      <c r="AL19" s="3">
        <f>ABS(Table36[[#This Row],[res_measured_Ex_max]])</f>
        <v>0.80897425613700757</v>
      </c>
      <c r="AM19" s="3">
        <f>Table36[[#This Row],[res_measured_Ex_max]]^2</f>
        <v>0.65443934709242468</v>
      </c>
      <c r="AN19">
        <f>Table36[[#This Row],[sqresid]]/((Table36[[#This Row],[DIP_E]]-AVERAGE(Table36[test_SRP_mgl_mean]))^2)</f>
        <v>8.2716485577513605</v>
      </c>
      <c r="AO19" s="3">
        <f>Table36[[#This Row],[sqresid]]/LOG(Table36[[#This Row],[test_SRP_mgl_sd]]+1)</f>
        <v>9.564541978500575</v>
      </c>
      <c r="AP19" t="e" cm="1">
        <f t="array" ref="AP19">IF(Table36[[#This Row],[treatment]]="O2",NA,Table36[[#This Row],[test_SRP_mgl_mean]])</f>
        <v>#NAME?</v>
      </c>
      <c r="AQ19" t="e" cm="1">
        <f t="array" ref="AQ19">IF(Table36[[#This Row],[treatment]]="O2",NA,Table36[[#This Row],[DIP_E_measured_Ex_Max]])</f>
        <v>#NAME?</v>
      </c>
      <c r="BA19" s="3">
        <v>3.7102641456658279</v>
      </c>
      <c r="BB19">
        <v>0.89847151080022503</v>
      </c>
    </row>
    <row r="20" spans="1:56" x14ac:dyDescent="0.25">
      <c r="A20" t="s">
        <v>51</v>
      </c>
      <c r="B20">
        <v>2</v>
      </c>
      <c r="C20" t="s">
        <v>29</v>
      </c>
      <c r="D20" t="s">
        <v>52</v>
      </c>
      <c r="E20">
        <v>11.8541666666666</v>
      </c>
      <c r="F20">
        <v>3.2477168949771505E-2</v>
      </c>
      <c r="G20">
        <v>5.4716333333333297E-2</v>
      </c>
      <c r="H20">
        <v>1.9346238731770701E-2</v>
      </c>
      <c r="I20">
        <v>20.9</v>
      </c>
      <c r="J20">
        <v>5.0000000000000001E-3</v>
      </c>
      <c r="K20">
        <v>1</v>
      </c>
      <c r="L20">
        <v>0</v>
      </c>
      <c r="M20">
        <v>0</v>
      </c>
      <c r="N20">
        <v>1000</v>
      </c>
      <c r="O20" s="1">
        <v>0.41169198380312799</v>
      </c>
      <c r="P20">
        <v>0.14368950938824801</v>
      </c>
      <c r="Q20">
        <v>1.9235110086295599E-2</v>
      </c>
      <c r="R20">
        <v>4.8764386117153666</v>
      </c>
      <c r="S20">
        <v>2.0455037414314323</v>
      </c>
      <c r="T20">
        <v>0.13769728204517101</v>
      </c>
      <c r="U20">
        <v>2.6392867811864298E-2</v>
      </c>
      <c r="V20">
        <v>0.1875</v>
      </c>
      <c r="W20" s="6">
        <v>0.96204999999999996</v>
      </c>
      <c r="X20" s="6">
        <f>31*EXP(5.81244 + 0.25773*LN(Table36[[#This Row],[k_LOI]]) +
                   0.32107*LN((1-Table36[[#This Row],[k_LOI]])*Table36[[#This Row],[k_f_fines]]))/1000</f>
        <v>5.9086825962620768</v>
      </c>
      <c r="Y20" s="6">
        <v>2.9182462786039194</v>
      </c>
      <c r="Z20" s="6">
        <v>2.9185519097839916</v>
      </c>
      <c r="AA20" s="6">
        <v>2.9185519097839916</v>
      </c>
      <c r="AB20" s="6">
        <v>2.9185519097839916</v>
      </c>
      <c r="AC20" s="6">
        <f>(((1-Table36[[#This Row],[k_PSR]])*Table36[[#This Row],[k_Ex_max]])/Table36[[#This Row],[k_PSR]])</f>
        <v>30.53775794530652</v>
      </c>
      <c r="AD20" s="6">
        <f>((1-Table36[[#This Row],[k_PSR]])*Table36[[#This Row],[k_Ex_max]])</f>
        <v>4.2049662688220337</v>
      </c>
      <c r="AE20">
        <f>IF(Table36[[#This Row],[treatment]]="O2",AY$2,AY$3)</f>
        <v>1.0035536233050284E-3</v>
      </c>
      <c r="AF20" s="3">
        <f>(Table36[[#This Row],[k_Ex_max]]*Table36[[#This Row],[k_PSR]])/((Table36[[#This Row],[k_Ex_max]]-Table36[[#This Row],[k_PSR]]*Table36[[#This Row],[k_Ex_max]])*1.04)</f>
        <v>0.1535437961389762</v>
      </c>
      <c r="AG20" s="4">
        <f>IF(Table36[[#This Row],[treatment]]="O2",AX$2*Table36[[#This Row],[k_E_opt3]]^(-AY$2),AX$3*Table36[[#This Row],[k_E_opt3]]^(-AY$3))</f>
        <v>0.10624620889648172</v>
      </c>
      <c r="AH20" s="4">
        <f>(Table36[[#This Row],[k_Ex_max_modeled]]*Table36[[#This Row],[k_PSR]])/((Table36[[#This Row],[k_Ex_max_modeled]]-Table36[[#This Row],[k_PSR]]*Table36[[#This Row],[k_Ex_max_modeled]]))</f>
        <v>0.15968554798453524</v>
      </c>
      <c r="AI20" s="3">
        <f>Table36[[#This Row],[test_SRP_mgl_mean]]-Table36[[#This Row],[DIP_E]]</f>
        <v>-9.8827462805642904E-2</v>
      </c>
      <c r="AJ20" s="3">
        <f>LOG(Table36[[#This Row],[test_SRP_mgl_mean]])-LOG(Table36[[#This Row],[DIP_E_measured_Ex_Max]])</f>
        <v>-0.28819645577522668</v>
      </c>
      <c r="AK20" s="3">
        <f>(G20-AH20)</f>
        <v>-0.10496921465120194</v>
      </c>
      <c r="AL20" s="3">
        <f>ABS(Table36[[#This Row],[res_measured_Ex_max]])</f>
        <v>0.28819645577522668</v>
      </c>
      <c r="AM20" s="3">
        <f>Table36[[#This Row],[res_measured_Ex_max]]^2</f>
        <v>8.3057197121402193E-2</v>
      </c>
      <c r="AN20">
        <f>Table36[[#This Row],[sqresid]]/((Table36[[#This Row],[DIP_E]]-AVERAGE(Table36[test_SRP_mgl_mean]))^2)</f>
        <v>2.0555391886904917</v>
      </c>
      <c r="AO20" s="3">
        <f>Table36[[#This Row],[sqresid]]/LOG(Table36[[#This Row],[test_SRP_mgl_sd]]+1)</f>
        <v>9.980767148275504</v>
      </c>
      <c r="AP20" cm="1">
        <f t="array" ref="AP20">IF(Table36[[#This Row],[treatment]]="O2",NA,Table36[[#This Row],[test_SRP_mgl_mean]])</f>
        <v>5.4716333333333297E-2</v>
      </c>
      <c r="AQ20" cm="1">
        <f t="array" ref="AQ20">IF(Table36[[#This Row],[treatment]]="O2",NA,Table36[[#This Row],[DIP_E_measured_Ex_Max]])</f>
        <v>0.10624620889648172</v>
      </c>
    </row>
    <row r="21" spans="1:56" hidden="1" x14ac:dyDescent="0.25">
      <c r="A21" t="s">
        <v>51</v>
      </c>
      <c r="B21">
        <v>2</v>
      </c>
      <c r="C21" t="s">
        <v>34</v>
      </c>
      <c r="D21" t="s">
        <v>52</v>
      </c>
      <c r="E21">
        <v>12.0375</v>
      </c>
      <c r="F21">
        <v>3.2979452054794522E-2</v>
      </c>
      <c r="G21">
        <v>3.1295040000000003E-2</v>
      </c>
      <c r="H21">
        <v>1.35637109637444E-2</v>
      </c>
      <c r="I21">
        <v>20.94</v>
      </c>
      <c r="J21">
        <v>5.0000000000000001E-3</v>
      </c>
      <c r="K21">
        <v>1</v>
      </c>
      <c r="L21">
        <v>0</v>
      </c>
      <c r="M21">
        <v>0</v>
      </c>
      <c r="N21">
        <v>1000</v>
      </c>
      <c r="O21" s="1">
        <v>0.41169198380312799</v>
      </c>
      <c r="P21">
        <v>0.14368950938824801</v>
      </c>
      <c r="Q21">
        <v>1.9235110086295599E-2</v>
      </c>
      <c r="R21">
        <v>4.8764386117153666</v>
      </c>
      <c r="S21">
        <v>2.0455037414314323</v>
      </c>
      <c r="T21">
        <v>0.13769728204517101</v>
      </c>
      <c r="U21">
        <v>2.6392867811864298E-2</v>
      </c>
      <c r="V21">
        <v>0.1875</v>
      </c>
      <c r="W21">
        <v>0.96204999999999996</v>
      </c>
      <c r="X21">
        <f>31*EXP(5.81244 + 0.25773*LN(Table36[[#This Row],[k_LOI]]) +
                   0.32107*LN((1-Table36[[#This Row],[k_LOI]])*Table36[[#This Row],[k_f_fines]]))/1000</f>
        <v>5.9086825962620768</v>
      </c>
      <c r="Y21" s="6">
        <v>5.1077965443419027</v>
      </c>
      <c r="Z21" s="6">
        <v>5.1026689982740265</v>
      </c>
      <c r="AA21" s="6">
        <v>5.1026689982740265</v>
      </c>
      <c r="AB21" s="6">
        <v>5.1026689982740265</v>
      </c>
      <c r="AC21" s="6">
        <f>(((1-Table36[[#This Row],[k_PSR]])*Table36[[#This Row],[k_Ex_max]])/Table36[[#This Row],[k_PSR]])</f>
        <v>30.53775794530652</v>
      </c>
      <c r="AD21" s="6">
        <f>((1-Table36[[#This Row],[k_PSR]])*Table36[[#This Row],[k_Ex_max]])</f>
        <v>4.2049662688220337</v>
      </c>
      <c r="AE21">
        <f>IF(Table36[[#This Row],[treatment]]="O2",AY$2,AY$3)</f>
        <v>1.0000294868557681E-3</v>
      </c>
      <c r="AF21" s="3">
        <f>(Table36[[#This Row],[k_Ex_max]]*Table36[[#This Row],[k_PSR]])/((Table36[[#This Row],[k_Ex_max]]-Table36[[#This Row],[k_PSR]]*Table36[[#This Row],[k_Ex_max]])*1.04)</f>
        <v>0.1535437961389762</v>
      </c>
      <c r="AG21" s="4">
        <f>IF(Table36[[#This Row],[treatment]]="O2",AX$2*Table36[[#This Row],[k_E_opt3]]^(-AY$2),AX$3*Table36[[#This Row],[k_E_opt3]]^(-AY$3))</f>
        <v>2.9762442285693351E-2</v>
      </c>
      <c r="AH21" s="4">
        <f>(Table36[[#This Row],[k_Ex_max_modeled]]*Table36[[#This Row],[k_PSR]])/((Table36[[#This Row],[k_Ex_max_modeled]]-Table36[[#This Row],[k_PSR]]*Table36[[#This Row],[k_Ex_max_modeled]]))</f>
        <v>0.15968554798453524</v>
      </c>
      <c r="AI21" s="3">
        <f>Table36[[#This Row],[test_SRP_mgl_mean]]-Table36[[#This Row],[DIP_E]]</f>
        <v>-0.12224875613897621</v>
      </c>
      <c r="AJ21" s="3">
        <f>LOG(Table36[[#This Row],[test_SRP_mgl_mean]])-LOG(Table36[[#This Row],[DIP_E_measured_Ex_Max]])</f>
        <v>2.180694474175815E-2</v>
      </c>
      <c r="AK21" s="3">
        <f>(G21-AH21)</f>
        <v>-0.12839050798453525</v>
      </c>
      <c r="AL21" s="3">
        <f>ABS(Table36[[#This Row],[res_measured_Ex_max]])</f>
        <v>2.180694474175815E-2</v>
      </c>
      <c r="AM21" s="3">
        <f>Table36[[#This Row],[res_measured_Ex_max]]^2</f>
        <v>4.755428389700934E-4</v>
      </c>
      <c r="AN21">
        <f>Table36[[#This Row],[sqresid]]/((Table36[[#This Row],[DIP_E]]-AVERAGE(Table36[test_SRP_mgl_mean]))^2)</f>
        <v>1.1768961333662406E-2</v>
      </c>
      <c r="AO21" s="3">
        <f>Table36[[#This Row],[sqresid]]/LOG(Table36[[#This Row],[test_SRP_mgl_sd]]+1)</f>
        <v>8.1274745691443787E-2</v>
      </c>
      <c r="AP21" t="e" cm="1">
        <f t="array" ref="AP21">IF(Table36[[#This Row],[treatment]]="O2",NA,Table36[[#This Row],[test_SRP_mgl_mean]])</f>
        <v>#NAME?</v>
      </c>
      <c r="AQ21" t="e" cm="1">
        <f t="array" ref="AQ21">IF(Table36[[#This Row],[treatment]]="O2",NA,Table36[[#This Row],[DIP_E_measured_Ex_Max]])</f>
        <v>#NAME?</v>
      </c>
    </row>
    <row r="22" spans="1:56" x14ac:dyDescent="0.25">
      <c r="A22" t="s">
        <v>53</v>
      </c>
      <c r="B22">
        <v>0</v>
      </c>
      <c r="C22" t="s">
        <v>29</v>
      </c>
      <c r="D22" t="s">
        <v>54</v>
      </c>
      <c r="E22">
        <v>12.1197916666666</v>
      </c>
      <c r="F22">
        <v>3.3204908675798908E-2</v>
      </c>
      <c r="G22">
        <v>5.4714833333333303E-2</v>
      </c>
      <c r="H22">
        <v>2.6266694500254401E-2</v>
      </c>
      <c r="I22">
        <v>17.899999999999999</v>
      </c>
      <c r="J22">
        <v>5.0000000000000001E-3</v>
      </c>
      <c r="K22">
        <v>1</v>
      </c>
      <c r="L22">
        <v>0</v>
      </c>
      <c r="M22">
        <v>0</v>
      </c>
      <c r="N22">
        <v>1000</v>
      </c>
      <c r="O22" s="1">
        <v>0.33312301727064703</v>
      </c>
      <c r="P22">
        <v>0.30302184014062</v>
      </c>
      <c r="Q22">
        <v>0.153130290058243</v>
      </c>
      <c r="R22">
        <v>5.1033010153106515</v>
      </c>
      <c r="S22">
        <v>0.25327487557832956</v>
      </c>
      <c r="T22">
        <v>0.12636902230536501</v>
      </c>
      <c r="U22">
        <v>8.7690613348932796E-3</v>
      </c>
      <c r="V22">
        <v>0.15</v>
      </c>
      <c r="W22" s="6">
        <v>0.93550000000000044</v>
      </c>
      <c r="X22" s="6">
        <f>31*EXP(5.81244 + 0.25773*LN(Table36[[#This Row],[k_LOI]]) +
                   0.32107*LN((1-Table36[[#This Row],[k_LOI]])*Table36[[#This Row],[k_f_fines]]))/1000</f>
        <v>6.6435161869668171</v>
      </c>
      <c r="Y22" s="6">
        <v>2.6436853939620928</v>
      </c>
      <c r="Z22" s="6">
        <v>2.6436570684517551</v>
      </c>
      <c r="AA22" s="6">
        <v>2.6436570684517551</v>
      </c>
      <c r="AB22" s="6">
        <v>2.6436570684517551</v>
      </c>
      <c r="AC22" s="6">
        <f>(((1-Table36[[#This Row],[k_PSR]])*Table36[[#This Row],[k_Ex_max]])/Table36[[#This Row],[k_PSR]])</f>
        <v>35.280813083307251</v>
      </c>
      <c r="AD22" s="6">
        <f>((1-Table36[[#This Row],[k_PSR]])*Table36[[#This Row],[k_Ex_max]])</f>
        <v>4.4584018554758673</v>
      </c>
      <c r="AE22">
        <f>IF(Table36[[#This Row],[treatment]]="O2",AY$2,AY$3)</f>
        <v>1.0035536233050284E-3</v>
      </c>
      <c r="AF22" s="3">
        <f>(Table36[[#This Row],[k_Ex_max]]*Table36[[#This Row],[k_PSR]])/((Table36[[#This Row],[k_Ex_max]]-Table36[[#This Row],[k_PSR]]*Table36[[#This Row],[k_Ex_max]])*1.04)</f>
        <v>0.13908466892309737</v>
      </c>
      <c r="AG22" s="4">
        <f>IF(Table36[[#This Row],[treatment]]="O2",AX$2*Table36[[#This Row],[k_E_opt3]]^(-AY$2),AX$3*Table36[[#This Row],[k_E_opt3]]^(-AY$3))</f>
        <v>0.10623996901948357</v>
      </c>
      <c r="AH22" s="4">
        <f>(Table36[[#This Row],[k_Ex_max_modeled]]*Table36[[#This Row],[k_PSR]])/((Table36[[#This Row],[k_Ex_max_modeled]]-Table36[[#This Row],[k_PSR]]*Table36[[#This Row],[k_Ex_max_modeled]]))</f>
        <v>0.14464805568002129</v>
      </c>
      <c r="AI22" s="3">
        <f>Table36[[#This Row],[test_SRP_mgl_mean]]-Table36[[#This Row],[DIP_E]]</f>
        <v>-8.4369835589764075E-2</v>
      </c>
      <c r="AJ22" s="3">
        <f>LOG(Table36[[#This Row],[test_SRP_mgl_mean]])-LOG(Table36[[#This Row],[DIP_E_measured_Ex_Max]])</f>
        <v>-0.28818285472264848</v>
      </c>
      <c r="AK22" s="3">
        <f>(G22-AH22)</f>
        <v>-8.9933222346687991E-2</v>
      </c>
      <c r="AL22" s="3">
        <f>ABS(Table36[[#This Row],[res_measured_Ex_max]])</f>
        <v>0.28818285472264848</v>
      </c>
      <c r="AM22" s="3">
        <f>Table36[[#This Row],[res_measured_Ex_max]]^2</f>
        <v>8.3049357756095121E-2</v>
      </c>
      <c r="AN22">
        <f>Table36[[#This Row],[sqresid]]/((Table36[[#This Row],[DIP_E]]-AVERAGE(Table36[test_SRP_mgl_mean]))^2)</f>
        <v>1.7887558875211147</v>
      </c>
      <c r="AO22" s="3">
        <f>Table36[[#This Row],[sqresid]]/LOG(Table36[[#This Row],[test_SRP_mgl_sd]]+1)</f>
        <v>7.3754551438446958</v>
      </c>
      <c r="AP22" cm="1">
        <f t="array" ref="AP22">IF(Table36[[#This Row],[treatment]]="O2",NA,Table36[[#This Row],[test_SRP_mgl_mean]])</f>
        <v>5.4714833333333303E-2</v>
      </c>
      <c r="AQ22" cm="1">
        <f t="array" ref="AQ22">IF(Table36[[#This Row],[treatment]]="O2",NA,Table36[[#This Row],[DIP_E_measured_Ex_Max]])</f>
        <v>0.10623996901948357</v>
      </c>
    </row>
    <row r="23" spans="1:56" hidden="1" x14ac:dyDescent="0.25">
      <c r="A23" t="s">
        <v>53</v>
      </c>
      <c r="B23">
        <v>0</v>
      </c>
      <c r="C23" t="s">
        <v>34</v>
      </c>
      <c r="D23" t="s">
        <v>54</v>
      </c>
      <c r="E23">
        <v>12.1197916666666</v>
      </c>
      <c r="F23">
        <v>3.3204908675798908E-2</v>
      </c>
      <c r="G23">
        <v>2.6090916666666599E-2</v>
      </c>
      <c r="H23">
        <v>1.2001582633956899E-2</v>
      </c>
      <c r="I23">
        <v>17.899999999999999</v>
      </c>
      <c r="J23">
        <v>5.0000000000000001E-3</v>
      </c>
      <c r="K23">
        <v>1</v>
      </c>
      <c r="L23">
        <v>0</v>
      </c>
      <c r="M23">
        <v>0</v>
      </c>
      <c r="N23">
        <v>1000</v>
      </c>
      <c r="O23" s="1">
        <v>0.33312301727064703</v>
      </c>
      <c r="P23">
        <v>0.30302184014062</v>
      </c>
      <c r="Q23">
        <v>0.153130290058243</v>
      </c>
      <c r="R23">
        <v>5.1033010153106515</v>
      </c>
      <c r="S23">
        <v>0.25327487557832956</v>
      </c>
      <c r="T23">
        <v>0.12636902230536501</v>
      </c>
      <c r="U23">
        <v>8.7690613348932796E-3</v>
      </c>
      <c r="V23">
        <v>0.15</v>
      </c>
      <c r="W23">
        <v>0.93550000000000044</v>
      </c>
      <c r="X23">
        <f>31*EXP(5.81244 + 0.25773*LN(Table36[[#This Row],[k_LOI]]) +
                   0.32107*LN((1-Table36[[#This Row],[k_LOI]])*Table36[[#This Row],[k_f_fines]]))/1000</f>
        <v>6.6435161869668171</v>
      </c>
      <c r="Y23" s="6">
        <v>5.5392186565269297</v>
      </c>
      <c r="Z23" s="6">
        <v>5.5427368644703225</v>
      </c>
      <c r="AA23" s="6">
        <v>5.5427368644703225</v>
      </c>
      <c r="AB23" s="6">
        <v>5.5427368644703225</v>
      </c>
      <c r="AC23" s="6">
        <f>(((1-Table36[[#This Row],[k_PSR]])*Table36[[#This Row],[k_Ex_max]])/Table36[[#This Row],[k_PSR]])</f>
        <v>35.280813083307251</v>
      </c>
      <c r="AD23" s="6">
        <f>((1-Table36[[#This Row],[k_PSR]])*Table36[[#This Row],[k_Ex_max]])</f>
        <v>4.4584018554758673</v>
      </c>
      <c r="AE23">
        <f>IF(Table36[[#This Row],[treatment]]="O2",AY$2,AY$3)</f>
        <v>1.0000294868557681E-3</v>
      </c>
      <c r="AF23" s="3">
        <f>(Table36[[#This Row],[k_Ex_max]]*Table36[[#This Row],[k_PSR]])/((Table36[[#This Row],[k_Ex_max]]-Table36[[#This Row],[k_PSR]]*Table36[[#This Row],[k_Ex_max]])*1.04)</f>
        <v>0.13908466892309737</v>
      </c>
      <c r="AG23" s="4">
        <f>IF(Table36[[#This Row],[treatment]]="O2",AX$2*Table36[[#This Row],[k_E_opt3]]^(-AY$2),AX$3*Table36[[#This Row],[k_E_opt3]]^(-AY$3))</f>
        <v>2.9760700465103474E-2</v>
      </c>
      <c r="AH23" s="4">
        <f>(Table36[[#This Row],[k_Ex_max_modeled]]*Table36[[#This Row],[k_PSR]])/((Table36[[#This Row],[k_Ex_max_modeled]]-Table36[[#This Row],[k_PSR]]*Table36[[#This Row],[k_Ex_max_modeled]]))</f>
        <v>0.14464805568002129</v>
      </c>
      <c r="AI23" s="3">
        <f>Table36[[#This Row],[test_SRP_mgl_mean]]-Table36[[#This Row],[DIP_E]]</f>
        <v>-0.11299375225643077</v>
      </c>
      <c r="AJ23" s="3">
        <f>LOG(Table36[[#This Row],[test_SRP_mgl_mean]])-LOG(Table36[[#This Row],[DIP_E_measured_Ex_Max]])</f>
        <v>-5.7153811123382692E-2</v>
      </c>
      <c r="AK23" s="3">
        <f>(G23-AH23)</f>
        <v>-0.11855713901335468</v>
      </c>
      <c r="AL23" s="3">
        <f>ABS(Table36[[#This Row],[res_measured_Ex_max]])</f>
        <v>5.7153811123382692E-2</v>
      </c>
      <c r="AM23" s="3">
        <f>Table36[[#This Row],[res_measured_Ex_max]]^2</f>
        <v>3.266558125927303E-3</v>
      </c>
      <c r="AN23">
        <f>Table36[[#This Row],[sqresid]]/((Table36[[#This Row],[DIP_E]]-AVERAGE(Table36[test_SRP_mgl_mean]))^2)</f>
        <v>7.03566558195758E-2</v>
      </c>
      <c r="AO23" s="3">
        <f>Table36[[#This Row],[sqresid]]/LOG(Table36[[#This Row],[test_SRP_mgl_sd]]+1)</f>
        <v>0.6304646355952479</v>
      </c>
      <c r="AP23" t="e" cm="1">
        <f t="array" ref="AP23">IF(Table36[[#This Row],[treatment]]="O2",NA,Table36[[#This Row],[test_SRP_mgl_mean]])</f>
        <v>#NAME?</v>
      </c>
      <c r="AQ23" t="e" cm="1">
        <f t="array" ref="AQ23">IF(Table36[[#This Row],[treatment]]="O2",NA,Table36[[#This Row],[DIP_E_measured_Ex_Max]])</f>
        <v>#NAME?</v>
      </c>
    </row>
    <row r="24" spans="1:56" x14ac:dyDescent="0.25">
      <c r="A24" t="s">
        <v>53</v>
      </c>
      <c r="B24">
        <v>2</v>
      </c>
      <c r="C24" t="s">
        <v>29</v>
      </c>
      <c r="D24" t="s">
        <v>56</v>
      </c>
      <c r="E24">
        <v>11.7708333333333</v>
      </c>
      <c r="F24">
        <v>3.2248858447488496E-2</v>
      </c>
      <c r="G24">
        <v>6.5570000000000003E-2</v>
      </c>
      <c r="H24">
        <v>3.1894877958694202E-2</v>
      </c>
      <c r="I24">
        <v>22</v>
      </c>
      <c r="J24">
        <v>5.0000000000000001E-3</v>
      </c>
      <c r="K24">
        <v>1</v>
      </c>
      <c r="L24">
        <v>0</v>
      </c>
      <c r="M24">
        <v>0</v>
      </c>
      <c r="N24">
        <v>1000</v>
      </c>
      <c r="O24" s="1">
        <v>0.47284390966879403</v>
      </c>
      <c r="P24">
        <v>0.18842595944789201</v>
      </c>
      <c r="Q24">
        <v>6.9673932908379602E-2</v>
      </c>
      <c r="R24">
        <v>5.2015466728380426</v>
      </c>
      <c r="S24">
        <v>0.49392553647726184</v>
      </c>
      <c r="T24">
        <v>0.12152131348389</v>
      </c>
      <c r="U24">
        <v>1.4063252994677099E-2</v>
      </c>
      <c r="V24">
        <v>0.1</v>
      </c>
      <c r="W24" s="6">
        <v>0.93744999999999978</v>
      </c>
      <c r="X24" s="6">
        <f>31*EXP(5.81244 + 0.25773*LN(Table36[[#This Row],[k_LOI]]) +
                   0.32107*LN((1-Table36[[#This Row],[k_LOI]])*Table36[[#This Row],[k_f_fines]]))/1000</f>
        <v>6.1764041040944768</v>
      </c>
      <c r="Y24" s="6">
        <v>2.1096550047804818</v>
      </c>
      <c r="Z24" s="6">
        <v>2.1096881297655532</v>
      </c>
      <c r="AA24" s="6">
        <v>2.1096881297655532</v>
      </c>
      <c r="AB24" s="6">
        <v>2.1096881297655532</v>
      </c>
      <c r="AC24" s="6">
        <f>(((1-Table36[[#This Row],[k_PSR]])*Table36[[#This Row],[k_Ex_max]])/Table36[[#This Row],[k_PSR]])</f>
        <v>37.602028467317176</v>
      </c>
      <c r="AD24" s="6">
        <f>((1-Table36[[#This Row],[k_PSR]])*Table36[[#This Row],[k_Ex_max]])</f>
        <v>4.569447889007006</v>
      </c>
      <c r="AE24">
        <f>IF(Table36[[#This Row],[treatment]]="O2",AY$2,AY$3)</f>
        <v>1.0035536233050284E-3</v>
      </c>
      <c r="AF24" s="3">
        <f>(Table36[[#This Row],[k_Ex_max]]*Table36[[#This Row],[k_PSR]])/((Table36[[#This Row],[k_Ex_max]]-Table36[[#This Row],[k_PSR]]*Table36[[#This Row],[k_Ex_max]])*1.04)</f>
        <v>0.13301110044550848</v>
      </c>
      <c r="AG24" s="4">
        <f>IF(Table36[[#This Row],[treatment]]="O2",AX$2*Table36[[#This Row],[k_E_opt3]]^(-AY$2),AX$3*Table36[[#This Row],[k_E_opt3]]^(-AY$3))</f>
        <v>0.10623734604669183</v>
      </c>
      <c r="AH24" s="4">
        <f>(Table36[[#This Row],[k_Ex_max_modeled]]*Table36[[#This Row],[k_PSR]])/((Table36[[#This Row],[k_Ex_max_modeled]]-Table36[[#This Row],[k_PSR]]*Table36[[#This Row],[k_Ex_max_modeled]]))</f>
        <v>0.13833154446332888</v>
      </c>
      <c r="AI24" s="3">
        <f>Table36[[#This Row],[test_SRP_mgl_mean]]-Table36[[#This Row],[DIP_E]]</f>
        <v>-6.7441100445508481E-2</v>
      </c>
      <c r="AJ24" s="3">
        <f>LOG(Table36[[#This Row],[test_SRP_mgl_mean]])-LOG(Table36[[#This Row],[DIP_E_measured_Ex_Max]])</f>
        <v>-0.20957202922646334</v>
      </c>
      <c r="AK24" s="3">
        <f>(G24-AH24)</f>
        <v>-7.2761544463328873E-2</v>
      </c>
      <c r="AL24" s="3">
        <f>ABS(Table36[[#This Row],[res_measured_Ex_max]])</f>
        <v>0.20957202922646334</v>
      </c>
      <c r="AM24" s="3">
        <f>Table36[[#This Row],[res_measured_Ex_max]]^2</f>
        <v>4.3920435434097606E-2</v>
      </c>
      <c r="AN24">
        <f>Table36[[#This Row],[sqresid]]/((Table36[[#This Row],[DIP_E]]-AVERAGE(Table36[test_SRP_mgl_mean]))^2)</f>
        <v>0.89482288433842072</v>
      </c>
      <c r="AO24" s="3">
        <f>Table36[[#This Row],[sqresid]]/LOG(Table36[[#This Row],[test_SRP_mgl_sd]]+1)</f>
        <v>3.2210461496418445</v>
      </c>
      <c r="AP24" cm="1">
        <f t="array" ref="AP24">IF(Table36[[#This Row],[treatment]]="O2",NA,Table36[[#This Row],[test_SRP_mgl_mean]])</f>
        <v>6.5570000000000003E-2</v>
      </c>
      <c r="AQ24" cm="1">
        <f t="array" ref="AQ24">IF(Table36[[#This Row],[treatment]]="O2",NA,Table36[[#This Row],[DIP_E_measured_Ex_Max]])</f>
        <v>0.10623734604669183</v>
      </c>
    </row>
    <row r="25" spans="1:56" hidden="1" x14ac:dyDescent="0.25">
      <c r="A25" t="s">
        <v>53</v>
      </c>
      <c r="B25">
        <v>2</v>
      </c>
      <c r="C25" t="s">
        <v>34</v>
      </c>
      <c r="D25" t="s">
        <v>56</v>
      </c>
      <c r="E25">
        <v>11.7708333333333</v>
      </c>
      <c r="F25">
        <v>3.2248858447488496E-2</v>
      </c>
      <c r="G25">
        <v>1.88066666666666E-2</v>
      </c>
      <c r="H25">
        <v>6.0025483477158803E-3</v>
      </c>
      <c r="I25">
        <v>22.066666666666599</v>
      </c>
      <c r="J25">
        <v>5.0000000000000001E-3</v>
      </c>
      <c r="K25">
        <v>1</v>
      </c>
      <c r="L25">
        <v>0</v>
      </c>
      <c r="M25">
        <v>0</v>
      </c>
      <c r="N25">
        <v>1000</v>
      </c>
      <c r="O25" s="1">
        <v>0.47284390966879403</v>
      </c>
      <c r="P25">
        <v>0.18842595944789201</v>
      </c>
      <c r="Q25">
        <v>6.9673932908379602E-2</v>
      </c>
      <c r="R25">
        <v>5.2015466728380426</v>
      </c>
      <c r="S25">
        <v>0.49392553647726184</v>
      </c>
      <c r="T25">
        <v>0.12152131348389</v>
      </c>
      <c r="U25">
        <v>1.4063252994677099E-2</v>
      </c>
      <c r="V25">
        <v>0.1</v>
      </c>
      <c r="W25">
        <v>0.93744999999999978</v>
      </c>
      <c r="X25">
        <f>31*EXP(5.81244 + 0.25773*LN(Table36[[#This Row],[k_LOI]]) +
                   0.32107*LN((1-Table36[[#This Row],[k_LOI]])*Table36[[#This Row],[k_f_fines]]))/1000</f>
        <v>6.1764041040944768</v>
      </c>
      <c r="Y25" s="6">
        <v>7.3535635744726893</v>
      </c>
      <c r="Z25" s="6">
        <v>7.3543432812849465</v>
      </c>
      <c r="AA25" s="6">
        <v>7.3543432812849465</v>
      </c>
      <c r="AB25" s="6">
        <v>7.3543432812849465</v>
      </c>
      <c r="AC25" s="6">
        <f>(((1-Table36[[#This Row],[k_PSR]])*Table36[[#This Row],[k_Ex_max]])/Table36[[#This Row],[k_PSR]])</f>
        <v>37.602028467317176</v>
      </c>
      <c r="AD25" s="6">
        <f>((1-Table36[[#This Row],[k_PSR]])*Table36[[#This Row],[k_Ex_max]])</f>
        <v>4.569447889007006</v>
      </c>
      <c r="AE25">
        <f>IF(Table36[[#This Row],[treatment]]="O2",AY$2,AY$3)</f>
        <v>1.0000294868557681E-3</v>
      </c>
      <c r="AF25" s="3">
        <f>(Table36[[#This Row],[k_Ex_max]]*Table36[[#This Row],[k_PSR]])/((Table36[[#This Row],[k_Ex_max]]-Table36[[#This Row],[k_PSR]]*Table36[[#This Row],[k_Ex_max]])*1.04)</f>
        <v>0.13301110044550848</v>
      </c>
      <c r="AG25" s="4">
        <f>IF(Table36[[#This Row],[treatment]]="O2",AX$2*Table36[[#This Row],[k_E_opt3]]^(-AY$2),AX$3*Table36[[#This Row],[k_E_opt3]]^(-AY$3))</f>
        <v>2.9759968279407193E-2</v>
      </c>
      <c r="AH25" s="4">
        <f>(Table36[[#This Row],[k_Ex_max_modeled]]*Table36[[#This Row],[k_PSR]])/((Table36[[#This Row],[k_Ex_max_modeled]]-Table36[[#This Row],[k_PSR]]*Table36[[#This Row],[k_Ex_max_modeled]]))</f>
        <v>0.13833154446332888</v>
      </c>
      <c r="AI25" s="3">
        <f>Table36[[#This Row],[test_SRP_mgl_mean]]-Table36[[#This Row],[DIP_E]]</f>
        <v>-0.11420443377884189</v>
      </c>
      <c r="AJ25" s="3">
        <f>LOG(Table36[[#This Row],[test_SRP_mgl_mean]])-LOG(Table36[[#This Row],[DIP_E_measured_Ex_Max]])</f>
        <v>-0.19932063686805002</v>
      </c>
      <c r="AK25" s="3">
        <f>(G25-AH25)</f>
        <v>-0.11952487779666228</v>
      </c>
      <c r="AL25" s="3">
        <f>ABS(Table36[[#This Row],[res_measured_Ex_max]])</f>
        <v>0.19932063686805002</v>
      </c>
      <c r="AM25" s="3">
        <f>Table36[[#This Row],[res_measured_Ex_max]]^2</f>
        <v>3.9728716281485062E-2</v>
      </c>
      <c r="AN25">
        <f>Table36[[#This Row],[sqresid]]/((Table36[[#This Row],[DIP_E]]-AVERAGE(Table36[test_SRP_mgl_mean]))^2)</f>
        <v>0.8094219500032982</v>
      </c>
      <c r="AO25" s="3">
        <f>Table36[[#This Row],[sqresid]]/LOG(Table36[[#This Row],[test_SRP_mgl_sd]]+1)</f>
        <v>15.285679268159749</v>
      </c>
      <c r="AP25" t="e" cm="1">
        <f t="array" ref="AP25">IF(Table36[[#This Row],[treatment]]="O2",NA,Table36[[#This Row],[test_SRP_mgl_mean]])</f>
        <v>#NAME?</v>
      </c>
      <c r="AQ25" t="e" cm="1">
        <f t="array" ref="AQ25">IF(Table36[[#This Row],[treatment]]="O2",NA,Table36[[#This Row],[DIP_E_measured_Ex_Max]])</f>
        <v>#NAME?</v>
      </c>
      <c r="AS25" t="s">
        <v>200</v>
      </c>
      <c r="AT25">
        <v>-2</v>
      </c>
    </row>
    <row r="26" spans="1:56" x14ac:dyDescent="0.25">
      <c r="A26" t="s">
        <v>53</v>
      </c>
      <c r="B26">
        <v>4</v>
      </c>
      <c r="C26" t="s">
        <v>29</v>
      </c>
      <c r="D26" t="s">
        <v>57</v>
      </c>
      <c r="E26">
        <v>12.1197916666666</v>
      </c>
      <c r="F26">
        <v>3.3204908675798908E-2</v>
      </c>
      <c r="G26">
        <v>6.0130666666666603E-2</v>
      </c>
      <c r="H26">
        <v>1.80524161230231E-2</v>
      </c>
      <c r="I26">
        <v>17.899999999999999</v>
      </c>
      <c r="J26">
        <v>5.0000000000000001E-3</v>
      </c>
      <c r="K26">
        <v>1</v>
      </c>
      <c r="L26">
        <v>0</v>
      </c>
      <c r="M26">
        <v>0</v>
      </c>
      <c r="N26">
        <v>1000</v>
      </c>
      <c r="O26" s="1">
        <v>0.59431958810368402</v>
      </c>
      <c r="P26">
        <v>0.18059922159706801</v>
      </c>
      <c r="Q26">
        <v>9.1992407245965205E-2</v>
      </c>
      <c r="R26">
        <v>5.0044323171897167</v>
      </c>
      <c r="S26">
        <v>0.23563250103273525</v>
      </c>
      <c r="T26">
        <v>9.29082874792765E-2</v>
      </c>
      <c r="U26">
        <v>1.48384997574793E-2</v>
      </c>
      <c r="V26">
        <v>8.7499999999999994E-2</v>
      </c>
      <c r="W26" s="6">
        <v>0.84010000000000096</v>
      </c>
      <c r="X26" s="6">
        <f>31*EXP(5.81244 + 0.25773*LN(Table36[[#This Row],[k_LOI]]) +
                   0.32107*LN((1-Table36[[#This Row],[k_LOI]])*Table36[[#This Row],[k_f_fines]]))/1000</f>
        <v>5.91611931191576</v>
      </c>
      <c r="Y26" s="6">
        <v>1.7034971158449983</v>
      </c>
      <c r="Z26" s="6">
        <v>1.7032628408364245</v>
      </c>
      <c r="AA26" s="6">
        <v>1.7032628408364245</v>
      </c>
      <c r="AB26" s="6">
        <v>1.7032628408364245</v>
      </c>
      <c r="AC26" s="6">
        <f>(((1-Table36[[#This Row],[k_PSR]])*Table36[[#This Row],[k_Ex_max]])/Table36[[#This Row],[k_PSR]])</f>
        <v>48.859786397486005</v>
      </c>
      <c r="AD26" s="6">
        <f>((1-Table36[[#This Row],[k_PSR]])*Table36[[#This Row],[k_Ex_max]])</f>
        <v>4.5394790807936731</v>
      </c>
      <c r="AE26">
        <f>IF(Table36[[#This Row],[treatment]]="O2",AY$2,AY$3)</f>
        <v>1.0035536233050284E-3</v>
      </c>
      <c r="AF26" s="3">
        <f>(Table36[[#This Row],[k_Ex_max]]*Table36[[#This Row],[k_PSR]])/((Table36[[#This Row],[k_Ex_max]]-Table36[[#This Row],[k_PSR]]*Table36[[#This Row],[k_Ex_max]])*1.04)</f>
        <v>9.8484960863266274E-2</v>
      </c>
      <c r="AG26" s="4">
        <f>IF(Table36[[#This Row],[treatment]]="O2",AX$2*Table36[[#This Row],[k_E_opt3]]^(-AY$2),AX$3*Table36[[#This Row],[k_E_opt3]]^(-AY$3))</f>
        <v>0.10623804758767179</v>
      </c>
      <c r="AH26" s="4">
        <f>(Table36[[#This Row],[k_Ex_max_modeled]]*Table36[[#This Row],[k_PSR]])/((Table36[[#This Row],[k_Ex_max_modeled]]-Table36[[#This Row],[k_PSR]]*Table36[[#This Row],[k_Ex_max_modeled]]))</f>
        <v>0.10242435929779692</v>
      </c>
      <c r="AI26" s="3">
        <f>Table36[[#This Row],[test_SRP_mgl_mean]]-Table36[[#This Row],[DIP_E]]</f>
        <v>-3.8354294196599671E-2</v>
      </c>
      <c r="AJ26" s="3">
        <f>LOG(Table36[[#This Row],[test_SRP_mgl_mean]])-LOG(Table36[[#This Row],[DIP_E_measured_Ex_Max]])</f>
        <v>-0.24718406187760045</v>
      </c>
      <c r="AK26" s="3">
        <f>(G26-AH26)</f>
        <v>-4.2293692631130315E-2</v>
      </c>
      <c r="AL26" s="3">
        <f>ABS(Table36[[#This Row],[res_measured_Ex_max]])</f>
        <v>0.24718406187760045</v>
      </c>
      <c r="AM26" s="3">
        <f>Table36[[#This Row],[res_measured_Ex_max]]^2</f>
        <v>6.1099960446309408E-2</v>
      </c>
      <c r="AN26">
        <f>Table36[[#This Row],[sqresid]]/((Table36[[#This Row],[DIP_E]]-AVERAGE(Table36[test_SRP_mgl_mean]))^2)</f>
        <v>0.93178298023871942</v>
      </c>
      <c r="AO26" s="3">
        <f>Table36[[#This Row],[sqresid]]/LOG(Table36[[#This Row],[test_SRP_mgl_sd]]+1)</f>
        <v>7.8634321515673289</v>
      </c>
      <c r="AP26" cm="1">
        <f t="array" ref="AP26">IF(Table36[[#This Row],[treatment]]="O2",NA,Table36[[#This Row],[test_SRP_mgl_mean]])</f>
        <v>6.0130666666666603E-2</v>
      </c>
      <c r="AQ26" cm="1">
        <f t="array" ref="AQ26">IF(Table36[[#This Row],[treatment]]="O2",NA,Table36[[#This Row],[DIP_E_measured_Ex_Max]])</f>
        <v>0.10623804758767179</v>
      </c>
      <c r="AS26" t="s">
        <v>201</v>
      </c>
      <c r="AT26">
        <v>-3</v>
      </c>
    </row>
    <row r="27" spans="1:56" hidden="1" x14ac:dyDescent="0.25">
      <c r="A27" t="s">
        <v>53</v>
      </c>
      <c r="B27">
        <v>4</v>
      </c>
      <c r="C27" t="s">
        <v>34</v>
      </c>
      <c r="D27" t="s">
        <v>57</v>
      </c>
      <c r="E27">
        <v>12.1197916666666</v>
      </c>
      <c r="F27">
        <v>3.3204908675798908E-2</v>
      </c>
      <c r="G27">
        <v>2.2963916666666601E-2</v>
      </c>
      <c r="H27">
        <v>5.7500183945687301E-3</v>
      </c>
      <c r="I27">
        <v>17.899999999999999</v>
      </c>
      <c r="J27">
        <v>5.0000000000000001E-3</v>
      </c>
      <c r="K27">
        <v>1</v>
      </c>
      <c r="L27">
        <v>0</v>
      </c>
      <c r="M27">
        <v>0</v>
      </c>
      <c r="N27">
        <v>1000</v>
      </c>
      <c r="O27" s="1">
        <v>0.59431958810368402</v>
      </c>
      <c r="P27">
        <v>0.18059922159706801</v>
      </c>
      <c r="Q27">
        <v>9.1992407245965205E-2</v>
      </c>
      <c r="R27">
        <v>5.0044323171897167</v>
      </c>
      <c r="S27">
        <v>0.23563250103273525</v>
      </c>
      <c r="T27">
        <v>9.29082874792765E-2</v>
      </c>
      <c r="U27">
        <v>1.48384997574793E-2</v>
      </c>
      <c r="V27">
        <v>8.7499999999999994E-2</v>
      </c>
      <c r="W27">
        <v>0.84010000000000096</v>
      </c>
      <c r="X27">
        <f>31*EXP(5.81244 + 0.25773*LN(Table36[[#This Row],[k_LOI]]) +
                   0.32107*LN((1-Table36[[#This Row],[k_LOI]])*Table36[[#This Row],[k_f_fines]]))/1000</f>
        <v>5.91611931191576</v>
      </c>
      <c r="Y27" s="6">
        <v>4.4623409990516372</v>
      </c>
      <c r="Z27" s="6">
        <v>4.461088834543026</v>
      </c>
      <c r="AA27" s="6">
        <v>4.461088834543026</v>
      </c>
      <c r="AB27" s="6">
        <v>4.461088834543026</v>
      </c>
      <c r="AC27" s="6">
        <f>(((1-Table36[[#This Row],[k_PSR]])*Table36[[#This Row],[k_Ex_max]])/Table36[[#This Row],[k_PSR]])</f>
        <v>48.859786397486005</v>
      </c>
      <c r="AD27" s="6">
        <f>((1-Table36[[#This Row],[k_PSR]])*Table36[[#This Row],[k_Ex_max]])</f>
        <v>4.5394790807936731</v>
      </c>
      <c r="AE27">
        <f>IF(Table36[[#This Row],[treatment]]="O2",AY$2,AY$3)</f>
        <v>1.0000294868557681E-3</v>
      </c>
      <c r="AF27" s="3">
        <f>(Table36[[#This Row],[k_Ex_max]]*Table36[[#This Row],[k_PSR]])/((Table36[[#This Row],[k_Ex_max]]-Table36[[#This Row],[k_PSR]]*Table36[[#This Row],[k_Ex_max]])*1.04)</f>
        <v>9.8484960863266274E-2</v>
      </c>
      <c r="AG27" s="4">
        <f>IF(Table36[[#This Row],[treatment]]="O2",AX$2*Table36[[#This Row],[k_E_opt3]]^(-AY$2),AX$3*Table36[[#This Row],[k_E_opt3]]^(-AY$3))</f>
        <v>2.9760164109988739E-2</v>
      </c>
      <c r="AH27" s="4">
        <f>(Table36[[#This Row],[k_Ex_max_modeled]]*Table36[[#This Row],[k_PSR]])/((Table36[[#This Row],[k_Ex_max_modeled]]-Table36[[#This Row],[k_PSR]]*Table36[[#This Row],[k_Ex_max_modeled]]))</f>
        <v>0.10242435929779692</v>
      </c>
      <c r="AI27" s="3">
        <f>Table36[[#This Row],[test_SRP_mgl_mean]]-Table36[[#This Row],[DIP_E]]</f>
        <v>-7.5521044196599676E-2</v>
      </c>
      <c r="AJ27" s="3">
        <f>LOG(Table36[[#This Row],[test_SRP_mgl_mean]])-LOG(Table36[[#This Row],[DIP_E_measured_Ex_Max]])</f>
        <v>-0.11258935956660165</v>
      </c>
      <c r="AK27" s="3">
        <f>(G27-AH27)</f>
        <v>-7.9460442631130321E-2</v>
      </c>
      <c r="AL27" s="3">
        <f>ABS(Table36[[#This Row],[res_measured_Ex_max]])</f>
        <v>0.11258935956660165</v>
      </c>
      <c r="AM27" s="3">
        <f>Table36[[#This Row],[res_measured_Ex_max]]^2</f>
        <v>1.2676363887617515E-2</v>
      </c>
      <c r="AN27">
        <f>Table36[[#This Row],[sqresid]]/((Table36[[#This Row],[DIP_E]]-AVERAGE(Table36[test_SRP_mgl_mean]))^2)</f>
        <v>0.19331633008459956</v>
      </c>
      <c r="AO27" s="3">
        <f>Table36[[#This Row],[sqresid]]/LOG(Table36[[#This Row],[test_SRP_mgl_sd]]+1)</f>
        <v>5.0908086303800397</v>
      </c>
      <c r="AP27" t="e" cm="1">
        <f t="array" ref="AP27">IF(Table36[[#This Row],[treatment]]="O2",NA,Table36[[#This Row],[test_SRP_mgl_mean]])</f>
        <v>#NAME?</v>
      </c>
      <c r="AQ27" t="e" cm="1">
        <f t="array" ref="AQ27">IF(Table36[[#This Row],[treatment]]="O2",NA,Table36[[#This Row],[DIP_E_measured_Ex_Max]])</f>
        <v>#NAME?</v>
      </c>
    </row>
    <row r="28" spans="1:56" x14ac:dyDescent="0.25">
      <c r="A28" t="s">
        <v>53</v>
      </c>
      <c r="B28" t="s">
        <v>58</v>
      </c>
      <c r="C28" t="s">
        <v>29</v>
      </c>
      <c r="D28" t="s">
        <v>59</v>
      </c>
      <c r="E28">
        <v>11.2552083333333</v>
      </c>
      <c r="F28">
        <v>3.0836187214611781E-2</v>
      </c>
      <c r="G28">
        <v>0.42969616666666599</v>
      </c>
      <c r="H28">
        <v>0.275736950199581</v>
      </c>
      <c r="I28">
        <v>19.05</v>
      </c>
      <c r="J28">
        <v>5.0000000000000001E-3</v>
      </c>
      <c r="K28">
        <v>1</v>
      </c>
      <c r="L28">
        <v>0</v>
      </c>
      <c r="M28">
        <v>0</v>
      </c>
      <c r="N28">
        <v>1000</v>
      </c>
      <c r="O28" s="1">
        <v>0.89328194559999996</v>
      </c>
      <c r="P28">
        <v>7.1362740775622199E-2</v>
      </c>
      <c r="Q28">
        <v>5.1506192285910796E-3</v>
      </c>
      <c r="R28">
        <v>2.7447889669064125</v>
      </c>
      <c r="S28">
        <v>6.6023639261902259E-2</v>
      </c>
      <c r="T28">
        <v>0.124212205514316</v>
      </c>
      <c r="U28">
        <v>6.66940694295698E-3</v>
      </c>
      <c r="V28">
        <v>7.4999999999999997E-2</v>
      </c>
      <c r="W28" s="6">
        <v>0.69933333333333403</v>
      </c>
      <c r="X28" s="6">
        <f>31*EXP(5.81244 + 0.25773*LN(Table36[[#This Row],[k_LOI]]) +
                   0.32107*LN((1-Table36[[#This Row],[k_LOI]])*Table36[[#This Row],[k_f_fines]]))/1000</f>
        <v>4.5707413041216505</v>
      </c>
      <c r="Y28" s="6">
        <v>0.33006793985908789</v>
      </c>
      <c r="Z28" s="6">
        <v>0.33006799061454478</v>
      </c>
      <c r="AA28" s="6">
        <v>0.33006799061454478</v>
      </c>
      <c r="AB28" s="6">
        <v>0.33006799061454478</v>
      </c>
      <c r="AC28" s="6">
        <f>(((1-Table36[[#This Row],[k_PSR]])*Table36[[#This Row],[k_Ex_max]])/Table36[[#This Row],[k_PSR]])</f>
        <v>19.352789572507444</v>
      </c>
      <c r="AD28" s="6">
        <f>((1-Table36[[#This Row],[k_PSR]])*Table36[[#This Row],[k_Ex_max]])</f>
        <v>2.4038526756556062</v>
      </c>
      <c r="AE28">
        <f>IF(Table36[[#This Row],[treatment]]="O2",AY$2,AY$3)</f>
        <v>1.0035536233050284E-3</v>
      </c>
      <c r="AF28" s="3">
        <f>(Table36[[#This Row],[k_Ex_max]]*Table36[[#This Row],[k_PSR]])/((Table36[[#This Row],[k_Ex_max]]-Table36[[#This Row],[k_PSR]]*Table36[[#This Row],[k_Ex_max]])*1.04)</f>
        <v>0.13637414650734428</v>
      </c>
      <c r="AG28" s="4">
        <f>IF(Table36[[#This Row],[treatment]]="O2",AX$2*Table36[[#This Row],[k_E_opt3]]^(-AY$2),AX$3*Table36[[#This Row],[k_E_opt3]]^(-AY$3))</f>
        <v>0.1063058489515524</v>
      </c>
      <c r="AH28" s="4">
        <f>(Table36[[#This Row],[k_Ex_max_modeled]]*Table36[[#This Row],[k_PSR]])/((Table36[[#This Row],[k_Ex_max_modeled]]-Table36[[#This Row],[k_PSR]]*Table36[[#This Row],[k_Ex_max_modeled]]))</f>
        <v>0.14182911236763807</v>
      </c>
      <c r="AI28" s="3">
        <f>Table36[[#This Row],[test_SRP_mgl_mean]]-Table36[[#This Row],[DIP_E]]</f>
        <v>0.29332202015932174</v>
      </c>
      <c r="AJ28" s="3">
        <f>LOG(Table36[[#This Row],[test_SRP_mgl_mean]])-LOG(Table36[[#This Row],[DIP_E_measured_Ex_Max]])</f>
        <v>0.60660431926777658</v>
      </c>
      <c r="AK28" s="3">
        <f>(G28-AH28)</f>
        <v>0.28786705429902792</v>
      </c>
      <c r="AL28" s="3">
        <f>ABS(Table36[[#This Row],[res_measured_Ex_max]])</f>
        <v>0.60660431926777658</v>
      </c>
      <c r="AM28" s="3">
        <f>Table36[[#This Row],[res_measured_Ex_max]]^2</f>
        <v>0.36796880015432265</v>
      </c>
      <c r="AN28">
        <f>Table36[[#This Row],[sqresid]]/((Table36[[#This Row],[DIP_E]]-AVERAGE(Table36[test_SRP_mgl_mean]))^2)</f>
        <v>7.7297884307855496</v>
      </c>
      <c r="AO28" s="3">
        <f>Table36[[#This Row],[sqresid]]/LOG(Table36[[#This Row],[test_SRP_mgl_sd]]+1)</f>
        <v>3.4792440700088751</v>
      </c>
      <c r="AP28" cm="1">
        <f t="array" ref="AP28">IF(Table36[[#This Row],[treatment]]="O2",NA,Table36[[#This Row],[test_SRP_mgl_mean]])</f>
        <v>0.42969616666666599</v>
      </c>
      <c r="AQ28" cm="1">
        <f t="array" ref="AQ28">IF(Table36[[#This Row],[treatment]]="O2",NA,Table36[[#This Row],[DIP_E_measured_Ex_Max]])</f>
        <v>0.1063058489515524</v>
      </c>
    </row>
    <row r="29" spans="1:56" hidden="1" x14ac:dyDescent="0.25">
      <c r="A29" t="s">
        <v>53</v>
      </c>
      <c r="B29" t="s">
        <v>58</v>
      </c>
      <c r="C29" t="s">
        <v>34</v>
      </c>
      <c r="D29" t="s">
        <v>59</v>
      </c>
      <c r="E29">
        <v>11.2552083333333</v>
      </c>
      <c r="F29">
        <v>3.0836187214611781E-2</v>
      </c>
      <c r="G29">
        <v>0.32922950000000001</v>
      </c>
      <c r="H29">
        <v>0.29898559301996402</v>
      </c>
      <c r="I29">
        <v>19.05</v>
      </c>
      <c r="J29">
        <v>5.0000000000000001E-3</v>
      </c>
      <c r="K29">
        <v>1</v>
      </c>
      <c r="L29">
        <v>0</v>
      </c>
      <c r="M29">
        <v>0</v>
      </c>
      <c r="N29">
        <v>1000</v>
      </c>
      <c r="O29" s="1">
        <v>0.89328194559999996</v>
      </c>
      <c r="P29">
        <v>7.1362740775622199E-2</v>
      </c>
      <c r="Q29">
        <v>5.1506192285910796E-3</v>
      </c>
      <c r="R29">
        <v>2.7447889669064125</v>
      </c>
      <c r="S29">
        <v>6.6023639261902259E-2</v>
      </c>
      <c r="T29">
        <v>0.124212205514316</v>
      </c>
      <c r="U29">
        <v>6.66940694295698E-3</v>
      </c>
      <c r="V29">
        <v>7.4999999999999997E-2</v>
      </c>
      <c r="W29">
        <v>0.69933333333333403</v>
      </c>
      <c r="X29">
        <f>31*EXP(5.81244 + 0.25773*LN(Table36[[#This Row],[k_LOI]]) +
                   0.32107*LN((1-Table36[[#This Row],[k_LOI]])*Table36[[#This Row],[k_f_fines]]))/1000</f>
        <v>4.5707413041216505</v>
      </c>
      <c r="Y29" s="6">
        <v>0.43078582045147878</v>
      </c>
      <c r="Z29" s="6">
        <v>0.43079071279164238</v>
      </c>
      <c r="AA29" s="6">
        <v>0.43079071279164238</v>
      </c>
      <c r="AB29" s="6">
        <v>0.43079071279164238</v>
      </c>
      <c r="AC29" s="6">
        <f>(((1-Table36[[#This Row],[k_PSR]])*Table36[[#This Row],[k_Ex_max]])/Table36[[#This Row],[k_PSR]])</f>
        <v>19.352789572507444</v>
      </c>
      <c r="AD29" s="6">
        <f>((1-Table36[[#This Row],[k_PSR]])*Table36[[#This Row],[k_Ex_max]])</f>
        <v>2.4038526756556062</v>
      </c>
      <c r="AE29">
        <f>IF(Table36[[#This Row],[treatment]]="O2",AY$2,AY$3)</f>
        <v>1.0000294868557681E-3</v>
      </c>
      <c r="AF29" s="3">
        <f>(Table36[[#This Row],[k_Ex_max]]*Table36[[#This Row],[k_PSR]])/((Table36[[#This Row],[k_Ex_max]]-Table36[[#This Row],[k_PSR]]*Table36[[#This Row],[k_Ex_max]])*1.04)</f>
        <v>0.13637414650734428</v>
      </c>
      <c r="AG29" s="4">
        <f>IF(Table36[[#This Row],[treatment]]="O2",AX$2*Table36[[#This Row],[k_E_opt3]]^(-AY$2),AX$3*Table36[[#This Row],[k_E_opt3]]^(-AY$3))</f>
        <v>2.9779090396361847E-2</v>
      </c>
      <c r="AH29" s="4">
        <f>(Table36[[#This Row],[k_Ex_max_modeled]]*Table36[[#This Row],[k_PSR]])/((Table36[[#This Row],[k_Ex_max_modeled]]-Table36[[#This Row],[k_PSR]]*Table36[[#This Row],[k_Ex_max_modeled]]))</f>
        <v>0.14182911236763807</v>
      </c>
      <c r="AI29" s="3">
        <f>Table36[[#This Row],[test_SRP_mgl_mean]]-Table36[[#This Row],[DIP_E]]</f>
        <v>0.19285535349265573</v>
      </c>
      <c r="AJ29" s="3">
        <f>LOG(Table36[[#This Row],[test_SRP_mgl_mean]])-LOG(Table36[[#This Row],[DIP_E_measured_Ex_Max]])</f>
        <v>1.0435873143624759</v>
      </c>
      <c r="AK29" s="3">
        <f>(G29-AH29)</f>
        <v>0.18740038763236194</v>
      </c>
      <c r="AL29" s="3">
        <f>ABS(Table36[[#This Row],[res_measured_Ex_max]])</f>
        <v>1.0435873143624759</v>
      </c>
      <c r="AM29" s="3">
        <f>Table36[[#This Row],[res_measured_Ex_max]]^2</f>
        <v>1.089074482698285</v>
      </c>
      <c r="AN29">
        <f>Table36[[#This Row],[sqresid]]/((Table36[[#This Row],[DIP_E]]-AVERAGE(Table36[test_SRP_mgl_mean]))^2)</f>
        <v>22.877796522679091</v>
      </c>
      <c r="AO29" s="3">
        <f>Table36[[#This Row],[sqresid]]/LOG(Table36[[#This Row],[test_SRP_mgl_sd]]+1)</f>
        <v>9.5865574919051006</v>
      </c>
      <c r="AP29" t="e" cm="1">
        <f t="array" ref="AP29">IF(Table36[[#This Row],[treatment]]="O2",NA,Table36[[#This Row],[test_SRP_mgl_mean]])</f>
        <v>#NAME?</v>
      </c>
      <c r="AQ29" t="e" cm="1">
        <f t="array" ref="AQ29">IF(Table36[[#This Row],[treatment]]="O2",NA,Table36[[#This Row],[DIP_E_measured_Ex_Max]])</f>
        <v>#NAME?</v>
      </c>
    </row>
    <row r="30" spans="1:56" x14ac:dyDescent="0.25">
      <c r="A30" t="s">
        <v>53</v>
      </c>
      <c r="B30" t="s">
        <v>60</v>
      </c>
      <c r="C30" t="s">
        <v>29</v>
      </c>
      <c r="D30" t="s">
        <v>61</v>
      </c>
      <c r="E30">
        <v>11.2552083333333</v>
      </c>
      <c r="F30">
        <v>3.0836187214611781E-2</v>
      </c>
      <c r="G30">
        <v>0.71520966666666597</v>
      </c>
      <c r="H30">
        <v>0.24447438187071099</v>
      </c>
      <c r="I30">
        <v>19.05</v>
      </c>
      <c r="J30">
        <v>5.0000000000000001E-3</v>
      </c>
      <c r="K30">
        <v>1</v>
      </c>
      <c r="L30">
        <v>0</v>
      </c>
      <c r="M30">
        <v>0</v>
      </c>
      <c r="N30">
        <v>1000</v>
      </c>
      <c r="O30" s="1">
        <v>0.92230202558333296</v>
      </c>
      <c r="P30">
        <v>5.2967151213186701E-2</v>
      </c>
      <c r="Q30">
        <v>3.9581906959328204E-3</v>
      </c>
      <c r="R30">
        <v>2.9003816330416745</v>
      </c>
      <c r="S30">
        <v>0.16721214181535066</v>
      </c>
      <c r="T30">
        <v>0.19028631707386701</v>
      </c>
      <c r="U30">
        <v>9.4505813832901908E-3</v>
      </c>
      <c r="V30">
        <v>7.4999999999999997E-2</v>
      </c>
      <c r="W30" s="6">
        <v>0.72933333333333406</v>
      </c>
      <c r="X30" s="6">
        <f>31*EXP(5.81244 + 0.25773*LN(Table36[[#This Row],[k_LOI]]) +
                   0.32107*LN((1-Table36[[#This Row],[k_LOI]])*Table36[[#This Row],[k_f_fines]]))/1000</f>
        <v>4.3172950769962979</v>
      </c>
      <c r="Y30" s="6">
        <v>0.32858073541170757</v>
      </c>
      <c r="Z30" s="6">
        <v>0.32858088468674557</v>
      </c>
      <c r="AA30" s="6">
        <v>0.32858088468674557</v>
      </c>
      <c r="AB30" s="6">
        <v>0.32858088468674557</v>
      </c>
      <c r="AC30" s="6">
        <f>(((1-Table36[[#This Row],[k_PSR]])*Table36[[#This Row],[k_Ex_max]])/Table36[[#This Row],[k_PSR]])</f>
        <v>12.341815901927584</v>
      </c>
      <c r="AD30" s="6">
        <f>((1-Table36[[#This Row],[k_PSR]])*Table36[[#This Row],[k_Ex_max]])</f>
        <v>2.3484786939814861</v>
      </c>
      <c r="AE30">
        <f>IF(Table36[[#This Row],[treatment]]="O2",AY$2,AY$3)</f>
        <v>1.0035536233050284E-3</v>
      </c>
      <c r="AF30" s="3">
        <f>(Table36[[#This Row],[k_Ex_max]]*Table36[[#This Row],[k_PSR]])/((Table36[[#This Row],[k_Ex_max]]-Table36[[#This Row],[k_PSR]]*Table36[[#This Row],[k_Ex_max]])*1.04)</f>
        <v>0.22596581536058516</v>
      </c>
      <c r="AG30" s="4">
        <f>IF(Table36[[#This Row],[treatment]]="O2",AX$2*Table36[[#This Row],[k_E_opt3]]^(-AY$2),AX$3*Table36[[#This Row],[k_E_opt3]]^(-AY$3))</f>
        <v>0.10630833523999088</v>
      </c>
      <c r="AH30" s="4">
        <f>(Table36[[#This Row],[k_Ex_max_modeled]]*Table36[[#This Row],[k_PSR]])/((Table36[[#This Row],[k_Ex_max_modeled]]-Table36[[#This Row],[k_PSR]]*Table36[[#This Row],[k_Ex_max_modeled]]))</f>
        <v>0.23500444797500861</v>
      </c>
      <c r="AI30" s="3">
        <f>Table36[[#This Row],[test_SRP_mgl_mean]]-Table36[[#This Row],[DIP_E]]</f>
        <v>0.48924385130608083</v>
      </c>
      <c r="AJ30" s="3">
        <f>LOG(Table36[[#This Row],[test_SRP_mgl_mean]])-LOG(Table36[[#This Row],[DIP_E_measured_Ex_Max]])</f>
        <v>0.82786605841814764</v>
      </c>
      <c r="AK30" s="3">
        <f>(G30-AH30)</f>
        <v>0.48020521869165733</v>
      </c>
      <c r="AL30" s="3">
        <f>ABS(Table36[[#This Row],[res_measured_Ex_max]])</f>
        <v>0.82786605841814764</v>
      </c>
      <c r="AM30" s="3">
        <f>Table36[[#This Row],[res_measured_Ex_max]]^2</f>
        <v>0.68536221068079983</v>
      </c>
      <c r="AN30">
        <f>Table36[[#This Row],[sqresid]]/((Table36[[#This Row],[DIP_E]]-AVERAGE(Table36[test_SRP_mgl_mean]))^2)</f>
        <v>41.447095725813213</v>
      </c>
      <c r="AO30" s="3">
        <f>Table36[[#This Row],[sqresid]]/LOG(Table36[[#This Row],[test_SRP_mgl_sd]]+1)</f>
        <v>7.2154053549145551</v>
      </c>
      <c r="AP30" cm="1">
        <f t="array" ref="AP30">IF(Table36[[#This Row],[treatment]]="O2",NA,Table36[[#This Row],[test_SRP_mgl_mean]])</f>
        <v>0.71520966666666597</v>
      </c>
      <c r="AQ30" cm="1">
        <f t="array" ref="AQ30">IF(Table36[[#This Row],[treatment]]="O2",NA,Table36[[#This Row],[DIP_E_measured_Ex_Max]])</f>
        <v>0.10630833523999088</v>
      </c>
    </row>
    <row r="31" spans="1:56" hidden="1" x14ac:dyDescent="0.25">
      <c r="A31" t="s">
        <v>53</v>
      </c>
      <c r="B31" t="s">
        <v>60</v>
      </c>
      <c r="C31" t="s">
        <v>34</v>
      </c>
      <c r="D31" t="s">
        <v>61</v>
      </c>
      <c r="E31">
        <v>11.2552083333333</v>
      </c>
      <c r="F31">
        <v>3.0836187214611781E-2</v>
      </c>
      <c r="G31">
        <v>0.33264783333333298</v>
      </c>
      <c r="H31">
        <v>0.23829296967591501</v>
      </c>
      <c r="I31">
        <v>19.05</v>
      </c>
      <c r="J31">
        <v>5.0000000000000001E-3</v>
      </c>
      <c r="K31">
        <v>1</v>
      </c>
      <c r="L31">
        <v>0</v>
      </c>
      <c r="M31">
        <v>0</v>
      </c>
      <c r="N31">
        <v>1000</v>
      </c>
      <c r="O31" s="1">
        <v>0.92230202558333296</v>
      </c>
      <c r="P31">
        <v>5.2967151213186701E-2</v>
      </c>
      <c r="Q31">
        <v>3.9581906959328204E-3</v>
      </c>
      <c r="R31">
        <v>2.9003816330416745</v>
      </c>
      <c r="S31">
        <v>0.16721214181535066</v>
      </c>
      <c r="T31">
        <v>0.19028631707386701</v>
      </c>
      <c r="U31">
        <v>9.4505813832901908E-3</v>
      </c>
      <c r="V31">
        <v>7.4999999999999997E-2</v>
      </c>
      <c r="W31">
        <v>0.72933333333333406</v>
      </c>
      <c r="X31">
        <f>31*EXP(5.81244 + 0.25773*LN(Table36[[#This Row],[k_LOI]]) +
                   0.32107*LN((1-Table36[[#This Row],[k_LOI]])*Table36[[#This Row],[k_f_fines]]))/1000</f>
        <v>4.3172950769962979</v>
      </c>
      <c r="Y31" s="6">
        <v>0.70646621674711185</v>
      </c>
      <c r="Z31" s="6">
        <v>0.70646576186363552</v>
      </c>
      <c r="AA31" s="6">
        <v>0.70646576186363552</v>
      </c>
      <c r="AB31" s="6">
        <v>0.70646576186363552</v>
      </c>
      <c r="AC31" s="6">
        <f>(((1-Table36[[#This Row],[k_PSR]])*Table36[[#This Row],[k_Ex_max]])/Table36[[#This Row],[k_PSR]])</f>
        <v>12.341815901927584</v>
      </c>
      <c r="AD31" s="6">
        <f>((1-Table36[[#This Row],[k_PSR]])*Table36[[#This Row],[k_Ex_max]])</f>
        <v>2.3484786939814861</v>
      </c>
      <c r="AE31">
        <f>IF(Table36[[#This Row],[treatment]]="O2",AY$2,AY$3)</f>
        <v>1.0000294868557681E-3</v>
      </c>
      <c r="AF31" s="3">
        <f>(Table36[[#This Row],[k_Ex_max]]*Table36[[#This Row],[k_PSR]])/((Table36[[#This Row],[k_Ex_max]]-Table36[[#This Row],[k_PSR]]*Table36[[#This Row],[k_Ex_max]])*1.04)</f>
        <v>0.22596581536058516</v>
      </c>
      <c r="AG31" s="4">
        <f>IF(Table36[[#This Row],[treatment]]="O2",AX$2*Table36[[#This Row],[k_E_opt3]]^(-AY$2),AX$3*Table36[[#This Row],[k_E_opt3]]^(-AY$3))</f>
        <v>2.9779784425945619E-2</v>
      </c>
      <c r="AH31" s="4">
        <f>(Table36[[#This Row],[k_Ex_max_modeled]]*Table36[[#This Row],[k_PSR]])/((Table36[[#This Row],[k_Ex_max_modeled]]-Table36[[#This Row],[k_PSR]]*Table36[[#This Row],[k_Ex_max_modeled]]))</f>
        <v>0.23500444797500861</v>
      </c>
      <c r="AI31" s="3">
        <f>Table36[[#This Row],[test_SRP_mgl_mean]]-Table36[[#This Row],[DIP_E]]</f>
        <v>0.10668201797274782</v>
      </c>
      <c r="AJ31" s="3">
        <f>LOG(Table36[[#This Row],[test_SRP_mgl_mean]])-LOG(Table36[[#This Row],[DIP_E_measured_Ex_Max]])</f>
        <v>1.0480631494637551</v>
      </c>
      <c r="AK31" s="3">
        <f>(G31-AH31)</f>
        <v>9.7643385358324369E-2</v>
      </c>
      <c r="AL31" s="3">
        <f>ABS(Table36[[#This Row],[res_measured_Ex_max]])</f>
        <v>1.0480631494637551</v>
      </c>
      <c r="AM31" s="3">
        <f>Table36[[#This Row],[res_measured_Ex_max]]^2</f>
        <v>1.0984363652638856</v>
      </c>
      <c r="AN31">
        <f>Table36[[#This Row],[sqresid]]/((Table36[[#This Row],[DIP_E]]-AVERAGE(Table36[test_SRP_mgl_mean]))^2)</f>
        <v>66.427644346750114</v>
      </c>
      <c r="AO31" s="3">
        <f>Table36[[#This Row],[sqresid]]/LOG(Table36[[#This Row],[test_SRP_mgl_sd]]+1)</f>
        <v>11.833613931697238</v>
      </c>
      <c r="AP31" t="e" cm="1">
        <f t="array" ref="AP31">IF(Table36[[#This Row],[treatment]]="O2",NA,Table36[[#This Row],[test_SRP_mgl_mean]])</f>
        <v>#NAME?</v>
      </c>
      <c r="AQ31" t="e" cm="1">
        <f t="array" ref="AQ31">IF(Table36[[#This Row],[treatment]]="O2",NA,Table36[[#This Row],[DIP_E_measured_Ex_Max]])</f>
        <v>#NAME?</v>
      </c>
    </row>
    <row r="32" spans="1:56" x14ac:dyDescent="0.25">
      <c r="A32" t="s">
        <v>62</v>
      </c>
      <c r="B32">
        <v>0</v>
      </c>
      <c r="C32" t="s">
        <v>29</v>
      </c>
      <c r="D32" t="s">
        <v>63</v>
      </c>
      <c r="E32">
        <v>12.1197916666666</v>
      </c>
      <c r="F32">
        <v>3.3204908675798908E-2</v>
      </c>
      <c r="G32">
        <v>0.22923774999999999</v>
      </c>
      <c r="H32">
        <v>0.14749388096036301</v>
      </c>
      <c r="I32">
        <v>17.899999999999999</v>
      </c>
      <c r="J32">
        <v>5.0000000000000001E-3</v>
      </c>
      <c r="K32">
        <v>1</v>
      </c>
      <c r="L32">
        <v>0</v>
      </c>
      <c r="M32">
        <v>0</v>
      </c>
      <c r="N32">
        <v>1000</v>
      </c>
      <c r="O32" s="1">
        <v>0.27047592054380798</v>
      </c>
      <c r="P32">
        <v>0.32709633171386598</v>
      </c>
      <c r="Q32">
        <v>0.160768366063579</v>
      </c>
      <c r="R32">
        <v>3.3177039145789058</v>
      </c>
      <c r="S32">
        <v>0.74306028322854656</v>
      </c>
      <c r="T32">
        <v>0.163217065738644</v>
      </c>
      <c r="U32">
        <v>1.4093881736470901E-2</v>
      </c>
      <c r="V32">
        <v>0.1125</v>
      </c>
      <c r="W32" s="6">
        <v>0.98545000000000016</v>
      </c>
      <c r="X32" s="6">
        <f>31*EXP(5.81244 + 0.25773*LN(Table36[[#This Row],[k_LOI]]) +
                   0.32107*LN((1-Table36[[#This Row],[k_LOI]])*Table36[[#This Row],[k_f_fines]]))/1000</f>
        <v>6.8125039784883796</v>
      </c>
      <c r="Y32" s="6">
        <v>0.85087549676572027</v>
      </c>
      <c r="Z32" s="6">
        <v>0.8508753175754995</v>
      </c>
      <c r="AA32" s="6">
        <v>0.8508753175754995</v>
      </c>
      <c r="AB32" s="6">
        <v>0.8508753175754995</v>
      </c>
      <c r="AC32" s="6">
        <f>(((1-Table36[[#This Row],[k_PSR]])*Table36[[#This Row],[k_Ex_max]])/Table36[[#This Row],[k_PSR]])</f>
        <v>17.009238611709822</v>
      </c>
      <c r="AD32" s="6">
        <f>((1-Table36[[#This Row],[k_PSR]])*Table36[[#This Row],[k_Ex_max]])</f>
        <v>2.7761980166517239</v>
      </c>
      <c r="AE32">
        <f>IF(Table36[[#This Row],[treatment]]="O2",AY$2,AY$3)</f>
        <v>1.0035536233050284E-3</v>
      </c>
      <c r="AF32" s="3">
        <f>(Table36[[#This Row],[k_Ex_max]]*Table36[[#This Row],[k_PSR]])/((Table36[[#This Row],[k_Ex_max]]-Table36[[#This Row],[k_PSR]]*Table36[[#This Row],[k_Ex_max]])*1.04)</f>
        <v>0.18755101216983006</v>
      </c>
      <c r="AG32" s="4">
        <f>IF(Table36[[#This Row],[treatment]]="O2",AX$2*Table36[[#This Row],[k_E_opt3]]^(-AY$2),AX$3*Table36[[#This Row],[k_E_opt3]]^(-AY$3))</f>
        <v>0.10629048659198367</v>
      </c>
      <c r="AH32" s="4">
        <f>(Table36[[#This Row],[k_Ex_max_modeled]]*Table36[[#This Row],[k_PSR]])/((Table36[[#This Row],[k_Ex_max_modeled]]-Table36[[#This Row],[k_PSR]]*Table36[[#This Row],[k_Ex_max_modeled]]))</f>
        <v>0.19505305265662329</v>
      </c>
      <c r="AI32" s="3">
        <f>Table36[[#This Row],[test_SRP_mgl_mean]]-Table36[[#This Row],[DIP_E]]</f>
        <v>4.1686737830169934E-2</v>
      </c>
      <c r="AJ32" s="3">
        <f>LOG(Table36[[#This Row],[test_SRP_mgl_mean]])-LOG(Table36[[#This Row],[DIP_E_measured_Ex_Max]])</f>
        <v>0.33379174191307559</v>
      </c>
      <c r="AK32" s="3">
        <f>(G32-AH32)</f>
        <v>3.4184697343376702E-2</v>
      </c>
      <c r="AL32" s="3">
        <f>ABS(Table36[[#This Row],[res_measured_Ex_max]])</f>
        <v>0.33379174191307559</v>
      </c>
      <c r="AM32" s="3">
        <f>Table36[[#This Row],[res_measured_Ex_max]]^2</f>
        <v>0.11141692696936527</v>
      </c>
      <c r="AN32">
        <f>Table36[[#This Row],[sqresid]]/((Table36[[#This Row],[DIP_E]]-AVERAGE(Table36[test_SRP_mgl_mean]))^2)</f>
        <v>3.9947009743945512</v>
      </c>
      <c r="AO32" s="3">
        <f>Table36[[#This Row],[sqresid]]/LOG(Table36[[#This Row],[test_SRP_mgl_sd]]+1)</f>
        <v>1.8647066359180675</v>
      </c>
      <c r="AP32" cm="1">
        <f t="array" ref="AP32">IF(Table36[[#This Row],[treatment]]="O2",NA,Table36[[#This Row],[test_SRP_mgl_mean]])</f>
        <v>0.22923774999999999</v>
      </c>
      <c r="AQ32" cm="1">
        <f t="array" ref="AQ32">IF(Table36[[#This Row],[treatment]]="O2",NA,Table36[[#This Row],[DIP_E_measured_Ex_Max]])</f>
        <v>0.10629048659198367</v>
      </c>
    </row>
    <row r="33" spans="1:43" hidden="1" x14ac:dyDescent="0.25">
      <c r="A33" t="s">
        <v>62</v>
      </c>
      <c r="B33">
        <v>0</v>
      </c>
      <c r="C33" t="s">
        <v>34</v>
      </c>
      <c r="D33" t="s">
        <v>63</v>
      </c>
      <c r="E33">
        <v>12.1197916666666</v>
      </c>
      <c r="F33">
        <v>3.3204908675798908E-2</v>
      </c>
      <c r="G33">
        <v>0.11172225</v>
      </c>
      <c r="H33">
        <v>8.7647463110229695E-2</v>
      </c>
      <c r="I33">
        <v>17.899999999999999</v>
      </c>
      <c r="J33">
        <v>5.0000000000000001E-3</v>
      </c>
      <c r="K33">
        <v>1</v>
      </c>
      <c r="L33">
        <v>0</v>
      </c>
      <c r="M33">
        <v>0</v>
      </c>
      <c r="N33">
        <v>1000</v>
      </c>
      <c r="O33" s="1">
        <v>0.27047592054380798</v>
      </c>
      <c r="P33">
        <v>0.32709633171386598</v>
      </c>
      <c r="Q33">
        <v>0.160768366063579</v>
      </c>
      <c r="R33">
        <v>3.3177039145789058</v>
      </c>
      <c r="S33">
        <v>0.74306028322854656</v>
      </c>
      <c r="T33">
        <v>0.163217065738644</v>
      </c>
      <c r="U33">
        <v>1.4093881736470901E-2</v>
      </c>
      <c r="V33">
        <v>0.1125</v>
      </c>
      <c r="W33">
        <v>0.98545000000000016</v>
      </c>
      <c r="X33">
        <f>31*EXP(5.81244 + 0.25773*LN(Table36[[#This Row],[k_LOI]]) +
                   0.32107*LN((1-Table36[[#This Row],[k_LOI]])*Table36[[#This Row],[k_f_fines]]))/1000</f>
        <v>6.8125039784883796</v>
      </c>
      <c r="Y33" s="6">
        <v>1.7458512410616787</v>
      </c>
      <c r="Z33" s="6">
        <v>1.7458361923818797</v>
      </c>
      <c r="AA33" s="6">
        <v>1.7458361923818797</v>
      </c>
      <c r="AB33" s="6">
        <v>1.7458361923818797</v>
      </c>
      <c r="AC33" s="6">
        <f>(((1-Table36[[#This Row],[k_PSR]])*Table36[[#This Row],[k_Ex_max]])/Table36[[#This Row],[k_PSR]])</f>
        <v>17.009238611709822</v>
      </c>
      <c r="AD33" s="6">
        <f>((1-Table36[[#This Row],[k_PSR]])*Table36[[#This Row],[k_Ex_max]])</f>
        <v>2.7761980166517239</v>
      </c>
      <c r="AE33">
        <f>IF(Table36[[#This Row],[treatment]]="O2",AY$2,AY$3)</f>
        <v>1.0000294868557681E-3</v>
      </c>
      <c r="AF33" s="3">
        <f>(Table36[[#This Row],[k_Ex_max]]*Table36[[#This Row],[k_PSR]])/((Table36[[#This Row],[k_Ex_max]]-Table36[[#This Row],[k_PSR]]*Table36[[#This Row],[k_Ex_max]])*1.04)</f>
        <v>0.18755101216983006</v>
      </c>
      <c r="AG33" s="4">
        <f>IF(Table36[[#This Row],[treatment]]="O2",AX$2*Table36[[#This Row],[k_E_opt3]]^(-AY$2),AX$3*Table36[[#This Row],[k_E_opt3]]^(-AY$3))</f>
        <v>2.9774802102616266E-2</v>
      </c>
      <c r="AH33" s="4">
        <f>(Table36[[#This Row],[k_Ex_max_modeled]]*Table36[[#This Row],[k_PSR]])/((Table36[[#This Row],[k_Ex_max_modeled]]-Table36[[#This Row],[k_PSR]]*Table36[[#This Row],[k_Ex_max_modeled]]))</f>
        <v>0.19505305265662329</v>
      </c>
      <c r="AI33" s="3">
        <f>Table36[[#This Row],[test_SRP_mgl_mean]]-Table36[[#This Row],[DIP_E]]</f>
        <v>-7.5828762169830061E-2</v>
      </c>
      <c r="AJ33" s="3">
        <f>LOG(Table36[[#This Row],[test_SRP_mgl_mean]])-LOG(Table36[[#This Row],[DIP_E_measured_Ex_Max]])</f>
        <v>0.5742907898347912</v>
      </c>
      <c r="AK33" s="3">
        <f>(G33-AH33)</f>
        <v>-8.3330802656623293E-2</v>
      </c>
      <c r="AL33" s="3">
        <f>ABS(Table36[[#This Row],[res_measured_Ex_max]])</f>
        <v>0.5742907898347912</v>
      </c>
      <c r="AM33" s="3">
        <f>Table36[[#This Row],[res_measured_Ex_max]]^2</f>
        <v>0.32980991128906834</v>
      </c>
      <c r="AN33">
        <f>Table36[[#This Row],[sqresid]]/((Table36[[#This Row],[DIP_E]]-AVERAGE(Table36[test_SRP_mgl_mean]))^2)</f>
        <v>11.824881638978194</v>
      </c>
      <c r="AO33" s="3">
        <f>Table36[[#This Row],[sqresid]]/LOG(Table36[[#This Row],[test_SRP_mgl_sd]]+1)</f>
        <v>9.0388222022519322</v>
      </c>
      <c r="AP33" t="e" cm="1">
        <f t="array" ref="AP33">IF(Table36[[#This Row],[treatment]]="O2",NA,Table36[[#This Row],[test_SRP_mgl_mean]])</f>
        <v>#NAME?</v>
      </c>
      <c r="AQ33" t="e" cm="1">
        <f t="array" ref="AQ33">IF(Table36[[#This Row],[treatment]]="O2",NA,Table36[[#This Row],[DIP_E_measured_Ex_Max]])</f>
        <v>#NAME?</v>
      </c>
    </row>
    <row r="34" spans="1:43" x14ac:dyDescent="0.25">
      <c r="A34" t="s">
        <v>62</v>
      </c>
      <c r="B34">
        <v>2</v>
      </c>
      <c r="C34" t="s">
        <v>29</v>
      </c>
      <c r="D34" t="s">
        <v>64</v>
      </c>
      <c r="E34">
        <v>11.5895833333333</v>
      </c>
      <c r="F34">
        <v>3.175228310502274E-2</v>
      </c>
      <c r="G34">
        <v>0.40854600000000002</v>
      </c>
      <c r="H34">
        <v>0.191528954547347</v>
      </c>
      <c r="I34">
        <v>21.82</v>
      </c>
      <c r="J34">
        <v>5.0000000000000001E-3</v>
      </c>
      <c r="K34">
        <v>1</v>
      </c>
      <c r="L34">
        <v>0</v>
      </c>
      <c r="M34">
        <v>0</v>
      </c>
      <c r="N34">
        <v>1000</v>
      </c>
      <c r="O34" s="1">
        <v>0.45644743224393503</v>
      </c>
      <c r="P34">
        <v>0.20461676055729</v>
      </c>
      <c r="Q34">
        <v>4.9906568969360299E-2</v>
      </c>
      <c r="R34">
        <v>4.0605580367522771</v>
      </c>
      <c r="S34">
        <v>0.11259085752792974</v>
      </c>
      <c r="T34">
        <v>0.184991182957184</v>
      </c>
      <c r="U34">
        <v>1.13375415833636E-2</v>
      </c>
      <c r="V34">
        <v>0.15</v>
      </c>
      <c r="W34" s="6">
        <v>0.97034999999999993</v>
      </c>
      <c r="X34" s="6">
        <f>31*EXP(5.81244 + 0.25773*LN(Table36[[#This Row],[k_LOI]]) +
                   0.32107*LN((1-Table36[[#This Row],[k_LOI]])*Table36[[#This Row],[k_f_fines]]))/1000</f>
        <v>6.338147906376089</v>
      </c>
      <c r="Y34" s="6">
        <v>0.55557714717705575</v>
      </c>
      <c r="Z34" s="6">
        <v>0.55558120848473191</v>
      </c>
      <c r="AA34" s="6">
        <v>0.55558120848473191</v>
      </c>
      <c r="AB34" s="6">
        <v>0.55558120848473191</v>
      </c>
      <c r="AC34" s="6">
        <f>(((1-Table36[[#This Row],[k_PSR]])*Table36[[#This Row],[k_Ex_max]])/Table36[[#This Row],[k_PSR]])</f>
        <v>17.889450454690738</v>
      </c>
      <c r="AD34" s="6">
        <f>((1-Table36[[#This Row],[k_PSR]])*Table36[[#This Row],[k_Ex_max]])</f>
        <v>3.3093906020671731</v>
      </c>
      <c r="AE34">
        <f>IF(Table36[[#This Row],[treatment]]="O2",AY$2,AY$3)</f>
        <v>1.0035536233050284E-3</v>
      </c>
      <c r="AF34" s="3">
        <f>(Table36[[#This Row],[k_Ex_max]]*Table36[[#This Row],[k_PSR]])/((Table36[[#This Row],[k_Ex_max]]-Table36[[#This Row],[k_PSR]]*Table36[[#This Row],[k_Ex_max]])*1.04)</f>
        <v>0.21825056826285372</v>
      </c>
      <c r="AG34" s="4">
        <f>IF(Table36[[#This Row],[treatment]]="O2",AX$2*Table36[[#This Row],[k_E_opt3]]^(-AY$2),AX$3*Table36[[#This Row],[k_E_opt3]]^(-AY$3))</f>
        <v>0.10627174859340835</v>
      </c>
      <c r="AH34" s="4">
        <f>(Table36[[#This Row],[k_Ex_max_modeled]]*Table36[[#This Row],[k_PSR]])/((Table36[[#This Row],[k_Ex_max_modeled]]-Table36[[#This Row],[k_PSR]]*Table36[[#This Row],[k_Ex_max_modeled]]))</f>
        <v>0.22698059099336787</v>
      </c>
      <c r="AI34" s="3">
        <f>Table36[[#This Row],[test_SRP_mgl_mean]]-Table36[[#This Row],[DIP_E]]</f>
        <v>0.1902954317371463</v>
      </c>
      <c r="AJ34" s="3">
        <f>LOG(Table36[[#This Row],[test_SRP_mgl_mean]])-LOG(Table36[[#This Row],[DIP_E_measured_Ex_Max]])</f>
        <v>0.58482313624588855</v>
      </c>
      <c r="AK34" s="3">
        <f>(G34-AH34)</f>
        <v>0.18156540900663215</v>
      </c>
      <c r="AL34" s="3">
        <f>ABS(Table36[[#This Row],[res_measured_Ex_max]])</f>
        <v>0.58482313624588855</v>
      </c>
      <c r="AM34" s="3">
        <f>Table36[[#This Row],[res_measured_Ex_max]]^2</f>
        <v>0.3420181006884771</v>
      </c>
      <c r="AN34">
        <f>Table36[[#This Row],[sqresid]]/((Table36[[#This Row],[DIP_E]]-AVERAGE(Table36[test_SRP_mgl_mean]))^2)</f>
        <v>18.408268658812958</v>
      </c>
      <c r="AO34" s="3">
        <f>Table36[[#This Row],[sqresid]]/LOG(Table36[[#This Row],[test_SRP_mgl_sd]]+1)</f>
        <v>4.4940529126325339</v>
      </c>
      <c r="AP34" cm="1">
        <f t="array" ref="AP34">IF(Table36[[#This Row],[treatment]]="O2",NA,Table36[[#This Row],[test_SRP_mgl_mean]])</f>
        <v>0.40854600000000002</v>
      </c>
      <c r="AQ34" cm="1">
        <f t="array" ref="AQ34">IF(Table36[[#This Row],[treatment]]="O2",NA,Table36[[#This Row],[DIP_E_measured_Ex_Max]])</f>
        <v>0.10627174859340835</v>
      </c>
    </row>
    <row r="35" spans="1:43" hidden="1" x14ac:dyDescent="0.25">
      <c r="A35" t="s">
        <v>62</v>
      </c>
      <c r="B35">
        <v>2</v>
      </c>
      <c r="C35" t="s">
        <v>34</v>
      </c>
      <c r="D35" t="s">
        <v>64</v>
      </c>
      <c r="E35">
        <v>11.7708333333333</v>
      </c>
      <c r="F35">
        <v>3.2248858447488496E-2</v>
      </c>
      <c r="G35">
        <v>0.15793333333333301</v>
      </c>
      <c r="H35">
        <v>0.103897560638672</v>
      </c>
      <c r="I35">
        <v>22.066666666666599</v>
      </c>
      <c r="J35">
        <v>5.0000000000000001E-3</v>
      </c>
      <c r="K35">
        <v>1</v>
      </c>
      <c r="L35">
        <v>0</v>
      </c>
      <c r="M35">
        <v>0</v>
      </c>
      <c r="N35">
        <v>1000</v>
      </c>
      <c r="O35" s="1">
        <v>0.45644743224393503</v>
      </c>
      <c r="P35">
        <v>0.20461676055729</v>
      </c>
      <c r="Q35">
        <v>4.9906568969360299E-2</v>
      </c>
      <c r="R35">
        <v>4.0605580367522771</v>
      </c>
      <c r="S35">
        <v>0.11259085752792974</v>
      </c>
      <c r="T35">
        <v>0.184991182957184</v>
      </c>
      <c r="U35">
        <v>1.13375415833636E-2</v>
      </c>
      <c r="V35">
        <v>0.15</v>
      </c>
      <c r="W35">
        <v>0.97034999999999993</v>
      </c>
      <c r="X35">
        <f>31*EXP(5.81244 + 0.25773*LN(Table36[[#This Row],[k_LOI]]) +
                   0.32107*LN((1-Table36[[#This Row],[k_LOI]])*Table36[[#This Row],[k_f_fines]]))/1000</f>
        <v>6.338147906376089</v>
      </c>
      <c r="Y35" s="6">
        <v>1.4371771734578955</v>
      </c>
      <c r="Z35" s="6">
        <v>1.4372001944514583</v>
      </c>
      <c r="AA35" s="6">
        <v>1.4372001944514583</v>
      </c>
      <c r="AB35" s="6">
        <v>1.4372001944514583</v>
      </c>
      <c r="AC35" s="6">
        <f>(((1-Table36[[#This Row],[k_PSR]])*Table36[[#This Row],[k_Ex_max]])/Table36[[#This Row],[k_PSR]])</f>
        <v>17.889450454690738</v>
      </c>
      <c r="AD35" s="6">
        <f>((1-Table36[[#This Row],[k_PSR]])*Table36[[#This Row],[k_Ex_max]])</f>
        <v>3.3093906020671731</v>
      </c>
      <c r="AE35">
        <f>IF(Table36[[#This Row],[treatment]]="O2",AY$2,AY$3)</f>
        <v>1.0000294868557681E-3</v>
      </c>
      <c r="AF35" s="3">
        <f>(Table36[[#This Row],[k_Ex_max]]*Table36[[#This Row],[k_PSR]])/((Table36[[#This Row],[k_Ex_max]]-Table36[[#This Row],[k_PSR]]*Table36[[#This Row],[k_Ex_max]])*1.04)</f>
        <v>0.21825056826285372</v>
      </c>
      <c r="AG35" s="4">
        <f>IF(Table36[[#This Row],[treatment]]="O2",AX$2*Table36[[#This Row],[k_E_opt3]]^(-AY$2),AX$3*Table36[[#This Row],[k_E_opt3]]^(-AY$3))</f>
        <v>2.9769571520230752E-2</v>
      </c>
      <c r="AH35" s="4">
        <f>(Table36[[#This Row],[k_Ex_max_modeled]]*Table36[[#This Row],[k_PSR]])/((Table36[[#This Row],[k_Ex_max_modeled]]-Table36[[#This Row],[k_PSR]]*Table36[[#This Row],[k_Ex_max_modeled]]))</f>
        <v>0.22698059099336787</v>
      </c>
      <c r="AI35" s="3">
        <f>Table36[[#This Row],[test_SRP_mgl_mean]]-Table36[[#This Row],[DIP_E]]</f>
        <v>-6.0317234929520708E-2</v>
      </c>
      <c r="AJ35" s="3">
        <f>LOG(Table36[[#This Row],[test_SRP_mgl_mean]])-LOG(Table36[[#This Row],[DIP_E_measured_Ex_Max]])</f>
        <v>0.72470121786814368</v>
      </c>
      <c r="AK35" s="3">
        <f>(G35-AH35)</f>
        <v>-6.9047257660034861E-2</v>
      </c>
      <c r="AL35" s="3">
        <f>ABS(Table36[[#This Row],[res_measured_Ex_max]])</f>
        <v>0.72470121786814368</v>
      </c>
      <c r="AM35" s="3">
        <f>Table36[[#This Row],[res_measured_Ex_max]]^2</f>
        <v>0.52519185517957068</v>
      </c>
      <c r="AN35">
        <f>Table36[[#This Row],[sqresid]]/((Table36[[#This Row],[DIP_E]]-AVERAGE(Table36[test_SRP_mgl_mean]))^2)</f>
        <v>28.267137757050428</v>
      </c>
      <c r="AO35" s="3">
        <f>Table36[[#This Row],[sqresid]]/LOG(Table36[[#This Row],[test_SRP_mgl_sd]]+1)</f>
        <v>12.234028845753889</v>
      </c>
      <c r="AP35" t="e" cm="1">
        <f t="array" ref="AP35">IF(Table36[[#This Row],[treatment]]="O2",NA,Table36[[#This Row],[test_SRP_mgl_mean]])</f>
        <v>#NAME?</v>
      </c>
      <c r="AQ35" t="e" cm="1">
        <f t="array" ref="AQ35">IF(Table36[[#This Row],[treatment]]="O2",NA,Table36[[#This Row],[DIP_E_measured_Ex_Max]])</f>
        <v>#NAME?</v>
      </c>
    </row>
    <row r="36" spans="1:43" x14ac:dyDescent="0.25">
      <c r="A36" t="s">
        <v>62</v>
      </c>
      <c r="B36">
        <v>4</v>
      </c>
      <c r="C36" t="s">
        <v>29</v>
      </c>
      <c r="D36" t="s">
        <v>65</v>
      </c>
      <c r="E36">
        <v>12.2518939393939</v>
      </c>
      <c r="F36">
        <v>3.3566832710668223E-2</v>
      </c>
      <c r="G36">
        <v>0.14547490909090899</v>
      </c>
      <c r="H36">
        <v>8.70951850235758E-2</v>
      </c>
      <c r="I36">
        <v>17.899999999999999</v>
      </c>
      <c r="J36">
        <v>5.0000000000000001E-3</v>
      </c>
      <c r="K36">
        <v>1</v>
      </c>
      <c r="L36">
        <v>0</v>
      </c>
      <c r="M36">
        <v>0</v>
      </c>
      <c r="N36">
        <v>1000</v>
      </c>
      <c r="O36" s="1">
        <v>0.720683304602866</v>
      </c>
      <c r="P36">
        <v>0.17104405728785901</v>
      </c>
      <c r="Q36">
        <v>0.12847847027488801</v>
      </c>
      <c r="R36">
        <v>3.776126819230984</v>
      </c>
      <c r="S36">
        <v>4.1539490839849071E-2</v>
      </c>
      <c r="T36">
        <v>0.13352646463204901</v>
      </c>
      <c r="U36">
        <v>2.78908786219903E-3</v>
      </c>
      <c r="V36">
        <v>7.4999999999999997E-2</v>
      </c>
      <c r="W36" s="6">
        <v>0.75914999999999999</v>
      </c>
      <c r="X36" s="6">
        <f>31*EXP(5.81244 + 0.25773*LN(Table36[[#This Row],[k_LOI]]) +
                   0.32107*LN((1-Table36[[#This Row],[k_LOI]])*Table36[[#This Row],[k_f_fines]]))/1000</f>
        <v>5.6681444332705997</v>
      </c>
      <c r="Y36" s="6">
        <v>1.0593093246795384</v>
      </c>
      <c r="Z36" s="6">
        <v>1.0593102388021181</v>
      </c>
      <c r="AA36" s="6">
        <v>1.0593102388021181</v>
      </c>
      <c r="AB36" s="6">
        <v>1.0593102388021181</v>
      </c>
      <c r="AC36" s="6">
        <f>(((1-Table36[[#This Row],[k_PSR]])*Table36[[#This Row],[k_Ex_max]])/Table36[[#This Row],[k_PSR]])</f>
        <v>24.503861193906591</v>
      </c>
      <c r="AD36" s="6">
        <f>((1-Table36[[#This Row],[k_PSR]])*Table36[[#This Row],[k_Ex_max]])</f>
        <v>3.2719139550568066</v>
      </c>
      <c r="AE36">
        <f>IF(Table36[[#This Row],[treatment]]="O2",AY$2,AY$3)</f>
        <v>1.0035536233050284E-3</v>
      </c>
      <c r="AF36" s="3">
        <f>(Table36[[#This Row],[k_Ex_max]]*Table36[[#This Row],[k_PSR]])/((Table36[[#This Row],[k_Ex_max]]-Table36[[#This Row],[k_PSR]]*Table36[[#This Row],[k_Ex_max]])*1.04)</f>
        <v>0.14817628714124381</v>
      </c>
      <c r="AG36" s="4">
        <f>IF(Table36[[#This Row],[treatment]]="O2",AX$2*Table36[[#This Row],[k_E_opt3]]^(-AY$2),AX$3*Table36[[#This Row],[k_E_opt3]]^(-AY$3))</f>
        <v>0.10627296322429636</v>
      </c>
      <c r="AH36" s="4">
        <f>(Table36[[#This Row],[k_Ex_max_modeled]]*Table36[[#This Row],[k_PSR]])/((Table36[[#This Row],[k_Ex_max_modeled]]-Table36[[#This Row],[k_PSR]]*Table36[[#This Row],[k_Ex_max_modeled]]))</f>
        <v>0.15410333862689357</v>
      </c>
      <c r="AI36" s="3">
        <f>Table36[[#This Row],[test_SRP_mgl_mean]]-Table36[[#This Row],[DIP_E]]</f>
        <v>-2.7013780503348239E-3</v>
      </c>
      <c r="AJ36" s="3">
        <f>LOG(Table36[[#This Row],[test_SRP_mgl_mean]])-LOG(Table36[[#This Row],[DIP_E_measured_Ex_Max]])</f>
        <v>0.13636530422646298</v>
      </c>
      <c r="AK36" s="3">
        <f>(G36-AH36)</f>
        <v>-8.6284295359845831E-3</v>
      </c>
      <c r="AL36" s="3">
        <f>ABS(Table36[[#This Row],[res_measured_Ex_max]])</f>
        <v>0.13636530422646298</v>
      </c>
      <c r="AM36" s="3">
        <f>Table36[[#This Row],[res_measured_Ex_max]]^2</f>
        <v>1.8595496196775804E-2</v>
      </c>
      <c r="AN36">
        <f>Table36[[#This Row],[sqresid]]/((Table36[[#This Row],[DIP_E]]-AVERAGE(Table36[test_SRP_mgl_mean]))^2)</f>
        <v>0.4365834585642836</v>
      </c>
      <c r="AO36" s="3">
        <f>Table36[[#This Row],[sqresid]]/LOG(Table36[[#This Row],[test_SRP_mgl_sd]]+1)</f>
        <v>0.51273065957076081</v>
      </c>
      <c r="AP36" cm="1">
        <f t="array" ref="AP36">IF(Table36[[#This Row],[treatment]]="O2",NA,Table36[[#This Row],[test_SRP_mgl_mean]])</f>
        <v>0.14547490909090899</v>
      </c>
      <c r="AQ36" cm="1">
        <f t="array" ref="AQ36">IF(Table36[[#This Row],[treatment]]="O2",NA,Table36[[#This Row],[DIP_E_measured_Ex_Max]])</f>
        <v>0.10627296322429636</v>
      </c>
    </row>
    <row r="37" spans="1:43" hidden="1" x14ac:dyDescent="0.25">
      <c r="A37" t="s">
        <v>62</v>
      </c>
      <c r="B37">
        <v>4</v>
      </c>
      <c r="C37" t="s">
        <v>34</v>
      </c>
      <c r="D37" t="s">
        <v>65</v>
      </c>
      <c r="E37">
        <v>12.1197916666666</v>
      </c>
      <c r="F37">
        <v>3.3204908675798908E-2</v>
      </c>
      <c r="G37">
        <v>2.2903E-2</v>
      </c>
      <c r="H37">
        <v>1.08808549797756E-2</v>
      </c>
      <c r="I37">
        <v>17.899999999999999</v>
      </c>
      <c r="J37">
        <v>5.0000000000000001E-3</v>
      </c>
      <c r="K37">
        <v>1</v>
      </c>
      <c r="L37">
        <v>0</v>
      </c>
      <c r="M37">
        <v>0</v>
      </c>
      <c r="N37">
        <v>1000</v>
      </c>
      <c r="O37" s="1">
        <v>0.720683304602866</v>
      </c>
      <c r="P37">
        <v>0.17104405728785901</v>
      </c>
      <c r="Q37">
        <v>0.12847847027488801</v>
      </c>
      <c r="R37">
        <v>3.776126819230984</v>
      </c>
      <c r="S37">
        <v>4.1539490839849071E-2</v>
      </c>
      <c r="T37">
        <v>0.13352646463204901</v>
      </c>
      <c r="U37">
        <v>2.78908786219903E-3</v>
      </c>
      <c r="V37">
        <v>7.4999999999999997E-2</v>
      </c>
      <c r="W37">
        <v>0.75914999999999999</v>
      </c>
      <c r="X37">
        <f>31*EXP(5.81244 + 0.25773*LN(Table36[[#This Row],[k_LOI]]) +
                   0.32107*LN((1-Table36[[#This Row],[k_LOI]])*Table36[[#This Row],[k_f_fines]]))/1000</f>
        <v>5.6681444332705997</v>
      </c>
      <c r="Y37" s="6">
        <v>6.7323758892543681</v>
      </c>
      <c r="Z37" s="6">
        <v>6.7301009968132446</v>
      </c>
      <c r="AA37" s="6">
        <v>6.7301009968132446</v>
      </c>
      <c r="AB37" s="6">
        <v>6.7301009968132446</v>
      </c>
      <c r="AC37" s="6">
        <f>(((1-Table36[[#This Row],[k_PSR]])*Table36[[#This Row],[k_Ex_max]])/Table36[[#This Row],[k_PSR]])</f>
        <v>24.503861193906591</v>
      </c>
      <c r="AD37" s="6">
        <f>((1-Table36[[#This Row],[k_PSR]])*Table36[[#This Row],[k_Ex_max]])</f>
        <v>3.2719139550568066</v>
      </c>
      <c r="AE37">
        <f>IF(Table36[[#This Row],[treatment]]="O2",AY$2,AY$3)</f>
        <v>1.0000294868557681E-3</v>
      </c>
      <c r="AF37" s="3">
        <f>(Table36[[#This Row],[k_Ex_max]]*Table36[[#This Row],[k_PSR]])/((Table36[[#This Row],[k_Ex_max]]-Table36[[#This Row],[k_PSR]]*Table36[[#This Row],[k_Ex_max]])*1.04)</f>
        <v>0.14817628714124381</v>
      </c>
      <c r="AG37" s="4">
        <f>IF(Table36[[#This Row],[treatment]]="O2",AX$2*Table36[[#This Row],[k_E_opt3]]^(-AY$2),AX$3*Table36[[#This Row],[k_E_opt3]]^(-AY$3))</f>
        <v>2.9769910576119857E-2</v>
      </c>
      <c r="AH37" s="4">
        <f>(Table36[[#This Row],[k_Ex_max_modeled]]*Table36[[#This Row],[k_PSR]])/((Table36[[#This Row],[k_Ex_max_modeled]]-Table36[[#This Row],[k_PSR]]*Table36[[#This Row],[k_Ex_max_modeled]]))</f>
        <v>0.15410333862689357</v>
      </c>
      <c r="AI37" s="3">
        <f>Table36[[#This Row],[test_SRP_mgl_mean]]-Table36[[#This Row],[DIP_E]]</f>
        <v>-0.12527328714124381</v>
      </c>
      <c r="AJ37" s="3">
        <f>LOG(Table36[[#This Row],[test_SRP_mgl_mean]])-LOG(Table36[[#This Row],[DIP_E_measured_Ex_Max]])</f>
        <v>-0.11388515701288626</v>
      </c>
      <c r="AK37" s="3">
        <f>(G37-AH37)</f>
        <v>-0.13120033862689356</v>
      </c>
      <c r="AL37" s="3">
        <f>ABS(Table36[[#This Row],[res_measured_Ex_max]])</f>
        <v>0.11388515701288626</v>
      </c>
      <c r="AM37" s="3">
        <f>Table36[[#This Row],[res_measured_Ex_max]]^2</f>
        <v>1.2969828987849758E-2</v>
      </c>
      <c r="AN37">
        <f>Table36[[#This Row],[sqresid]]/((Table36[[#This Row],[DIP_E]]-AVERAGE(Table36[test_SRP_mgl_mean]))^2)</f>
        <v>0.30450452822466395</v>
      </c>
      <c r="AO37" s="3">
        <f>Table36[[#This Row],[sqresid]]/LOG(Table36[[#This Row],[test_SRP_mgl_sd]]+1)</f>
        <v>2.7595547916291552</v>
      </c>
      <c r="AP37" t="e" cm="1">
        <f t="array" ref="AP37">IF(Table36[[#This Row],[treatment]]="O2",NA,Table36[[#This Row],[test_SRP_mgl_mean]])</f>
        <v>#NAME?</v>
      </c>
      <c r="AQ37" t="e" cm="1">
        <f t="array" ref="AQ37">IF(Table36[[#This Row],[treatment]]="O2",NA,Table36[[#This Row],[DIP_E_measured_Ex_Max]])</f>
        <v>#NAME?</v>
      </c>
    </row>
    <row r="38" spans="1:43" x14ac:dyDescent="0.25">
      <c r="A38" t="s">
        <v>66</v>
      </c>
      <c r="B38">
        <v>2</v>
      </c>
      <c r="C38" t="s">
        <v>29</v>
      </c>
      <c r="D38" t="s">
        <v>67</v>
      </c>
      <c r="E38">
        <v>12.8680555555555</v>
      </c>
      <c r="F38">
        <v>3.5254946727549315E-2</v>
      </c>
      <c r="G38">
        <v>0.89026836356883798</v>
      </c>
      <c r="H38">
        <v>0.53235413461535896</v>
      </c>
      <c r="I38">
        <v>21.6</v>
      </c>
      <c r="J38">
        <v>1.03E-2</v>
      </c>
      <c r="K38">
        <v>1</v>
      </c>
      <c r="L38">
        <v>0</v>
      </c>
      <c r="M38">
        <v>0</v>
      </c>
      <c r="N38">
        <v>1000</v>
      </c>
      <c r="O38" s="1">
        <v>0.83619163140850095</v>
      </c>
      <c r="P38">
        <v>9.8744225439590202E-2</v>
      </c>
      <c r="Q38">
        <v>7.2381750227843798E-3</v>
      </c>
      <c r="R38">
        <v>3.5806270613067741</v>
      </c>
      <c r="S38">
        <v>0.19089374327359604</v>
      </c>
      <c r="T38">
        <v>0.15529312339863599</v>
      </c>
      <c r="U38">
        <v>1.42998448437739E-3</v>
      </c>
      <c r="V38">
        <v>0.1125</v>
      </c>
      <c r="W38" s="6">
        <v>0.94299999999999995</v>
      </c>
      <c r="X38" s="6">
        <f>31*EXP(5.81244 + 0.25773*LN(Table36[[#This Row],[k_LOI]]) +
                   0.32107*LN((1-Table36[[#This Row],[k_LOI]])*Table36[[#This Row],[k_f_fines]]))/1000</f>
        <v>5.4181041685878082</v>
      </c>
      <c r="Y38" s="6">
        <v>0.20650245450328189</v>
      </c>
      <c r="Z38" s="6">
        <v>0.20650236659178511</v>
      </c>
      <c r="AA38" s="6">
        <v>0.20650236659178511</v>
      </c>
      <c r="AB38" s="6">
        <v>0.20650236659178511</v>
      </c>
      <c r="AC38" s="6">
        <f>(((1-Table36[[#This Row],[k_PSR]])*Table36[[#This Row],[k_Ex_max]])/Table36[[#This Row],[k_PSR]])</f>
        <v>19.47658875703528</v>
      </c>
      <c r="AD38" s="6">
        <f>((1-Table36[[#This Row],[k_PSR]])*Table36[[#This Row],[k_Ex_max]])</f>
        <v>3.0245803012307659</v>
      </c>
      <c r="AE38">
        <f>IF(Table36[[#This Row],[treatment]]="O2",AY$2,AY$3)</f>
        <v>1.0035536233050284E-3</v>
      </c>
      <c r="AF38" s="3">
        <f>(Table36[[#This Row],[k_Ex_max]]*Table36[[#This Row],[k_PSR]])/((Table36[[#This Row],[k_Ex_max]]-Table36[[#This Row],[k_PSR]]*Table36[[#This Row],[k_Ex_max]])*1.04)</f>
        <v>0.17677174780559346</v>
      </c>
      <c r="AG38" s="4">
        <f>IF(Table36[[#This Row],[treatment]]="O2",AX$2*Table36[[#This Row],[k_E_opt3]]^(-AY$2),AX$3*Table36[[#This Row],[k_E_opt3]]^(-AY$3))</f>
        <v>0.10628134659022451</v>
      </c>
      <c r="AH38" s="4">
        <f>(Table36[[#This Row],[k_Ex_max_modeled]]*Table36[[#This Row],[k_PSR]])/((Table36[[#This Row],[k_Ex_max_modeled]]-Table36[[#This Row],[k_PSR]]*Table36[[#This Row],[k_Ex_max_modeled]]))</f>
        <v>0.18384261771781724</v>
      </c>
      <c r="AI38" s="3">
        <f>Table36[[#This Row],[test_SRP_mgl_mean]]-Table36[[#This Row],[DIP_E]]</f>
        <v>0.71349661576324452</v>
      </c>
      <c r="AJ38" s="3">
        <f>LOG(Table36[[#This Row],[test_SRP_mgl_mean]])-LOG(Table36[[#This Row],[DIP_E_measured_Ex_Max]])</f>
        <v>0.92306389232565478</v>
      </c>
      <c r="AK38" s="3">
        <f>(G38-AH38)</f>
        <v>0.7064257458510208</v>
      </c>
      <c r="AL38" s="3">
        <f>ABS(Table36[[#This Row],[res_measured_Ex_max]])</f>
        <v>0.92306389232565478</v>
      </c>
      <c r="AM38" s="3">
        <f>Table36[[#This Row],[res_measured_Ex_max]]^2</f>
        <v>0.85204694931538805</v>
      </c>
      <c r="AN38">
        <f>Table36[[#This Row],[sqresid]]/((Table36[[#This Row],[DIP_E]]-AVERAGE(Table36[test_SRP_mgl_mean]))^2)</f>
        <v>26.956867075176799</v>
      </c>
      <c r="AO38" s="3">
        <f>Table36[[#This Row],[sqresid]]/LOG(Table36[[#This Row],[test_SRP_mgl_sd]]+1)</f>
        <v>4.5967354436400685</v>
      </c>
      <c r="AP38" cm="1">
        <f t="array" ref="AP38">IF(Table36[[#This Row],[treatment]]="O2",NA,Table36[[#This Row],[test_SRP_mgl_mean]])</f>
        <v>0.89026836356883798</v>
      </c>
      <c r="AQ38" cm="1">
        <f t="array" ref="AQ38">IF(Table36[[#This Row],[treatment]]="O2",NA,Table36[[#This Row],[DIP_E_measured_Ex_Max]])</f>
        <v>0.10628134659022451</v>
      </c>
    </row>
    <row r="39" spans="1:43" hidden="1" x14ac:dyDescent="0.25">
      <c r="A39" t="s">
        <v>66</v>
      </c>
      <c r="B39">
        <v>2</v>
      </c>
      <c r="C39" t="s">
        <v>34</v>
      </c>
      <c r="D39" t="s">
        <v>67</v>
      </c>
      <c r="E39">
        <v>12.8638888888888</v>
      </c>
      <c r="F39">
        <v>3.524353120243507E-2</v>
      </c>
      <c r="G39">
        <v>0.43789400000000001</v>
      </c>
      <c r="H39">
        <v>0.24654983032441899</v>
      </c>
      <c r="I39">
        <v>21.7</v>
      </c>
      <c r="J39">
        <v>1.03E-2</v>
      </c>
      <c r="K39">
        <v>1</v>
      </c>
      <c r="L39">
        <v>0</v>
      </c>
      <c r="M39">
        <v>0</v>
      </c>
      <c r="N39">
        <v>1000</v>
      </c>
      <c r="O39" s="1">
        <v>0.83619163140850095</v>
      </c>
      <c r="P39">
        <v>9.8744225439590202E-2</v>
      </c>
      <c r="Q39">
        <v>7.2381750227843798E-3</v>
      </c>
      <c r="R39">
        <v>3.5806270613067741</v>
      </c>
      <c r="S39">
        <v>0.19089374327359604</v>
      </c>
      <c r="T39">
        <v>0.15529312339863599</v>
      </c>
      <c r="U39">
        <v>1.42998448437739E-3</v>
      </c>
      <c r="V39">
        <v>0.1125</v>
      </c>
      <c r="W39">
        <v>0.94299999999999995</v>
      </c>
      <c r="X39">
        <f>31*EXP(5.81244 + 0.25773*LN(Table36[[#This Row],[k_LOI]]) +
                   0.32107*LN((1-Table36[[#This Row],[k_LOI]])*Table36[[#This Row],[k_f_fines]]))/1000</f>
        <v>5.4181041685878082</v>
      </c>
      <c r="Y39" s="6">
        <v>0.4198329943584681</v>
      </c>
      <c r="Z39" s="6">
        <v>0.41983259314491694</v>
      </c>
      <c r="AA39" s="6">
        <v>0.41983259314491694</v>
      </c>
      <c r="AB39" s="6">
        <v>0.41983259314491694</v>
      </c>
      <c r="AC39" s="6">
        <f>(((1-Table36[[#This Row],[k_PSR]])*Table36[[#This Row],[k_Ex_max]])/Table36[[#This Row],[k_PSR]])</f>
        <v>19.47658875703528</v>
      </c>
      <c r="AD39" s="6">
        <f>((1-Table36[[#This Row],[k_PSR]])*Table36[[#This Row],[k_Ex_max]])</f>
        <v>3.0245803012307659</v>
      </c>
      <c r="AE39">
        <f>IF(Table36[[#This Row],[treatment]]="O2",AY$2,AY$3)</f>
        <v>1.0000294868557681E-3</v>
      </c>
      <c r="AF39" s="3">
        <f>(Table36[[#This Row],[k_Ex_max]]*Table36[[#This Row],[k_PSR]])/((Table36[[#This Row],[k_Ex_max]]-Table36[[#This Row],[k_PSR]]*Table36[[#This Row],[k_Ex_max]])*1.04)</f>
        <v>0.17677174780559346</v>
      </c>
      <c r="AG39" s="4">
        <f>IF(Table36[[#This Row],[treatment]]="O2",AX$2*Table36[[#This Row],[k_E_opt3]]^(-AY$2),AX$3*Table36[[#This Row],[k_E_opt3]]^(-AY$3))</f>
        <v>2.9772250734900425E-2</v>
      </c>
      <c r="AH39" s="4">
        <f>(Table36[[#This Row],[k_Ex_max_modeled]]*Table36[[#This Row],[k_PSR]])/((Table36[[#This Row],[k_Ex_max_modeled]]-Table36[[#This Row],[k_PSR]]*Table36[[#This Row],[k_Ex_max_modeled]]))</f>
        <v>0.18384261771781724</v>
      </c>
      <c r="AI39" s="3">
        <f>Table36[[#This Row],[test_SRP_mgl_mean]]-Table36[[#This Row],[DIP_E]]</f>
        <v>0.26112225219440655</v>
      </c>
      <c r="AJ39" s="3">
        <f>LOG(Table36[[#This Row],[test_SRP_mgl_mean]])-LOG(Table36[[#This Row],[DIP_E_measured_Ex_Max]])</f>
        <v>1.1675573266919756</v>
      </c>
      <c r="AK39" s="3">
        <f>(G39-AH39)</f>
        <v>0.25405138228218277</v>
      </c>
      <c r="AL39" s="3">
        <f>ABS(Table36[[#This Row],[res_measured_Ex_max]])</f>
        <v>1.1675573266919756</v>
      </c>
      <c r="AM39" s="3">
        <f>Table36[[#This Row],[res_measured_Ex_max]]^2</f>
        <v>1.3631901111121127</v>
      </c>
      <c r="AN39">
        <f>Table36[[#This Row],[sqresid]]/((Table36[[#This Row],[DIP_E]]-AVERAGE(Table36[test_SRP_mgl_mean]))^2)</f>
        <v>43.128297863129326</v>
      </c>
      <c r="AO39" s="3">
        <f>Table36[[#This Row],[sqresid]]/LOG(Table36[[#This Row],[test_SRP_mgl_sd]]+1)</f>
        <v>14.242975473505227</v>
      </c>
      <c r="AP39" t="e" cm="1">
        <f t="array" ref="AP39">IF(Table36[[#This Row],[treatment]]="O2",NA,Table36[[#This Row],[test_SRP_mgl_mean]])</f>
        <v>#NAME?</v>
      </c>
      <c r="AQ39" t="e" cm="1">
        <f t="array" ref="AQ39">IF(Table36[[#This Row],[treatment]]="O2",NA,Table36[[#This Row],[DIP_E_measured_Ex_Max]])</f>
        <v>#NAME?</v>
      </c>
    </row>
    <row r="40" spans="1:43" x14ac:dyDescent="0.25">
      <c r="A40" t="s">
        <v>68</v>
      </c>
      <c r="B40">
        <v>3</v>
      </c>
      <c r="C40" t="s">
        <v>29</v>
      </c>
      <c r="D40" t="s">
        <v>69</v>
      </c>
      <c r="E40">
        <v>12.876388888888799</v>
      </c>
      <c r="F40">
        <v>3.5277777777777533E-2</v>
      </c>
      <c r="G40">
        <v>0.11901766666666599</v>
      </c>
      <c r="H40">
        <v>9.6459006859563504E-2</v>
      </c>
      <c r="I40">
        <v>21.6</v>
      </c>
      <c r="J40">
        <v>1.03E-2</v>
      </c>
      <c r="K40">
        <v>1</v>
      </c>
      <c r="L40">
        <v>0</v>
      </c>
      <c r="M40">
        <v>0</v>
      </c>
      <c r="N40">
        <v>1000</v>
      </c>
      <c r="O40" s="1">
        <v>0.27291281497053699</v>
      </c>
      <c r="P40">
        <v>0.24224264282813901</v>
      </c>
      <c r="Q40">
        <v>4.2811459725728501E-2</v>
      </c>
      <c r="R40">
        <v>4.4005962750184242</v>
      </c>
      <c r="S40">
        <v>1.0383022381795834</v>
      </c>
      <c r="T40">
        <v>0.15695668619810199</v>
      </c>
      <c r="U40">
        <v>4.3052799773330701E-2</v>
      </c>
      <c r="V40">
        <v>0.16250000000000001</v>
      </c>
      <c r="W40" s="6">
        <v>0.97160000000000024</v>
      </c>
      <c r="X40" s="6">
        <f>31*EXP(5.81244 + 0.25773*LN(Table36[[#This Row],[k_LOI]]) +
                   0.32107*LN((1-Table36[[#This Row],[k_LOI]])*Table36[[#This Row],[k_f_fines]]))/1000</f>
        <v>6.5204651927738171</v>
      </c>
      <c r="Y40" s="6">
        <v>1.5643178241139997</v>
      </c>
      <c r="Z40" s="6">
        <v>1.5643372846674373</v>
      </c>
      <c r="AA40" s="6">
        <v>1.5643372846674373</v>
      </c>
      <c r="AB40" s="6">
        <v>1.5643372846674373</v>
      </c>
      <c r="AC40" s="6">
        <f>(((1-Table36[[#This Row],[k_PSR]])*Table36[[#This Row],[k_Ex_max]])/Table36[[#This Row],[k_PSR]])</f>
        <v>23.636414327156476</v>
      </c>
      <c r="AD40" s="6">
        <f>((1-Table36[[#This Row],[k_PSR]])*Table36[[#This Row],[k_Ex_max]])</f>
        <v>3.7098932663958211</v>
      </c>
      <c r="AE40">
        <f>IF(Table36[[#This Row],[treatment]]="O2",AY$2,AY$3)</f>
        <v>1.0035536233050284E-3</v>
      </c>
      <c r="AF40" s="3">
        <f>(Table36[[#This Row],[k_Ex_max]]*Table36[[#This Row],[k_PSR]])/((Table36[[#This Row],[k_Ex_max]]-Table36[[#This Row],[k_PSR]]*Table36[[#This Row],[k_Ex_max]])*1.04)</f>
        <v>0.17901795566646517</v>
      </c>
      <c r="AG40" s="4">
        <f>IF(Table36[[#This Row],[treatment]]="O2",AX$2*Table36[[#This Row],[k_E_opt3]]^(-AY$2),AX$3*Table36[[#This Row],[k_E_opt3]]^(-AY$3))</f>
        <v>0.10625956576659507</v>
      </c>
      <c r="AH40" s="4">
        <f>(Table36[[#This Row],[k_Ex_max_modeled]]*Table36[[#This Row],[k_PSR]])/((Table36[[#This Row],[k_Ex_max_modeled]]-Table36[[#This Row],[k_PSR]]*Table36[[#This Row],[k_Ex_max_modeled]]))</f>
        <v>0.18617867389312381</v>
      </c>
      <c r="AI40" s="3">
        <f>Table36[[#This Row],[test_SRP_mgl_mean]]-Table36[[#This Row],[DIP_E]]</f>
        <v>-6.0000288999799173E-2</v>
      </c>
      <c r="AJ40" s="3">
        <f>LOG(Table36[[#This Row],[test_SRP_mgl_mean]])-LOG(Table36[[#This Row],[DIP_E_measured_Ex_Max]])</f>
        <v>4.9243394880321478E-2</v>
      </c>
      <c r="AK40" s="3">
        <f>(G40-AH40)</f>
        <v>-6.716100722645782E-2</v>
      </c>
      <c r="AL40" s="3">
        <f>ABS(Table36[[#This Row],[res_measured_Ex_max]])</f>
        <v>4.9243394880321478E-2</v>
      </c>
      <c r="AM40" s="3">
        <f>Table36[[#This Row],[res_measured_Ex_max]]^2</f>
        <v>2.4249119393392714E-3</v>
      </c>
      <c r="AN40">
        <f>Table36[[#This Row],[sqresid]]/((Table36[[#This Row],[DIP_E]]-AVERAGE(Table36[test_SRP_mgl_mean]))^2)</f>
        <v>7.8694763448471372E-2</v>
      </c>
      <c r="AO40" s="3">
        <f>Table36[[#This Row],[sqresid]]/LOG(Table36[[#This Row],[test_SRP_mgl_sd]]+1)</f>
        <v>6.0634319887143066E-2</v>
      </c>
      <c r="AP40" cm="1">
        <f t="array" ref="AP40">IF(Table36[[#This Row],[treatment]]="O2",NA,Table36[[#This Row],[test_SRP_mgl_mean]])</f>
        <v>0.11901766666666599</v>
      </c>
      <c r="AQ40" cm="1">
        <f t="array" ref="AQ40">IF(Table36[[#This Row],[treatment]]="O2",NA,Table36[[#This Row],[DIP_E_measured_Ex_Max]])</f>
        <v>0.10625956576659507</v>
      </c>
    </row>
    <row r="41" spans="1:43" hidden="1" x14ac:dyDescent="0.25">
      <c r="A41" t="s">
        <v>68</v>
      </c>
      <c r="B41">
        <v>3</v>
      </c>
      <c r="C41" t="s">
        <v>34</v>
      </c>
      <c r="D41" t="s">
        <v>69</v>
      </c>
      <c r="E41">
        <v>12.8722222222222</v>
      </c>
      <c r="F41">
        <v>3.5266362252663566E-2</v>
      </c>
      <c r="G41">
        <v>4.3287730423837101E-2</v>
      </c>
      <c r="H41">
        <v>7.2523917906564704E-3</v>
      </c>
      <c r="I41">
        <v>21.7</v>
      </c>
      <c r="J41">
        <v>1.03E-2</v>
      </c>
      <c r="K41">
        <v>1</v>
      </c>
      <c r="L41">
        <v>0</v>
      </c>
      <c r="M41">
        <v>0</v>
      </c>
      <c r="N41">
        <v>1000</v>
      </c>
      <c r="O41" s="1">
        <v>0.27291281497053699</v>
      </c>
      <c r="P41">
        <v>0.24224264282813901</v>
      </c>
      <c r="Q41">
        <v>4.2811459725728501E-2</v>
      </c>
      <c r="R41">
        <v>4.4005962750184242</v>
      </c>
      <c r="S41">
        <v>1.0383022381795834</v>
      </c>
      <c r="T41">
        <v>0.15695668619810199</v>
      </c>
      <c r="U41">
        <v>4.3052799773330701E-2</v>
      </c>
      <c r="V41">
        <v>0.16250000000000001</v>
      </c>
      <c r="W41">
        <v>0.97160000000000024</v>
      </c>
      <c r="X41">
        <f>31*EXP(5.81244 + 0.25773*LN(Table36[[#This Row],[k_LOI]]) +
                   0.32107*LN((1-Table36[[#This Row],[k_LOI]])*Table36[[#This Row],[k_f_fines]]))/1000</f>
        <v>6.5204651927738171</v>
      </c>
      <c r="Y41" s="6">
        <v>4.2997855030709955</v>
      </c>
      <c r="Z41" s="6">
        <v>4.3015250416266628</v>
      </c>
      <c r="AA41" s="6">
        <v>4.3015250416266628</v>
      </c>
      <c r="AB41" s="6">
        <v>4.3015250416266628</v>
      </c>
      <c r="AC41" s="6">
        <f>(((1-Table36[[#This Row],[k_PSR]])*Table36[[#This Row],[k_Ex_max]])/Table36[[#This Row],[k_PSR]])</f>
        <v>23.636414327156476</v>
      </c>
      <c r="AD41" s="6">
        <f>((1-Table36[[#This Row],[k_PSR]])*Table36[[#This Row],[k_Ex_max]])</f>
        <v>3.7098932663958211</v>
      </c>
      <c r="AE41">
        <f>IF(Table36[[#This Row],[treatment]]="O2",AY$2,AY$3)</f>
        <v>1.0000294868557681E-3</v>
      </c>
      <c r="AF41" s="3">
        <f>(Table36[[#This Row],[k_Ex_max]]*Table36[[#This Row],[k_PSR]])/((Table36[[#This Row],[k_Ex_max]]-Table36[[#This Row],[k_PSR]]*Table36[[#This Row],[k_Ex_max]])*1.04)</f>
        <v>0.17901795566646517</v>
      </c>
      <c r="AG41" s="4">
        <f>IF(Table36[[#This Row],[treatment]]="O2",AX$2*Table36[[#This Row],[k_E_opt3]]^(-AY$2),AX$3*Table36[[#This Row],[k_E_opt3]]^(-AY$3))</f>
        <v>2.9766170766856098E-2</v>
      </c>
      <c r="AH41" s="4">
        <f>(Table36[[#This Row],[k_Ex_max_modeled]]*Table36[[#This Row],[k_PSR]])/((Table36[[#This Row],[k_Ex_max_modeled]]-Table36[[#This Row],[k_PSR]]*Table36[[#This Row],[k_Ex_max_modeled]]))</f>
        <v>0.18617867389312381</v>
      </c>
      <c r="AI41" s="3">
        <f>Table36[[#This Row],[test_SRP_mgl_mean]]-Table36[[#This Row],[DIP_E]]</f>
        <v>-0.13573022524262807</v>
      </c>
      <c r="AJ41" s="3">
        <f>LOG(Table36[[#This Row],[test_SRP_mgl_mean]])-LOG(Table36[[#This Row],[DIP_E_measured_Ex_Max]])</f>
        <v>0.16264184739566678</v>
      </c>
      <c r="AK41" s="3">
        <f>(G41-AH41)</f>
        <v>-0.14289094346928671</v>
      </c>
      <c r="AL41" s="3">
        <f>ABS(Table36[[#This Row],[res_measured_Ex_max]])</f>
        <v>0.16264184739566678</v>
      </c>
      <c r="AM41" s="3">
        <f>Table36[[#This Row],[res_measured_Ex_max]]^2</f>
        <v>2.6452370524275362E-2</v>
      </c>
      <c r="AN41">
        <f>Table36[[#This Row],[sqresid]]/((Table36[[#This Row],[DIP_E]]-AVERAGE(Table36[test_SRP_mgl_mean]))^2)</f>
        <v>0.85844892232514147</v>
      </c>
      <c r="AO41" s="3">
        <f>Table36[[#This Row],[sqresid]]/LOG(Table36[[#This Row],[test_SRP_mgl_sd]]+1)</f>
        <v>8.4288655613617358</v>
      </c>
      <c r="AP41" t="e" cm="1">
        <f t="array" ref="AP41">IF(Table36[[#This Row],[treatment]]="O2",NA,Table36[[#This Row],[test_SRP_mgl_mean]])</f>
        <v>#NAME?</v>
      </c>
      <c r="AQ41" t="e" cm="1">
        <f t="array" ref="AQ41">IF(Table36[[#This Row],[treatment]]="O2",NA,Table36[[#This Row],[DIP_E_measured_Ex_Max]])</f>
        <v>#NAME?</v>
      </c>
    </row>
  </sheetData>
  <phoneticPr fontId="18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580B-CFD6-4226-9BDF-F8AFFD676ED6}">
  <dimension ref="A1:AY41"/>
  <sheetViews>
    <sheetView workbookViewId="0">
      <pane xSplit="4" ySplit="1" topLeftCell="AP2" activePane="bottomRight" state="frozen"/>
      <selection pane="topRight" activeCell="E1" sqref="E1"/>
      <selection pane="bottomLeft" activeCell="A2" sqref="A2"/>
      <selection pane="bottomRight" activeCell="AX14" sqref="AX14"/>
    </sheetView>
  </sheetViews>
  <sheetFormatPr defaultRowHeight="13.8" x14ac:dyDescent="0.25"/>
  <cols>
    <col min="3" max="3" width="10.8984375" customWidth="1"/>
    <col min="4" max="4" width="9.3984375" customWidth="1"/>
    <col min="5" max="5" width="12.09765625" customWidth="1"/>
    <col min="6" max="6" width="10.796875" customWidth="1"/>
    <col min="7" max="7" width="19.796875" customWidth="1"/>
    <col min="8" max="8" width="17.09765625" customWidth="1"/>
    <col min="11" max="11" width="9.5" customWidth="1"/>
    <col min="13" max="13" width="10.8984375" customWidth="1"/>
    <col min="14" max="14" width="9.69921875" customWidth="1"/>
    <col min="16" max="16" width="10.296875" customWidth="1"/>
    <col min="17" max="17" width="11.09765625" customWidth="1"/>
    <col min="18" max="18" width="14" customWidth="1"/>
    <col min="20" max="20" width="10.8984375" customWidth="1"/>
    <col min="22" max="23" width="10.09765625" customWidth="1"/>
    <col min="24" max="26" width="13" customWidth="1"/>
    <col min="28" max="28" width="8.796875" style="5"/>
    <col min="29" max="29" width="10.296875" customWidth="1"/>
    <col min="31" max="31" width="8.796875" style="4"/>
    <col min="32" max="32" width="9.19921875" style="4" bestFit="1" customWidth="1"/>
    <col min="33" max="35" width="9.19921875" customWidth="1"/>
    <col min="44" max="44" width="12.09765625" bestFit="1" customWidth="1"/>
    <col min="48" max="48" width="9.19921875" bestFit="1" customWidth="1"/>
    <col min="49" max="49" width="10.296875" customWidth="1"/>
    <col min="51" max="51" width="13.699218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171</v>
      </c>
      <c r="G1" t="s">
        <v>173</v>
      </c>
      <c r="H1" t="s">
        <v>181</v>
      </c>
      <c r="I1" t="s">
        <v>70</v>
      </c>
      <c r="J1" t="s">
        <v>71</v>
      </c>
      <c r="K1" t="s">
        <v>168</v>
      </c>
      <c r="L1" t="s">
        <v>169</v>
      </c>
      <c r="M1" t="s">
        <v>179</v>
      </c>
      <c r="N1" t="s">
        <v>180</v>
      </c>
      <c r="O1" t="s">
        <v>166</v>
      </c>
      <c r="P1" t="s">
        <v>175</v>
      </c>
      <c r="Q1" t="s">
        <v>170</v>
      </c>
      <c r="R1" t="s">
        <v>176</v>
      </c>
      <c r="S1" t="s">
        <v>177</v>
      </c>
      <c r="T1" t="s">
        <v>178</v>
      </c>
      <c r="U1" t="s">
        <v>167</v>
      </c>
      <c r="V1" t="s">
        <v>174</v>
      </c>
      <c r="W1" t="s">
        <v>197</v>
      </c>
      <c r="X1" t="s">
        <v>184</v>
      </c>
      <c r="Y1" t="s">
        <v>209</v>
      </c>
      <c r="Z1" t="s">
        <v>208</v>
      </c>
      <c r="AA1" t="s">
        <v>207</v>
      </c>
      <c r="AB1" s="5" t="s">
        <v>211</v>
      </c>
      <c r="AC1" t="s">
        <v>185</v>
      </c>
      <c r="AD1" t="s">
        <v>183</v>
      </c>
      <c r="AE1" s="4" t="s">
        <v>203</v>
      </c>
      <c r="AF1" s="4" t="s">
        <v>204</v>
      </c>
      <c r="AG1" t="s">
        <v>202</v>
      </c>
      <c r="AH1" t="s">
        <v>205</v>
      </c>
      <c r="AI1" t="s">
        <v>206</v>
      </c>
      <c r="AJ1" t="s">
        <v>190</v>
      </c>
      <c r="AK1" t="s">
        <v>189</v>
      </c>
      <c r="AL1" t="s">
        <v>192</v>
      </c>
      <c r="AM1" t="s">
        <v>191</v>
      </c>
      <c r="AN1" t="s">
        <v>187</v>
      </c>
      <c r="AO1" t="s">
        <v>188</v>
      </c>
      <c r="AQ1" t="s">
        <v>193</v>
      </c>
      <c r="AR1" t="s">
        <v>194</v>
      </c>
      <c r="AS1" t="s">
        <v>195</v>
      </c>
      <c r="AT1" t="s">
        <v>196</v>
      </c>
      <c r="AV1" t="s">
        <v>184</v>
      </c>
      <c r="AW1" t="s">
        <v>185</v>
      </c>
      <c r="AX1" t="s">
        <v>198</v>
      </c>
      <c r="AY1" t="s">
        <v>199</v>
      </c>
    </row>
    <row r="2" spans="1:51" x14ac:dyDescent="0.25">
      <c r="A2" t="s">
        <v>27</v>
      </c>
      <c r="B2" t="s">
        <v>28</v>
      </c>
      <c r="C2" t="s">
        <v>29</v>
      </c>
      <c r="D2" t="s">
        <v>30</v>
      </c>
      <c r="E2">
        <v>11.2552083333333</v>
      </c>
      <c r="F2">
        <v>3.0836187214611781E-2</v>
      </c>
      <c r="G2">
        <v>1.7717274999999999</v>
      </c>
      <c r="H2">
        <v>0.45097233042338603</v>
      </c>
      <c r="I2">
        <v>19.05</v>
      </c>
      <c r="J2">
        <v>5.0000000000000001E-3</v>
      </c>
      <c r="K2">
        <v>1</v>
      </c>
      <c r="L2">
        <v>0</v>
      </c>
      <c r="M2">
        <v>0</v>
      </c>
      <c r="N2">
        <v>1000</v>
      </c>
      <c r="O2">
        <v>8.3136596765579496E-2</v>
      </c>
      <c r="P2">
        <v>1.55090337472752E-2</v>
      </c>
      <c r="Q2">
        <v>2.7455035888351702</v>
      </c>
      <c r="R2">
        <v>0.15948505238549396</v>
      </c>
      <c r="S2">
        <v>0.40155622273952701</v>
      </c>
      <c r="T2">
        <v>4.5253726186215697E-2</v>
      </c>
      <c r="U2">
        <v>4.2000000000000003E-2</v>
      </c>
      <c r="V2">
        <v>0.49033333333333406</v>
      </c>
      <c r="W2">
        <f>31*EXP(5.81244 + 0.25773*LN(Table3[[#This Row],[k_LOI]]) +
                   0.32107*LN((1-Table3[[#This Row],[k_LOI]])*Table3[[#This Row],[k_f_fines]]))/1000</f>
        <v>4.2246778394897904</v>
      </c>
      <c r="X2" s="3">
        <v>0.37872639307828099</v>
      </c>
      <c r="Y2" s="3">
        <v>0.37872649629214017</v>
      </c>
      <c r="Z2" s="3">
        <v>0.37872649629214</v>
      </c>
      <c r="AA2" s="3">
        <v>0.37872649629214017</v>
      </c>
      <c r="AB2" s="5">
        <f>(Table3[[#This Row],[k_Ex_max]]-Table3[[#This Row],[k_Ex_max]]*Table3[[#This Row],[k_PSR]])/Table3[[#This Row],[k_PSR]]</f>
        <v>4.0916550289658176</v>
      </c>
      <c r="AC2">
        <f>IF(Table3[[#This Row],[treatment]]="O2",AW$2,AW$3)</f>
        <v>1</v>
      </c>
      <c r="AD2" s="3">
        <f>(Table3[[#This Row],[k_Ex_max]]*Table3[[#This Row],[k_PSR]])/((Table3[[#This Row],[k_Ex_max]]-Table3[[#This Row],[k_PSR]]*Table3[[#This Row],[k_Ex_max]])*1.04)</f>
        <v>0.6451930278257455</v>
      </c>
      <c r="AE2" s="4">
        <f>IF(Table3[[#This Row],[treatment]]="O2",AR5*Table3[[#This Row],[k_E_opt3]]^(-1.207),3.7103*Table3[[#This Row],[k_E_opt3]]^-0.898)</f>
        <v>1.0469446323238671</v>
      </c>
      <c r="AF2" s="4">
        <f>(Table3[[#This Row],[k_Ex_max_modeled]]*Table3[[#This Row],[k_PSR]])/((Table3[[#This Row],[k_Ex_max_modeled]]-Table3[[#This Row],[k_PSR]]*Table3[[#This Row],[k_Ex_max_modeled]]))</f>
        <v>0.67100074893877537</v>
      </c>
      <c r="AG2" s="3">
        <f>Table3[[#This Row],[test_SRP_mgl_mean]]-Table3[[#This Row],[DIP_E]]</f>
        <v>1.1265344721742543</v>
      </c>
      <c r="AH2" s="3">
        <f t="shared" ref="AH2:AH41" si="0">(G2-AE2)</f>
        <v>0.72478286767613276</v>
      </c>
      <c r="AI2" s="3">
        <f t="shared" ref="AI2:AI41" si="1">(G2-AF2)</f>
        <v>1.1007267510612246</v>
      </c>
      <c r="AJ2" s="3">
        <f>ABS(Table3[[#This Row],[res_modeled_exmax]])</f>
        <v>1.1007267510612246</v>
      </c>
      <c r="AK2" s="3">
        <f>Table3[[#This Row],[res_measured_Ex_max]]^2</f>
        <v>0.52531020527683858</v>
      </c>
      <c r="AL2" s="3">
        <f>Table3[[#This Row],[sqresid]]/((Table3[[#This Row],[DIP_E]]-AVERAGE(Table3[test_SRP_mgl_mean]))^2)</f>
        <v>6.2189713630450161</v>
      </c>
      <c r="AM2" s="3">
        <f>Table3[[#This Row],[sqresid]]/Table3[[#This Row],[test_SRP_mgl_sd]]</f>
        <v>1.164839103950484</v>
      </c>
      <c r="AN2" cm="1">
        <f t="array" ref="AN2">IF(Table3[[#This Row],[treatment]]="O2",NA,Table3[[#This Row],[test_SRP_mgl_mean]])</f>
        <v>1.7717274999999999</v>
      </c>
      <c r="AO2" cm="1">
        <f t="array" ref="AO2">IF(Table3[[#This Row],[treatment]]="O2",NA,Table3[[#This Row],[DIP_E_measured_Ex_Max]])</f>
        <v>1.0469446323238671</v>
      </c>
      <c r="AP2" t="s">
        <v>34</v>
      </c>
      <c r="AQ2">
        <f>SUMIF(Table3[treatment],AP2,Table3[absresid])</f>
        <v>4.2238516661683514</v>
      </c>
      <c r="AR2">
        <f>SUMIF(Table3[treatment],AP2,Table3[sqresid])</f>
        <v>6.1326017113885403</v>
      </c>
      <c r="AS2">
        <f>SUMIF(Table3[treatment],AP2,Table3[absres_cost])</f>
        <v>133.52923875359295</v>
      </c>
      <c r="AT2">
        <f>SUMIF(Table3[treatment],AP2,Table3[sqres_cost])</f>
        <v>14.171504952267293</v>
      </c>
      <c r="AV2" s="3">
        <v>0.79568147802009825</v>
      </c>
      <c r="AW2" s="3">
        <v>1</v>
      </c>
      <c r="AX2">
        <v>2</v>
      </c>
      <c r="AY2">
        <v>0.21062237694156599</v>
      </c>
    </row>
    <row r="3" spans="1:51" x14ac:dyDescent="0.25">
      <c r="A3" t="s">
        <v>27</v>
      </c>
      <c r="B3" t="s">
        <v>28</v>
      </c>
      <c r="C3" t="s">
        <v>34</v>
      </c>
      <c r="D3" t="s">
        <v>30</v>
      </c>
      <c r="E3">
        <v>11.2552083333333</v>
      </c>
      <c r="F3">
        <v>3.0836187214611781E-2</v>
      </c>
      <c r="G3">
        <v>2.0961466666666602</v>
      </c>
      <c r="H3">
        <v>0.55657211429128095</v>
      </c>
      <c r="I3">
        <v>19.05</v>
      </c>
      <c r="J3">
        <v>5.0000000000000001E-3</v>
      </c>
      <c r="K3">
        <v>1</v>
      </c>
      <c r="L3">
        <v>0</v>
      </c>
      <c r="M3">
        <v>0</v>
      </c>
      <c r="N3">
        <v>1000</v>
      </c>
      <c r="O3">
        <v>8.3136596765579496E-2</v>
      </c>
      <c r="P3">
        <v>1.55090337472752E-2</v>
      </c>
      <c r="Q3">
        <v>2.7455035888351671</v>
      </c>
      <c r="R3">
        <v>0.15948505238549396</v>
      </c>
      <c r="S3">
        <v>0.40155622273952701</v>
      </c>
      <c r="T3">
        <v>4.5253726186215697E-2</v>
      </c>
      <c r="U3">
        <v>4.2000000000000003E-2</v>
      </c>
      <c r="V3">
        <v>0.49033333333333406</v>
      </c>
      <c r="W3">
        <f>31*EXP(5.81244 + 0.25773*LN(Table3[[#This Row],[k_LOI]]) +
                   0.32107*LN((1-Table3[[#This Row],[k_LOI]])*Table3[[#This Row],[k_f_fines]]))/1000</f>
        <v>4.2246778394897904</v>
      </c>
      <c r="X3" s="3">
        <v>0.3201112332532165</v>
      </c>
      <c r="Y3" s="3">
        <v>0.32011125319686901</v>
      </c>
      <c r="Z3" s="3">
        <v>0.32011125319686901</v>
      </c>
      <c r="AA3" s="3">
        <v>0.32011125319686901</v>
      </c>
      <c r="AB3" s="5">
        <f>(Table3[[#This Row],[k_Ex_max]]-Table3[[#This Row],[k_Ex_max]]*Table3[[#This Row],[k_PSR]])/Table3[[#This Row],[k_PSR]]</f>
        <v>4.0916550289658131</v>
      </c>
      <c r="AC3">
        <f>IF(Table3[[#This Row],[treatment]]="O2",AW$2,AW$3)</f>
        <v>1</v>
      </c>
      <c r="AD3" s="3">
        <f>(Table3[[#This Row],[k_Ex_max]]*Table3[[#This Row],[k_PSR]])/((Table3[[#This Row],[k_Ex_max]]-Table3[[#This Row],[k_PSR]]*Table3[[#This Row],[k_Ex_max]])*1.04)</f>
        <v>0.64519302782574539</v>
      </c>
      <c r="AE3" s="4">
        <f>IF(Table3[[#This Row],[treatment]]="O2",AR6*Table3[[#This Row],[k_E_opt3]]^(-1.207),3.7103*Table3[[#This Row],[k_E_opt3]]^-0.898)</f>
        <v>0</v>
      </c>
      <c r="AF3" s="4">
        <f>(Table3[[#This Row],[k_Ex_max_modeled]]*Table3[[#This Row],[k_PSR]])/((Table3[[#This Row],[k_Ex_max_modeled]]-Table3[[#This Row],[k_PSR]]*Table3[[#This Row],[k_Ex_max_modeled]]))</f>
        <v>0.67100074893877537</v>
      </c>
      <c r="AG3" s="3">
        <f>Table3[[#This Row],[test_SRP_mgl_mean]]-Table3[[#This Row],[DIP_E]]</f>
        <v>1.4509536388409148</v>
      </c>
      <c r="AH3" s="3">
        <f t="shared" si="0"/>
        <v>2.0961466666666602</v>
      </c>
      <c r="AI3" s="3">
        <f t="shared" si="1"/>
        <v>1.4251459177278849</v>
      </c>
      <c r="AJ3" s="3">
        <f>ABS(Table3[[#This Row],[res_modeled_exmax]])</f>
        <v>1.4251459177278849</v>
      </c>
      <c r="AK3" s="3">
        <f>Table3[[#This Row],[res_measured_Ex_max]]^2</f>
        <v>4.3938308481777506</v>
      </c>
      <c r="AL3">
        <f>Table3[[#This Row],[sqresid]]/((Table3[[#This Row],[DIP_E]]-AVERAGE(Table3[test_SRP_mgl_mean]))^2)</f>
        <v>52.017089986821993</v>
      </c>
      <c r="AM3">
        <f>Table3[[#This Row],[sqresid]]/Table3[[#This Row],[test_SRP_mgl_sd]]</f>
        <v>7.8944502165235102</v>
      </c>
      <c r="AN3" t="e" cm="1">
        <f t="array" ref="AN3">IF(Table3[[#This Row],[treatment]]="O2",NA,Table3[[#This Row],[test_SRP_mgl_mean]])</f>
        <v>#NAME?</v>
      </c>
      <c r="AO3" t="e" cm="1">
        <f t="array" ref="AO3">IF(Table3[[#This Row],[treatment]]="O2",NA,Table3[[#This Row],[DIP_E_measured_Ex_Max]])</f>
        <v>#NAME?</v>
      </c>
      <c r="AP3" t="s">
        <v>29</v>
      </c>
      <c r="AQ3">
        <f>SUMIF(Table3[treatment],AP3,Table3[absresid])</f>
        <v>5.328067516985902</v>
      </c>
      <c r="AR3">
        <f>SUMIF(Table3[treatment],AP3,Table3[sqresid])</f>
        <v>3.7852181083073564</v>
      </c>
      <c r="AS3">
        <f>SUMIF(Table3[treatment],AP3,Table3[absres_cost])</f>
        <v>184.1591487524293</v>
      </c>
      <c r="AT3">
        <f>SUMIF(Table3[treatment],AP3,Table3[sqres_cost])</f>
        <v>15.362220753784483</v>
      </c>
      <c r="AV3" s="3">
        <f>AV4</f>
        <v>0.71744765315761827</v>
      </c>
      <c r="AW3" s="3">
        <v>1</v>
      </c>
      <c r="AX3">
        <v>2</v>
      </c>
      <c r="AY3">
        <v>0.2</v>
      </c>
    </row>
    <row r="4" spans="1:51" x14ac:dyDescent="0.25">
      <c r="A4" t="s">
        <v>35</v>
      </c>
      <c r="B4">
        <v>2</v>
      </c>
      <c r="C4" t="s">
        <v>29</v>
      </c>
      <c r="D4" t="s">
        <v>36</v>
      </c>
      <c r="E4">
        <v>11.8541666666666</v>
      </c>
      <c r="F4">
        <v>3.2477168949771505E-2</v>
      </c>
      <c r="G4">
        <v>0.68082666666666602</v>
      </c>
      <c r="H4">
        <v>7.5725788922048703E-2</v>
      </c>
      <c r="I4">
        <v>20.933333333333302</v>
      </c>
      <c r="J4">
        <v>5.0000000000000001E-3</v>
      </c>
      <c r="K4">
        <v>1</v>
      </c>
      <c r="L4">
        <v>0</v>
      </c>
      <c r="M4">
        <v>0</v>
      </c>
      <c r="N4">
        <v>1000</v>
      </c>
      <c r="O4">
        <v>3.9469455401219197E-2</v>
      </c>
      <c r="P4">
        <v>3.1123844498527399E-3</v>
      </c>
      <c r="Q4">
        <v>2.0446584440150439</v>
      </c>
      <c r="R4">
        <v>0.16366604376609781</v>
      </c>
      <c r="S4">
        <v>0.415130085976957</v>
      </c>
      <c r="T4">
        <v>1.5278796833423701E-2</v>
      </c>
      <c r="U4">
        <v>6.25E-2</v>
      </c>
      <c r="V4">
        <v>0.466700000000001</v>
      </c>
      <c r="W4">
        <f>31*EXP(5.81244 + 0.25773*LN(Table3[[#This Row],[k_LOI]]) +
                   0.32107*LN((1-Table3[[#This Row],[k_LOI]])*Table3[[#This Row],[k_f_fines]]))/1000</f>
        <v>3.4834495534108729</v>
      </c>
      <c r="X4" s="3">
        <v>1.0425247106465705</v>
      </c>
      <c r="Y4" s="3">
        <v>1.0425294713125026</v>
      </c>
      <c r="Z4" s="3">
        <v>1.0425294713125026</v>
      </c>
      <c r="AA4" s="3">
        <v>1.0425294713125026</v>
      </c>
      <c r="AB4" s="5">
        <f>(Table3[[#This Row],[k_Ex_max]]-Table3[[#This Row],[k_Ex_max]]*Table3[[#This Row],[k_PSR]])/Table3[[#This Row],[k_PSR]]</f>
        <v>2.8806854736708898</v>
      </c>
      <c r="AC4">
        <f>IF(Table3[[#This Row],[treatment]]="O2",AW$2,AW$3)</f>
        <v>1</v>
      </c>
      <c r="AD4" s="3">
        <f>(Table3[[#This Row],[k_Ex_max]]*Table3[[#This Row],[k_PSR]])/((Table3[[#This Row],[k_Ex_max]]-Table3[[#This Row],[k_PSR]]*Table3[[#This Row],[k_Ex_max]])*1.04)</f>
        <v>0.68248260790669768</v>
      </c>
      <c r="AE4" s="4">
        <f>IF(Table3[[#This Row],[treatment]]="O2",AR7*Table3[[#This Row],[k_E_opt3]]^(-1.207),3.7103*Table3[[#This Row],[k_E_opt3]]^-0.898)</f>
        <v>1.4347682568300948</v>
      </c>
      <c r="AF4" s="4">
        <f>(Table3[[#This Row],[k_Ex_max_modeled]]*Table3[[#This Row],[k_PSR]])/((Table3[[#This Row],[k_Ex_max_modeled]]-Table3[[#This Row],[k_PSR]]*Table3[[#This Row],[k_Ex_max_modeled]]))</f>
        <v>0.70978191222296561</v>
      </c>
      <c r="AG4" s="3">
        <f>Table3[[#This Row],[test_SRP_mgl_mean]]-Table3[[#This Row],[DIP_E]]</f>
        <v>-1.6559412400316553E-3</v>
      </c>
      <c r="AH4" s="3">
        <f t="shared" si="0"/>
        <v>-0.75394159016342877</v>
      </c>
      <c r="AI4" s="3">
        <f t="shared" si="1"/>
        <v>-2.895524555629958E-2</v>
      </c>
      <c r="AJ4" s="3">
        <f>ABS(Table3[[#This Row],[res_modeled_exmax]])</f>
        <v>2.895524555629958E-2</v>
      </c>
      <c r="AK4" s="3">
        <f>Table3[[#This Row],[res_measured_Ex_max]]^2</f>
        <v>0.56842792137815956</v>
      </c>
      <c r="AL4">
        <f>Table3[[#This Row],[sqresid]]/((Table3[[#This Row],[DIP_E]]-AVERAGE(Table3[test_SRP_mgl_mean]))^2)</f>
        <v>5.2859879837285453</v>
      </c>
      <c r="AM4">
        <f>Table3[[#This Row],[sqresid]]/Table3[[#This Row],[test_SRP_mgl_sd]]</f>
        <v>7.5063981434817801</v>
      </c>
      <c r="AN4" cm="1">
        <f t="array" ref="AN4">IF(Table3[[#This Row],[treatment]]="O2",NA,Table3[[#This Row],[test_SRP_mgl_mean]])</f>
        <v>0.68082666666666602</v>
      </c>
      <c r="AO4" cm="1">
        <f t="array" ref="AO4">IF(Table3[[#This Row],[treatment]]="O2",NA,Table3[[#This Row],[DIP_E_measured_Ex_Max]])</f>
        <v>1.4347682568300948</v>
      </c>
      <c r="AP4" t="s">
        <v>186</v>
      </c>
      <c r="AQ4">
        <f>AQ2+AQ3</f>
        <v>9.5519191831542543</v>
      </c>
      <c r="AR4">
        <f>AR2+AR3</f>
        <v>9.9178198196958967</v>
      </c>
      <c r="AS4">
        <f>AS2+AS3</f>
        <v>317.68838750602225</v>
      </c>
      <c r="AT4">
        <f>AT2+AT3</f>
        <v>29.533725706051776</v>
      </c>
      <c r="AV4" s="3">
        <v>0.71744765315761827</v>
      </c>
      <c r="AW4">
        <v>1</v>
      </c>
    </row>
    <row r="5" spans="1:51" x14ac:dyDescent="0.25">
      <c r="A5" t="s">
        <v>35</v>
      </c>
      <c r="B5">
        <v>2</v>
      </c>
      <c r="C5" t="s">
        <v>34</v>
      </c>
      <c r="D5" t="s">
        <v>36</v>
      </c>
      <c r="E5">
        <v>11.8541666666666</v>
      </c>
      <c r="F5">
        <v>3.2477168949771505E-2</v>
      </c>
      <c r="G5">
        <v>0.63131816666666596</v>
      </c>
      <c r="H5">
        <v>0.21465677147895099</v>
      </c>
      <c r="I5">
        <v>20.9</v>
      </c>
      <c r="J5">
        <v>5.0000000000000001E-3</v>
      </c>
      <c r="K5">
        <v>1</v>
      </c>
      <c r="L5">
        <v>0</v>
      </c>
      <c r="M5">
        <v>0</v>
      </c>
      <c r="N5">
        <v>1000</v>
      </c>
      <c r="O5">
        <v>3.9469455401219197E-2</v>
      </c>
      <c r="P5">
        <v>3.1123844498527399E-3</v>
      </c>
      <c r="Q5">
        <v>2.0446584440150439</v>
      </c>
      <c r="R5">
        <v>0.16366604376609781</v>
      </c>
      <c r="S5">
        <v>0.415130085976957</v>
      </c>
      <c r="T5">
        <v>1.5278796833423701E-2</v>
      </c>
      <c r="U5">
        <v>6.25E-2</v>
      </c>
      <c r="V5">
        <v>0.466700000000001</v>
      </c>
      <c r="W5">
        <f>31*EXP(5.81244 + 0.25773*LN(Table3[[#This Row],[k_LOI]]) +
                   0.32107*LN((1-Table3[[#This Row],[k_LOI]])*Table3[[#This Row],[k_f_fines]]))/1000</f>
        <v>3.4834495534108729</v>
      </c>
      <c r="X5" s="3">
        <v>1.1242886674066062</v>
      </c>
      <c r="Y5" s="3">
        <v>1.1242857156413322</v>
      </c>
      <c r="Z5" s="3">
        <v>1.1242857156413322</v>
      </c>
      <c r="AA5" s="3">
        <v>1.1242857156413322</v>
      </c>
      <c r="AB5" s="5">
        <f>(Table3[[#This Row],[k_Ex_max]]-Table3[[#This Row],[k_Ex_max]]*Table3[[#This Row],[k_PSR]])/Table3[[#This Row],[k_PSR]]</f>
        <v>2.8806854736708898</v>
      </c>
      <c r="AC5">
        <f>IF(Table3[[#This Row],[treatment]]="O2",AW$2,AW$3)</f>
        <v>1</v>
      </c>
      <c r="AD5" s="3">
        <f>(Table3[[#This Row],[k_Ex_max]]*Table3[[#This Row],[k_PSR]])/((Table3[[#This Row],[k_Ex_max]]-Table3[[#This Row],[k_PSR]]*Table3[[#This Row],[k_Ex_max]])*1.04)</f>
        <v>0.68248260790669768</v>
      </c>
      <c r="AE5" s="4">
        <f>IF(Table3[[#This Row],[treatment]]="O2",AR8*Table3[[#This Row],[k_E_opt3]]^(-1.207),3.7103*Table3[[#This Row],[k_E_opt3]]^-0.898)</f>
        <v>0</v>
      </c>
      <c r="AF5" s="4">
        <f>(Table3[[#This Row],[k_Ex_max_modeled]]*Table3[[#This Row],[k_PSR]])/((Table3[[#This Row],[k_Ex_max_modeled]]-Table3[[#This Row],[k_PSR]]*Table3[[#This Row],[k_Ex_max_modeled]]))</f>
        <v>0.70978191222296561</v>
      </c>
      <c r="AG5" s="3">
        <f>Table3[[#This Row],[test_SRP_mgl_mean]]-Table3[[#This Row],[DIP_E]]</f>
        <v>-5.1164441240031722E-2</v>
      </c>
      <c r="AH5" s="3">
        <f t="shared" si="0"/>
        <v>0.63131816666666596</v>
      </c>
      <c r="AI5" s="3">
        <f t="shared" si="1"/>
        <v>-7.8463745556299647E-2</v>
      </c>
      <c r="AJ5" s="3">
        <f>ABS(Table3[[#This Row],[res_modeled_exmax]])</f>
        <v>7.8463745556299647E-2</v>
      </c>
      <c r="AK5" s="3">
        <f>Table3[[#This Row],[res_measured_Ex_max]]^2</f>
        <v>0.39856262756336019</v>
      </c>
      <c r="AL5">
        <f>Table3[[#This Row],[sqresid]]/((Table3[[#This Row],[DIP_E]]-AVERAGE(Table3[test_SRP_mgl_mean]))^2)</f>
        <v>3.7063577998688819</v>
      </c>
      <c r="AM5">
        <f>Table3[[#This Row],[sqresid]]/Table3[[#This Row],[test_SRP_mgl_sd]]</f>
        <v>1.8567437906446049</v>
      </c>
      <c r="AN5" t="e" cm="1">
        <f t="array" ref="AN5">IF(Table3[[#This Row],[treatment]]="O2",NA,Table3[[#This Row],[test_SRP_mgl_mean]])</f>
        <v>#NAME?</v>
      </c>
      <c r="AO5" t="e" cm="1">
        <f t="array" ref="AO5">IF(Table3[[#This Row],[treatment]]="O2",NA,Table3[[#This Row],[DIP_E_measured_Ex_Max]])</f>
        <v>#NAME?</v>
      </c>
      <c r="AQ5">
        <v>1.04252953886531</v>
      </c>
      <c r="AR5" s="3"/>
      <c r="AS5" s="3">
        <v>4.3009576462951502</v>
      </c>
      <c r="AT5" s="3">
        <v>1.715680333344936</v>
      </c>
      <c r="AV5" s="3">
        <v>0.56000000000000005</v>
      </c>
    </row>
    <row r="6" spans="1:51" x14ac:dyDescent="0.25">
      <c r="A6" t="s">
        <v>35</v>
      </c>
      <c r="B6" t="s">
        <v>28</v>
      </c>
      <c r="C6" t="s">
        <v>29</v>
      </c>
      <c r="D6" t="s">
        <v>38</v>
      </c>
      <c r="E6">
        <v>11.283333333333299</v>
      </c>
      <c r="F6">
        <v>3.0913242009132327E-2</v>
      </c>
      <c r="G6">
        <v>8.0335199999999996E-2</v>
      </c>
      <c r="H6">
        <v>2.68992356712974E-2</v>
      </c>
      <c r="I6">
        <v>20.22</v>
      </c>
      <c r="J6">
        <v>5.0000000000000001E-3</v>
      </c>
      <c r="K6">
        <v>1</v>
      </c>
      <c r="L6">
        <v>0</v>
      </c>
      <c r="M6">
        <v>0</v>
      </c>
      <c r="N6">
        <v>1000</v>
      </c>
      <c r="O6">
        <v>5.0274943009140899E-2</v>
      </c>
      <c r="P6">
        <v>2.1915324089828601E-3</v>
      </c>
      <c r="Q6">
        <v>3.0658020765800393</v>
      </c>
      <c r="R6">
        <v>6.0449120131976383E-2</v>
      </c>
      <c r="S6">
        <v>0.125760600638884</v>
      </c>
      <c r="T6">
        <v>9.2392153057842697E-3</v>
      </c>
      <c r="U6">
        <v>6.7000000000000004E-2</v>
      </c>
      <c r="V6">
        <v>0.69066666666666698</v>
      </c>
      <c r="W6">
        <f>31*EXP(5.81244 + 0.25773*LN(Table3[[#This Row],[k_LOI]]) +
                   0.32107*LN((1-Table3[[#This Row],[k_LOI]])*Table3[[#This Row],[k_f_fines]]))/1000</f>
        <v>4.1896037482086852</v>
      </c>
      <c r="X6" s="3">
        <v>1.7907134661293249</v>
      </c>
      <c r="Y6" s="3">
        <v>1.7906380938304771</v>
      </c>
      <c r="Z6" s="3">
        <v>1.7906380938304771</v>
      </c>
      <c r="AA6" s="3">
        <v>1.7906380938304771</v>
      </c>
      <c r="AB6" s="5">
        <f>(Table3[[#This Row],[k_Ex_max]]-Table3[[#This Row],[k_Ex_max]]*Table3[[#This Row],[k_PSR]])/Table3[[#This Row],[k_PSR]]</f>
        <v>21.312278665761152</v>
      </c>
      <c r="AC6">
        <f>IF(Table3[[#This Row],[treatment]]="O2",AW$2,AW$3)</f>
        <v>1</v>
      </c>
      <c r="AD6" s="3">
        <f>(Table3[[#This Row],[k_Ex_max]]*Table3[[#This Row],[k_PSR]])/((Table3[[#This Row],[k_Ex_max]]-Table3[[#This Row],[k_PSR]]*Table3[[#This Row],[k_Ex_max]])*1.04)</f>
        <v>0.13831869685675913</v>
      </c>
      <c r="AE6" s="4">
        <f>IF(Table3[[#This Row],[treatment]]="O2",AR9*Table3[[#This Row],[k_E_opt3]]^(-1.207),3.7103*Table3[[#This Row],[k_E_opt3]]^-0.898)</f>
        <v>0.23784793687480346</v>
      </c>
      <c r="AF6" s="4">
        <f>(Table3[[#This Row],[k_Ex_max_modeled]]*Table3[[#This Row],[k_PSR]])/((Table3[[#This Row],[k_Ex_max_modeled]]-Table3[[#This Row],[k_PSR]]*Table3[[#This Row],[k_Ex_max_modeled]]))</f>
        <v>0.14385144473102951</v>
      </c>
      <c r="AG6" s="3">
        <f>Table3[[#This Row],[test_SRP_mgl_mean]]-Table3[[#This Row],[DIP_E]]</f>
        <v>-5.7983496856759131E-2</v>
      </c>
      <c r="AH6" s="3">
        <f t="shared" si="0"/>
        <v>-0.15751273687480347</v>
      </c>
      <c r="AI6" s="3">
        <f t="shared" si="1"/>
        <v>-6.3516244731029514E-2</v>
      </c>
      <c r="AJ6" s="3">
        <f>ABS(Table3[[#This Row],[res_modeled_exmax]])</f>
        <v>6.3516244731029514E-2</v>
      </c>
      <c r="AK6" s="3">
        <f>Table3[[#This Row],[res_measured_Ex_max]]^2</f>
        <v>2.4810262277791071E-2</v>
      </c>
      <c r="AL6">
        <f>Table3[[#This Row],[sqresid]]/((Table3[[#This Row],[DIP_E]]-AVERAGE(Table3[test_SRP_mgl_mean]))^2)</f>
        <v>0.53059595124190195</v>
      </c>
      <c r="AM6">
        <f>Table3[[#This Row],[sqresid]]/Table3[[#This Row],[test_SRP_mgl_sd]]</f>
        <v>0.922340789937933</v>
      </c>
      <c r="AN6" cm="1">
        <f t="array" ref="AN6">IF(Table3[[#This Row],[treatment]]="O2",NA,Table3[[#This Row],[test_SRP_mgl_mean]])</f>
        <v>8.0335199999999996E-2</v>
      </c>
      <c r="AO6" cm="1">
        <f t="array" ref="AO6">IF(Table3[[#This Row],[treatment]]="O2",NA,Table3[[#This Row],[DIP_E_measured_Ex_Max]])</f>
        <v>0.23784793687480346</v>
      </c>
      <c r="AV6" s="3">
        <v>0.82081114653027276</v>
      </c>
    </row>
    <row r="7" spans="1:51" x14ac:dyDescent="0.25">
      <c r="A7" t="s">
        <v>35</v>
      </c>
      <c r="B7" t="s">
        <v>28</v>
      </c>
      <c r="C7" t="s">
        <v>34</v>
      </c>
      <c r="D7" t="s">
        <v>38</v>
      </c>
      <c r="E7">
        <v>11.3836805555555</v>
      </c>
      <c r="F7">
        <v>3.1188165905631508E-2</v>
      </c>
      <c r="G7">
        <v>1.9155078333333301E-2</v>
      </c>
      <c r="H7">
        <v>1.4987781784873099E-2</v>
      </c>
      <c r="I7">
        <v>20.2</v>
      </c>
      <c r="J7">
        <v>5.0000000000000001E-3</v>
      </c>
      <c r="K7">
        <v>1</v>
      </c>
      <c r="L7">
        <v>0</v>
      </c>
      <c r="M7">
        <v>0</v>
      </c>
      <c r="N7">
        <v>1000</v>
      </c>
      <c r="O7">
        <v>5.0274943009140899E-2</v>
      </c>
      <c r="P7">
        <v>2.1915324089828601E-3</v>
      </c>
      <c r="Q7">
        <v>3.0658020765800393</v>
      </c>
      <c r="R7">
        <v>6.0449120131976383E-2</v>
      </c>
      <c r="S7">
        <v>0.125760600638884</v>
      </c>
      <c r="T7">
        <v>9.2392153057842697E-3</v>
      </c>
      <c r="U7">
        <v>6.7000000000000004E-2</v>
      </c>
      <c r="V7">
        <v>0.69066666666666698</v>
      </c>
      <c r="W7">
        <f>31*EXP(5.81244 + 0.25773*LN(Table3[[#This Row],[k_LOI]]) +
                   0.32107*LN((1-Table3[[#This Row],[k_LOI]])*Table3[[#This Row],[k_f_fines]]))/1000</f>
        <v>4.1896037482086852</v>
      </c>
      <c r="X7" s="3">
        <v>7.5029425788407202</v>
      </c>
      <c r="Y7" s="3">
        <v>7.5058934559244639</v>
      </c>
      <c r="Z7" s="3">
        <v>7.5058934559244639</v>
      </c>
      <c r="AA7" s="3">
        <v>7.5058934559244639</v>
      </c>
      <c r="AB7" s="5">
        <f>(Table3[[#This Row],[k_Ex_max]]-Table3[[#This Row],[k_Ex_max]]*Table3[[#This Row],[k_PSR]])/Table3[[#This Row],[k_PSR]]</f>
        <v>21.312278665761152</v>
      </c>
      <c r="AC7">
        <f>IF(Table3[[#This Row],[treatment]]="O2",AW$2,AW$3)</f>
        <v>1</v>
      </c>
      <c r="AD7" s="3">
        <f>(Table3[[#This Row],[k_Ex_max]]*Table3[[#This Row],[k_PSR]])/((Table3[[#This Row],[k_Ex_max]]-Table3[[#This Row],[k_PSR]]*Table3[[#This Row],[k_Ex_max]])*1.04)</f>
        <v>0.13831869685675913</v>
      </c>
      <c r="AE7" s="4">
        <f>IF(Table3[[#This Row],[treatment]]="O2",AR10*Table3[[#This Row],[k_E_opt3]]^(-1.207),3.7103*Table3[[#This Row],[k_E_opt3]]^-0.898)</f>
        <v>0</v>
      </c>
      <c r="AF7" s="4">
        <f>(Table3[[#This Row],[k_Ex_max_modeled]]*Table3[[#This Row],[k_PSR]])/((Table3[[#This Row],[k_Ex_max_modeled]]-Table3[[#This Row],[k_PSR]]*Table3[[#This Row],[k_Ex_max_modeled]]))</f>
        <v>0.14385144473102951</v>
      </c>
      <c r="AG7" s="3">
        <f>Table3[[#This Row],[test_SRP_mgl_mean]]-Table3[[#This Row],[DIP_E]]</f>
        <v>-0.11916361852342583</v>
      </c>
      <c r="AH7" s="3">
        <f t="shared" si="0"/>
        <v>1.9155078333333301E-2</v>
      </c>
      <c r="AI7" s="3">
        <f t="shared" si="1"/>
        <v>-0.12469636639769621</v>
      </c>
      <c r="AJ7" s="3">
        <f>ABS(Table3[[#This Row],[res_modeled_exmax]])</f>
        <v>0.12469636639769621</v>
      </c>
      <c r="AK7" s="3">
        <f>Table3[[#This Row],[res_measured_Ex_max]]^2</f>
        <v>3.6691702595613489E-4</v>
      </c>
      <c r="AL7">
        <f>Table3[[#This Row],[sqresid]]/((Table3[[#This Row],[DIP_E]]-AVERAGE(Table3[test_SRP_mgl_mean]))^2)</f>
        <v>7.8469419724078136E-3</v>
      </c>
      <c r="AM7">
        <f>Table3[[#This Row],[sqresid]]/Table3[[#This Row],[test_SRP_mgl_sd]]</f>
        <v>2.4481076067337577E-2</v>
      </c>
      <c r="AN7" t="e" cm="1">
        <f t="array" ref="AN7">IF(Table3[[#This Row],[treatment]]="O2",NA,Table3[[#This Row],[test_SRP_mgl_mean]])</f>
        <v>#NAME?</v>
      </c>
      <c r="AO7" t="e" cm="1">
        <f t="array" ref="AO7">IF(Table3[[#This Row],[treatment]]="O2",NA,Table3[[#This Row],[DIP_E_measured_Ex_Max]])</f>
        <v>#NAME?</v>
      </c>
    </row>
    <row r="8" spans="1:51" x14ac:dyDescent="0.25">
      <c r="A8" t="s">
        <v>40</v>
      </c>
      <c r="B8" t="s">
        <v>41</v>
      </c>
      <c r="C8" t="s">
        <v>29</v>
      </c>
      <c r="D8" t="s">
        <v>42</v>
      </c>
      <c r="E8">
        <v>11.3836805555555</v>
      </c>
      <c r="F8">
        <v>3.1188165905631508E-2</v>
      </c>
      <c r="G8">
        <v>1.722637</v>
      </c>
      <c r="H8">
        <v>1.0802566843958801</v>
      </c>
      <c r="I8">
        <v>20.2</v>
      </c>
      <c r="J8">
        <v>5.0000000000000001E-3</v>
      </c>
      <c r="K8">
        <v>1</v>
      </c>
      <c r="L8">
        <v>0</v>
      </c>
      <c r="M8">
        <v>0</v>
      </c>
      <c r="N8">
        <v>1000</v>
      </c>
      <c r="O8">
        <v>0.115279170629385</v>
      </c>
      <c r="P8">
        <v>7.3641104114416794E-2</v>
      </c>
      <c r="Q8">
        <v>3.8318131556514872</v>
      </c>
      <c r="R8">
        <v>0.21016423616389535</v>
      </c>
      <c r="S8">
        <v>0.198006054758634</v>
      </c>
      <c r="T8">
        <v>4.6331363677071004E-3</v>
      </c>
      <c r="U8">
        <v>0.12133333333333302</v>
      </c>
      <c r="V8">
        <v>0.834666666666667</v>
      </c>
      <c r="W8">
        <f>31*EXP(5.81244 + 0.25773*LN(Table3[[#This Row],[k_LOI]]) +
                   0.32107*LN((1-Table3[[#This Row],[k_LOI]])*Table3[[#This Row],[k_f_fines]]))/1000</f>
        <v>5.3898743606154849</v>
      </c>
      <c r="X8" s="3">
        <v>0.14332214922905648</v>
      </c>
      <c r="Y8" s="3">
        <v>0.14332210258665184</v>
      </c>
      <c r="Z8" s="3">
        <v>0.14332210258665184</v>
      </c>
      <c r="AA8" s="3">
        <v>0.14332210258665184</v>
      </c>
      <c r="AB8" s="5">
        <f>(Table3[[#This Row],[k_Ex_max]]-Table3[[#This Row],[k_Ex_max]]*Table3[[#This Row],[k_PSR]])/Table3[[#This Row],[k_PSR]]</f>
        <v>15.520186763353021</v>
      </c>
      <c r="AC8">
        <f>IF(Table3[[#This Row],[treatment]]="O2",AW$2,AW$3)</f>
        <v>1</v>
      </c>
      <c r="AD8" s="3">
        <f>(Table3[[#This Row],[k_Ex_max]]*Table3[[#This Row],[k_PSR]])/((Table3[[#This Row],[k_Ex_max]]-Table3[[#This Row],[k_PSR]]*Table3[[#This Row],[k_Ex_max]])*1.04)</f>
        <v>0.23739635242585017</v>
      </c>
      <c r="AE8" s="4">
        <f>IF(Table3[[#This Row],[treatment]]="O2",AR11*Table3[[#This Row],[k_E_opt3]]^(-1.207),3.7103*Table3[[#This Row],[k_E_opt3]]^-0.898)</f>
        <v>0.31621580395202109</v>
      </c>
      <c r="AF8" s="4">
        <f>(Table3[[#This Row],[k_Ex_max_modeled]]*Table3[[#This Row],[k_PSR]])/((Table3[[#This Row],[k_Ex_max_modeled]]-Table3[[#This Row],[k_PSR]]*Table3[[#This Row],[k_Ex_max_modeled]]))</f>
        <v>0.24689220652288418</v>
      </c>
      <c r="AG8" s="3">
        <f>Table3[[#This Row],[test_SRP_mgl_mean]]-Table3[[#This Row],[DIP_E]]</f>
        <v>1.4852406475741498</v>
      </c>
      <c r="AH8" s="3">
        <f t="shared" si="0"/>
        <v>1.4064211960479789</v>
      </c>
      <c r="AI8" s="3">
        <f t="shared" si="1"/>
        <v>1.4757447934771157</v>
      </c>
      <c r="AJ8" s="3">
        <f>ABS(Table3[[#This Row],[res_modeled_exmax]])</f>
        <v>1.4757447934771157</v>
      </c>
      <c r="AK8" s="3">
        <f>Table3[[#This Row],[res_measured_Ex_max]]^2</f>
        <v>1.9780205806930276</v>
      </c>
      <c r="AL8">
        <f>Table3[[#This Row],[sqresid]]/((Table3[[#This Row],[DIP_E]]-AVERAGE(Table3[test_SRP_mgl_mean]))^2)</f>
        <v>144.09976291145355</v>
      </c>
      <c r="AM8">
        <f>Table3[[#This Row],[sqresid]]/Table3[[#This Row],[test_SRP_mgl_sd]]</f>
        <v>1.8310653470283413</v>
      </c>
      <c r="AN8" cm="1">
        <f t="array" ref="AN8">IF(Table3[[#This Row],[treatment]]="O2",NA,Table3[[#This Row],[test_SRP_mgl_mean]])</f>
        <v>1.722637</v>
      </c>
      <c r="AO8" cm="1">
        <f t="array" ref="AO8">IF(Table3[[#This Row],[treatment]]="O2",NA,Table3[[#This Row],[DIP_E_measured_Ex_Max]])</f>
        <v>0.31621580395202109</v>
      </c>
    </row>
    <row r="9" spans="1:51" x14ac:dyDescent="0.25">
      <c r="A9" t="s">
        <v>40</v>
      </c>
      <c r="B9" t="s">
        <v>41</v>
      </c>
      <c r="C9" t="s">
        <v>34</v>
      </c>
      <c r="D9" t="s">
        <v>42</v>
      </c>
      <c r="E9">
        <v>11.3836805555555</v>
      </c>
      <c r="F9">
        <v>3.1188165905631508E-2</v>
      </c>
      <c r="G9">
        <v>0.90562933333333295</v>
      </c>
      <c r="H9">
        <v>1.13782156228042</v>
      </c>
      <c r="I9">
        <v>20.2</v>
      </c>
      <c r="J9">
        <v>5.0000000000000001E-3</v>
      </c>
      <c r="K9">
        <v>1</v>
      </c>
      <c r="L9">
        <v>0</v>
      </c>
      <c r="M9">
        <v>0</v>
      </c>
      <c r="N9">
        <v>1000</v>
      </c>
      <c r="O9">
        <v>0.115279170629385</v>
      </c>
      <c r="P9">
        <v>7.3641104114416794E-2</v>
      </c>
      <c r="Q9">
        <v>3.8318131556514872</v>
      </c>
      <c r="R9">
        <v>0.21016423616389535</v>
      </c>
      <c r="S9">
        <v>0.198006054758634</v>
      </c>
      <c r="T9">
        <v>4.6331363677071004E-3</v>
      </c>
      <c r="U9">
        <v>0.12133333333333302</v>
      </c>
      <c r="V9">
        <v>0.834666666666667</v>
      </c>
      <c r="W9">
        <f>31*EXP(5.81244 + 0.25773*LN(Table3[[#This Row],[k_LOI]]) +
                   0.32107*LN((1-Table3[[#This Row],[k_LOI]])*Table3[[#This Row],[k_f_fines]]))/1000</f>
        <v>5.3898743606154849</v>
      </c>
      <c r="X9" s="3">
        <v>0.27261999720254765</v>
      </c>
      <c r="Y9" s="3">
        <v>0.27261917291830334</v>
      </c>
      <c r="Z9" s="3">
        <v>0.27261917291830334</v>
      </c>
      <c r="AA9" s="3">
        <v>0.27261917291830334</v>
      </c>
      <c r="AB9" s="5">
        <f>(Table3[[#This Row],[k_Ex_max]]-Table3[[#This Row],[k_Ex_max]]*Table3[[#This Row],[k_PSR]])/Table3[[#This Row],[k_PSR]]</f>
        <v>15.520186763353021</v>
      </c>
      <c r="AC9">
        <f>IF(Table3[[#This Row],[treatment]]="O2",AW$2,AW$3)</f>
        <v>1</v>
      </c>
      <c r="AD9" s="3">
        <f>(Table3[[#This Row],[k_Ex_max]]*Table3[[#This Row],[k_PSR]])/((Table3[[#This Row],[k_Ex_max]]-Table3[[#This Row],[k_PSR]]*Table3[[#This Row],[k_Ex_max]])*1.04)</f>
        <v>0.23739635242585017</v>
      </c>
      <c r="AE9" s="4">
        <f>IF(Table3[[#This Row],[treatment]]="O2",AR12*Table3[[#This Row],[k_E_opt3]]^(-1.207),3.7103*Table3[[#This Row],[k_E_opt3]]^-0.898)</f>
        <v>0</v>
      </c>
      <c r="AF9" s="4">
        <f>(Table3[[#This Row],[k_Ex_max_modeled]]*Table3[[#This Row],[k_PSR]])/((Table3[[#This Row],[k_Ex_max_modeled]]-Table3[[#This Row],[k_PSR]]*Table3[[#This Row],[k_Ex_max_modeled]]))</f>
        <v>0.24689220652288418</v>
      </c>
      <c r="AG9" s="3">
        <f>Table3[[#This Row],[test_SRP_mgl_mean]]-Table3[[#This Row],[DIP_E]]</f>
        <v>0.66823298090748273</v>
      </c>
      <c r="AH9" s="3">
        <f t="shared" si="0"/>
        <v>0.90562933333333295</v>
      </c>
      <c r="AI9" s="3">
        <f t="shared" si="1"/>
        <v>0.65873712681044871</v>
      </c>
      <c r="AJ9" s="3">
        <f>ABS(Table3[[#This Row],[res_modeled_exmax]])</f>
        <v>0.65873712681044871</v>
      </c>
      <c r="AK9" s="3">
        <f>Table3[[#This Row],[res_measured_Ex_max]]^2</f>
        <v>0.82016448939377706</v>
      </c>
      <c r="AL9">
        <f>Table3[[#This Row],[sqresid]]/((Table3[[#This Row],[DIP_E]]-AVERAGE(Table3[test_SRP_mgl_mean]))^2)</f>
        <v>59.749382601787012</v>
      </c>
      <c r="AM9">
        <f>Table3[[#This Row],[sqresid]]/Table3[[#This Row],[test_SRP_mgl_sd]]</f>
        <v>0.72081995682170485</v>
      </c>
      <c r="AN9" t="e" cm="1">
        <f t="array" ref="AN9">IF(Table3[[#This Row],[treatment]]="O2",NA,Table3[[#This Row],[test_SRP_mgl_mean]])</f>
        <v>#NAME?</v>
      </c>
      <c r="AO9" t="e" cm="1">
        <f t="array" ref="AO9">IF(Table3[[#This Row],[treatment]]="O2",NA,Table3[[#This Row],[DIP_E_measured_Ex_Max]])</f>
        <v>#NAME?</v>
      </c>
    </row>
    <row r="10" spans="1:51" x14ac:dyDescent="0.25">
      <c r="A10" t="s">
        <v>40</v>
      </c>
      <c r="B10" t="s">
        <v>28</v>
      </c>
      <c r="C10" t="s">
        <v>29</v>
      </c>
      <c r="D10" t="s">
        <v>43</v>
      </c>
      <c r="E10">
        <v>11.3836805555555</v>
      </c>
      <c r="F10">
        <v>3.1188165905631508E-2</v>
      </c>
      <c r="G10">
        <v>0.1351415</v>
      </c>
      <c r="H10">
        <v>2.9258756014225801E-2</v>
      </c>
      <c r="I10">
        <v>20.2</v>
      </c>
      <c r="J10">
        <v>5.0000000000000001E-3</v>
      </c>
      <c r="K10">
        <v>1</v>
      </c>
      <c r="L10">
        <v>0</v>
      </c>
      <c r="M10">
        <v>0</v>
      </c>
      <c r="N10">
        <v>1000</v>
      </c>
      <c r="O10">
        <v>0.18823554143329599</v>
      </c>
      <c r="P10">
        <v>7.8811604736588308E-3</v>
      </c>
      <c r="Q10">
        <v>7.7995226394342181</v>
      </c>
      <c r="R10">
        <v>0.80190733165399852</v>
      </c>
      <c r="S10">
        <v>9.1267375877981199E-2</v>
      </c>
      <c r="T10">
        <v>3.2703235505608399E-3</v>
      </c>
      <c r="U10">
        <v>0.391666666666666</v>
      </c>
      <c r="V10">
        <v>0.98433333333333339</v>
      </c>
      <c r="W10">
        <f>31*EXP(5.81244 + 0.25773*LN(Table3[[#This Row],[k_LOI]]) +
                   0.32107*LN((1-Table3[[#This Row],[k_LOI]])*Table3[[#This Row],[k_f_fines]]))/1000</f>
        <v>6.2727795783387483</v>
      </c>
      <c r="X10" s="3">
        <v>0.74317191825136741</v>
      </c>
      <c r="Y10" s="3">
        <v>0.74317147687218887</v>
      </c>
      <c r="Z10" s="3">
        <v>0.74317147687218887</v>
      </c>
      <c r="AA10" s="3">
        <v>0.74317147687218887</v>
      </c>
      <c r="AB10" s="5">
        <f>(Table3[[#This Row],[k_Ex_max]]-Table3[[#This Row],[k_Ex_max]]*Table3[[#This Row],[k_PSR]])/Table3[[#This Row],[k_PSR]]</f>
        <v>77.658425114664624</v>
      </c>
      <c r="AC10">
        <f>IF(Table3[[#This Row],[treatment]]="O2",AW$2,AW$3)</f>
        <v>1</v>
      </c>
      <c r="AD10" s="3">
        <f>(Table3[[#This Row],[k_Ex_max]]*Table3[[#This Row],[k_PSR]])/((Table3[[#This Row],[k_Ex_max]]-Table3[[#This Row],[k_PSR]]*Table3[[#This Row],[k_Ex_max]])*1.04)</f>
        <v>9.6570861286237999E-2</v>
      </c>
      <c r="AE10" s="4">
        <f>IF(Table3[[#This Row],[treatment]]="O2",AR13*Table3[[#This Row],[k_E_opt3]]^(-1.207),3.7103*Table3[[#This Row],[k_E_opt3]]^-0.898)</f>
        <v>7.4476572629148446E-2</v>
      </c>
      <c r="AF10" s="4">
        <f>(Table3[[#This Row],[k_Ex_max_modeled]]*Table3[[#This Row],[k_PSR]])/((Table3[[#This Row],[k_Ex_max_modeled]]-Table3[[#This Row],[k_PSR]]*Table3[[#This Row],[k_Ex_max_modeled]]))</f>
        <v>0.10043369573768751</v>
      </c>
      <c r="AG10" s="3">
        <f>Table3[[#This Row],[test_SRP_mgl_mean]]-Table3[[#This Row],[DIP_E]]</f>
        <v>3.8570638713761998E-2</v>
      </c>
      <c r="AH10" s="3">
        <f t="shared" si="0"/>
        <v>6.0664927370851551E-2</v>
      </c>
      <c r="AI10" s="3">
        <f t="shared" si="1"/>
        <v>3.4707804262312486E-2</v>
      </c>
      <c r="AJ10" s="3">
        <f>ABS(Table3[[#This Row],[res_modeled_exmax]])</f>
        <v>3.4707804262312486E-2</v>
      </c>
      <c r="AK10" s="3">
        <f>Table3[[#This Row],[res_measured_Ex_max]]^2</f>
        <v>3.6802334129106937E-3</v>
      </c>
      <c r="AL10">
        <f>Table3[[#This Row],[sqresid]]/((Table3[[#This Row],[DIP_E]]-AVERAGE(Table3[test_SRP_mgl_mean]))^2)</f>
        <v>5.5294355030605286E-2</v>
      </c>
      <c r="AM10">
        <f>Table3[[#This Row],[sqresid]]/Table3[[#This Row],[test_SRP_mgl_sd]]</f>
        <v>0.12578229269629029</v>
      </c>
      <c r="AN10" cm="1">
        <f t="array" ref="AN10">IF(Table3[[#This Row],[treatment]]="O2",NA,Table3[[#This Row],[test_SRP_mgl_mean]])</f>
        <v>0.1351415</v>
      </c>
      <c r="AO10" cm="1">
        <f t="array" ref="AO10">IF(Table3[[#This Row],[treatment]]="O2",NA,Table3[[#This Row],[DIP_E_measured_Ex_Max]])</f>
        <v>7.4476572629148446E-2</v>
      </c>
    </row>
    <row r="11" spans="1:51" x14ac:dyDescent="0.25">
      <c r="A11" t="s">
        <v>40</v>
      </c>
      <c r="B11" t="s">
        <v>28</v>
      </c>
      <c r="C11" t="s">
        <v>34</v>
      </c>
      <c r="D11" t="s">
        <v>43</v>
      </c>
      <c r="E11">
        <v>11.3836805555555</v>
      </c>
      <c r="F11">
        <v>3.1188165905631508E-2</v>
      </c>
      <c r="G11">
        <v>2.4296333333333298E-2</v>
      </c>
      <c r="H11">
        <v>5.7247027404631803E-3</v>
      </c>
      <c r="I11">
        <v>20.2</v>
      </c>
      <c r="J11">
        <v>5.0000000000000001E-3</v>
      </c>
      <c r="K11">
        <v>1</v>
      </c>
      <c r="L11">
        <v>0</v>
      </c>
      <c r="M11">
        <v>0</v>
      </c>
      <c r="N11">
        <v>1000</v>
      </c>
      <c r="O11">
        <v>0.18823554143329599</v>
      </c>
      <c r="P11">
        <v>7.8811604736588308E-3</v>
      </c>
      <c r="Q11">
        <v>7.7995226394342181</v>
      </c>
      <c r="R11">
        <v>0.80190733165399852</v>
      </c>
      <c r="S11">
        <v>9.1267375877981199E-2</v>
      </c>
      <c r="T11">
        <v>3.2703235505608399E-3</v>
      </c>
      <c r="U11">
        <v>0.391666666666666</v>
      </c>
      <c r="V11">
        <v>0.98433333333333339</v>
      </c>
      <c r="W11">
        <f>31*EXP(5.81244 + 0.25773*LN(Table3[[#This Row],[k_LOI]]) +
                   0.32107*LN((1-Table3[[#This Row],[k_LOI]])*Table3[[#This Row],[k_f_fines]]))/1000</f>
        <v>6.2727795783387483</v>
      </c>
      <c r="X11" s="3">
        <v>4.133743227698953</v>
      </c>
      <c r="Y11" s="3">
        <v>4.133710770037732</v>
      </c>
      <c r="Z11" s="3">
        <v>4.133710770037732</v>
      </c>
      <c r="AA11" s="3">
        <v>4.133710770037732</v>
      </c>
      <c r="AB11" s="5">
        <f>(Table3[[#This Row],[k_Ex_max]]-Table3[[#This Row],[k_Ex_max]]*Table3[[#This Row],[k_PSR]])/Table3[[#This Row],[k_PSR]]</f>
        <v>77.658425114664624</v>
      </c>
      <c r="AC11">
        <f>IF(Table3[[#This Row],[treatment]]="O2",AW$2,AW$3)</f>
        <v>1</v>
      </c>
      <c r="AD11" s="3">
        <f>(Table3[[#This Row],[k_Ex_max]]*Table3[[#This Row],[k_PSR]])/((Table3[[#This Row],[k_Ex_max]]-Table3[[#This Row],[k_PSR]]*Table3[[#This Row],[k_Ex_max]])*1.04)</f>
        <v>9.6570861286237999E-2</v>
      </c>
      <c r="AE11" s="4">
        <f>IF(Table3[[#This Row],[treatment]]="O2",AR14*Table3[[#This Row],[k_E_opt3]]^(-1.207),3.7103*Table3[[#This Row],[k_E_opt3]]^-0.898)</f>
        <v>0</v>
      </c>
      <c r="AF11" s="4">
        <f>(Table3[[#This Row],[k_Ex_max_modeled]]*Table3[[#This Row],[k_PSR]])/((Table3[[#This Row],[k_Ex_max_modeled]]-Table3[[#This Row],[k_PSR]]*Table3[[#This Row],[k_Ex_max_modeled]]))</f>
        <v>0.10043369573768751</v>
      </c>
      <c r="AG11" s="3">
        <f>Table3[[#This Row],[test_SRP_mgl_mean]]-Table3[[#This Row],[DIP_E]]</f>
        <v>-7.2274527952904705E-2</v>
      </c>
      <c r="AH11" s="3">
        <f t="shared" si="0"/>
        <v>2.4296333333333298E-2</v>
      </c>
      <c r="AI11" s="3">
        <f t="shared" si="1"/>
        <v>-7.6137362404354217E-2</v>
      </c>
      <c r="AJ11" s="3">
        <f>ABS(Table3[[#This Row],[res_modeled_exmax]])</f>
        <v>7.6137362404354217E-2</v>
      </c>
      <c r="AK11" s="3">
        <f>Table3[[#This Row],[res_measured_Ex_max]]^2</f>
        <v>5.9031181344444271E-4</v>
      </c>
      <c r="AL11">
        <f>Table3[[#This Row],[sqresid]]/((Table3[[#This Row],[DIP_E]]-AVERAGE(Table3[test_SRP_mgl_mean]))^2)</f>
        <v>8.8692502157198174E-3</v>
      </c>
      <c r="AM11">
        <f>Table3[[#This Row],[sqresid]]/Table3[[#This Row],[test_SRP_mgl_sd]]</f>
        <v>0.10311658791853376</v>
      </c>
      <c r="AN11" t="e" cm="1">
        <f t="array" ref="AN11">IF(Table3[[#This Row],[treatment]]="O2",NA,Table3[[#This Row],[test_SRP_mgl_mean]])</f>
        <v>#NAME?</v>
      </c>
      <c r="AO11" t="e" cm="1">
        <f t="array" ref="AO11">IF(Table3[[#This Row],[treatment]]="O2",NA,Table3[[#This Row],[DIP_E_measured_Ex_Max]])</f>
        <v>#NAME?</v>
      </c>
    </row>
    <row r="12" spans="1:51" x14ac:dyDescent="0.25">
      <c r="A12" t="s">
        <v>44</v>
      </c>
      <c r="B12">
        <v>1</v>
      </c>
      <c r="C12" t="s">
        <v>29</v>
      </c>
      <c r="D12" t="s">
        <v>45</v>
      </c>
      <c r="E12">
        <v>11.913888888888801</v>
      </c>
      <c r="F12">
        <v>3.2640791476407673E-2</v>
      </c>
      <c r="G12">
        <v>0.192915</v>
      </c>
      <c r="H12">
        <v>0.10164388037161901</v>
      </c>
      <c r="I12">
        <v>21.3</v>
      </c>
      <c r="J12">
        <v>1.03E-2</v>
      </c>
      <c r="K12">
        <v>1</v>
      </c>
      <c r="L12">
        <v>0</v>
      </c>
      <c r="M12">
        <v>0</v>
      </c>
      <c r="N12">
        <v>1000</v>
      </c>
      <c r="O12">
        <v>0.12844880304923301</v>
      </c>
      <c r="P12">
        <v>1.9618026828991199E-2</v>
      </c>
      <c r="Q12">
        <v>3.2822652829194876</v>
      </c>
      <c r="R12">
        <v>0.17172013270924658</v>
      </c>
      <c r="S12">
        <v>0.21647222375577299</v>
      </c>
      <c r="T12">
        <v>3.5193609984933698E-4</v>
      </c>
      <c r="U12">
        <v>0.1</v>
      </c>
      <c r="V12">
        <v>0.94694999999999974</v>
      </c>
      <c r="W12">
        <f>31*EXP(5.81244 + 0.25773*LN(Table3[[#This Row],[k_LOI]]) +
                   0.32107*LN((1-Table3[[#This Row],[k_LOI]])*Table3[[#This Row],[k_f_fines]]))/1000</f>
        <v>5.7437361171107444</v>
      </c>
      <c r="X12" s="3">
        <v>1.4321343249531604</v>
      </c>
      <c r="Y12" s="3">
        <v>1.4321105565979126</v>
      </c>
      <c r="Z12" s="3">
        <v>1.4321105565979126</v>
      </c>
      <c r="AA12" s="3">
        <v>1.4321105565979126</v>
      </c>
      <c r="AB12" s="5">
        <f>(Table3[[#This Row],[k_Ex_max]]-Table3[[#This Row],[k_Ex_max]]*Table3[[#This Row],[k_PSR]])/Table3[[#This Row],[k_PSR]]</f>
        <v>11.880258693471061</v>
      </c>
      <c r="AC12">
        <f>IF(Table3[[#This Row],[treatment]]="O2",AW$2,AW$3)</f>
        <v>1</v>
      </c>
      <c r="AD12" s="3">
        <f>(Table3[[#This Row],[k_Ex_max]]*Table3[[#This Row],[k_PSR]])/((Table3[[#This Row],[k_Ex_max]]-Table3[[#This Row],[k_PSR]]*Table3[[#This Row],[k_Ex_max]])*1.04)</f>
        <v>0.26565282725989275</v>
      </c>
      <c r="AE12" s="4">
        <f>IF(Table3[[#This Row],[treatment]]="O2",AR15*Table3[[#This Row],[k_E_opt3]]^(-1.207),3.7103*Table3[[#This Row],[k_E_opt3]]^-0.898)</f>
        <v>0.40199011176884347</v>
      </c>
      <c r="AF12" s="4">
        <f>(Table3[[#This Row],[k_Ex_max_modeled]]*Table3[[#This Row],[k_PSR]])/((Table3[[#This Row],[k_Ex_max_modeled]]-Table3[[#This Row],[k_PSR]]*Table3[[#This Row],[k_Ex_max_modeled]]))</f>
        <v>0.27627894035028849</v>
      </c>
      <c r="AG12" s="3">
        <f>Table3[[#This Row],[test_SRP_mgl_mean]]-Table3[[#This Row],[DIP_E]]</f>
        <v>-7.2737827259892751E-2</v>
      </c>
      <c r="AH12" s="3">
        <f t="shared" si="0"/>
        <v>-0.20907511176884347</v>
      </c>
      <c r="AI12" s="3">
        <f t="shared" si="1"/>
        <v>-8.336394035028849E-2</v>
      </c>
      <c r="AJ12" s="3">
        <f>ABS(Table3[[#This Row],[res_modeled_exmax]])</f>
        <v>8.336394035028849E-2</v>
      </c>
      <c r="AK12" s="3">
        <f>Table3[[#This Row],[res_measured_Ex_max]]^2</f>
        <v>4.3712402361154389E-2</v>
      </c>
      <c r="AL12">
        <f>Table3[[#This Row],[sqresid]]/((Table3[[#This Row],[DIP_E]]-AVERAGE(Table3[test_SRP_mgl_mean]))^2)</f>
        <v>5.5303815717818869</v>
      </c>
      <c r="AM12">
        <f>Table3[[#This Row],[sqresid]]/Table3[[#This Row],[test_SRP_mgl_sd]]</f>
        <v>0.43005444303521256</v>
      </c>
      <c r="AN12" cm="1">
        <f t="array" ref="AN12">IF(Table3[[#This Row],[treatment]]="O2",NA,Table3[[#This Row],[test_SRP_mgl_mean]])</f>
        <v>0.192915</v>
      </c>
      <c r="AO12" cm="1">
        <f t="array" ref="AO12">IF(Table3[[#This Row],[treatment]]="O2",NA,Table3[[#This Row],[DIP_E_measured_Ex_Max]])</f>
        <v>0.40199011176884347</v>
      </c>
    </row>
    <row r="13" spans="1:51" x14ac:dyDescent="0.25">
      <c r="A13" t="s">
        <v>44</v>
      </c>
      <c r="B13">
        <v>1</v>
      </c>
      <c r="C13" t="s">
        <v>34</v>
      </c>
      <c r="D13" t="s">
        <v>45</v>
      </c>
      <c r="E13">
        <v>11.9013888888888</v>
      </c>
      <c r="F13">
        <v>3.2606544901065203E-2</v>
      </c>
      <c r="G13">
        <v>3.4684554999999999E-2</v>
      </c>
      <c r="H13">
        <v>1.0692410954694601E-2</v>
      </c>
      <c r="I13">
        <v>21.5</v>
      </c>
      <c r="J13">
        <v>1.03E-2</v>
      </c>
      <c r="K13">
        <v>1</v>
      </c>
      <c r="L13">
        <v>0</v>
      </c>
      <c r="M13">
        <v>0</v>
      </c>
      <c r="N13">
        <v>1000</v>
      </c>
      <c r="O13">
        <v>0.12844880304923301</v>
      </c>
      <c r="P13">
        <v>1.9618026828991199E-2</v>
      </c>
      <c r="Q13">
        <v>3.2822652829194876</v>
      </c>
      <c r="R13">
        <v>0.17172013270924658</v>
      </c>
      <c r="S13">
        <v>0.21647222375577299</v>
      </c>
      <c r="T13">
        <v>3.5193609984933698E-4</v>
      </c>
      <c r="U13">
        <v>0.1</v>
      </c>
      <c r="V13">
        <v>0.94694999999999974</v>
      </c>
      <c r="W13">
        <f>31*EXP(5.81244 + 0.25773*LN(Table3[[#This Row],[k_LOI]]) +
                   0.32107*LN((1-Table3[[#This Row],[k_LOI]])*Table3[[#This Row],[k_f_fines]]))/1000</f>
        <v>5.7437361171107444</v>
      </c>
      <c r="X13" s="3">
        <v>7.971424594330732</v>
      </c>
      <c r="Y13" s="3">
        <v>7.9646298855884758</v>
      </c>
      <c r="Z13" s="3">
        <v>7.9646298855884758</v>
      </c>
      <c r="AA13" s="3">
        <v>7.9646298855884758</v>
      </c>
      <c r="AB13" s="5">
        <f>(Table3[[#This Row],[k_Ex_max]]-Table3[[#This Row],[k_Ex_max]]*Table3[[#This Row],[k_PSR]])/Table3[[#This Row],[k_PSR]]</f>
        <v>11.880258693471061</v>
      </c>
      <c r="AC13">
        <f>IF(Table3[[#This Row],[treatment]]="O2",AW$2,AW$3)</f>
        <v>1</v>
      </c>
      <c r="AD13" s="3">
        <f>(Table3[[#This Row],[k_Ex_max]]*Table3[[#This Row],[k_PSR]])/((Table3[[#This Row],[k_Ex_max]]-Table3[[#This Row],[k_PSR]]*Table3[[#This Row],[k_Ex_max]])*1.04)</f>
        <v>0.26565282725989275</v>
      </c>
      <c r="AE13" s="4">
        <f>IF(Table3[[#This Row],[treatment]]="O2",AR16*Table3[[#This Row],[k_E_opt3]]^(-1.207),3.7103*Table3[[#This Row],[k_E_opt3]]^-0.898)</f>
        <v>0</v>
      </c>
      <c r="AF13" s="4">
        <f>(Table3[[#This Row],[k_Ex_max_modeled]]*Table3[[#This Row],[k_PSR]])/((Table3[[#This Row],[k_Ex_max_modeled]]-Table3[[#This Row],[k_PSR]]*Table3[[#This Row],[k_Ex_max_modeled]]))</f>
        <v>0.27627894035028849</v>
      </c>
      <c r="AG13" s="3">
        <f>Table3[[#This Row],[test_SRP_mgl_mean]]-Table3[[#This Row],[DIP_E]]</f>
        <v>-0.23096827225989275</v>
      </c>
      <c r="AH13" s="3">
        <f t="shared" si="0"/>
        <v>3.4684554999999999E-2</v>
      </c>
      <c r="AI13" s="3">
        <f t="shared" si="1"/>
        <v>-0.24159438535028849</v>
      </c>
      <c r="AJ13" s="3">
        <f>ABS(Table3[[#This Row],[res_modeled_exmax]])</f>
        <v>0.24159438535028849</v>
      </c>
      <c r="AK13" s="3">
        <f>Table3[[#This Row],[res_measured_Ex_max]]^2</f>
        <v>1.203018355548025E-3</v>
      </c>
      <c r="AL13">
        <f>Table3[[#This Row],[sqresid]]/((Table3[[#This Row],[DIP_E]]-AVERAGE(Table3[test_SRP_mgl_mean]))^2)</f>
        <v>0.15220281166588451</v>
      </c>
      <c r="AM13">
        <f>Table3[[#This Row],[sqresid]]/Table3[[#This Row],[test_SRP_mgl_sd]]</f>
        <v>0.11251142147878526</v>
      </c>
      <c r="AN13" t="e" cm="1">
        <f t="array" ref="AN13">IF(Table3[[#This Row],[treatment]]="O2",NA,Table3[[#This Row],[test_SRP_mgl_mean]])</f>
        <v>#NAME?</v>
      </c>
      <c r="AO13" t="e" cm="1">
        <f t="array" ref="AO13">IF(Table3[[#This Row],[treatment]]="O2",NA,Table3[[#This Row],[DIP_E_measured_Ex_Max]])</f>
        <v>#NAME?</v>
      </c>
    </row>
    <row r="14" spans="1:51" x14ac:dyDescent="0.25">
      <c r="A14" t="s">
        <v>47</v>
      </c>
      <c r="B14">
        <v>0</v>
      </c>
      <c r="C14" t="s">
        <v>29</v>
      </c>
      <c r="D14" t="s">
        <v>48</v>
      </c>
      <c r="E14">
        <v>12.9583333333333</v>
      </c>
      <c r="F14">
        <v>3.5502283105022743E-2</v>
      </c>
      <c r="G14">
        <v>0.29113711111111101</v>
      </c>
      <c r="H14">
        <v>0.120331393515412</v>
      </c>
      <c r="I14">
        <v>18.5</v>
      </c>
      <c r="J14">
        <v>5.0000000000000001E-3</v>
      </c>
      <c r="K14">
        <v>1</v>
      </c>
      <c r="L14">
        <v>0</v>
      </c>
      <c r="M14">
        <v>0</v>
      </c>
      <c r="N14">
        <v>1000</v>
      </c>
      <c r="O14">
        <v>0.24332643327384401</v>
      </c>
      <c r="P14">
        <v>3.8927152125169E-2</v>
      </c>
      <c r="Q14">
        <v>3.2990540767432579</v>
      </c>
      <c r="R14">
        <v>0.70138782513144349</v>
      </c>
      <c r="S14">
        <v>0.12108195360572201</v>
      </c>
      <c r="T14">
        <v>1.8885537611178201E-3</v>
      </c>
      <c r="U14">
        <v>0.1125</v>
      </c>
      <c r="V14">
        <v>0.627000000000001</v>
      </c>
      <c r="W14">
        <f>31*EXP(5.81244 + 0.25773*LN(Table3[[#This Row],[k_LOI]]) +
                   0.32107*LN((1-Table3[[#This Row],[k_LOI]])*Table3[[#This Row],[k_f_fines]]))/1000</f>
        <v>5.6689775820855219</v>
      </c>
      <c r="X14" s="3">
        <v>0.47320115802487606</v>
      </c>
      <c r="Y14" s="3">
        <v>0.47318719983665941</v>
      </c>
      <c r="Z14" s="3">
        <v>0.47318719983665941</v>
      </c>
      <c r="AA14" s="3">
        <v>0.47318719983665941</v>
      </c>
      <c r="AB14" s="5">
        <f>(Table3[[#This Row],[k_Ex_max]]-Table3[[#This Row],[k_Ex_max]]*Table3[[#This Row],[k_PSR]])/Table3[[#This Row],[k_PSR]]</f>
        <v>23.947401555166479</v>
      </c>
      <c r="AC14">
        <f>IF(Table3[[#This Row],[treatment]]="O2",AW$2,AW$3)</f>
        <v>1</v>
      </c>
      <c r="AD14" s="3">
        <f>(Table3[[#This Row],[k_Ex_max]]*Table3[[#This Row],[k_PSR]])/((Table3[[#This Row],[k_Ex_max]]-Table3[[#This Row],[k_PSR]]*Table3[[#This Row],[k_Ex_max]])*1.04)</f>
        <v>0.13246394913353465</v>
      </c>
      <c r="AE14" s="4">
        <f>IF(Table3[[#This Row],[treatment]]="O2",AR17*Table3[[#This Row],[k_E_opt3]]^(-1.207),3.7103*Table3[[#This Row],[k_E_opt3]]^-0.898)</f>
        <v>0.21420765466669872</v>
      </c>
      <c r="AF14" s="4">
        <f>(Table3[[#This Row],[k_Ex_max_modeled]]*Table3[[#This Row],[k_PSR]])/((Table3[[#This Row],[k_Ex_max_modeled]]-Table3[[#This Row],[k_PSR]]*Table3[[#This Row],[k_Ex_max_modeled]]))</f>
        <v>0.13776250709887608</v>
      </c>
      <c r="AG14" s="3">
        <f>Table3[[#This Row],[test_SRP_mgl_mean]]-Table3[[#This Row],[DIP_E]]</f>
        <v>0.15867316197757636</v>
      </c>
      <c r="AH14" s="3">
        <f t="shared" si="0"/>
        <v>7.6929456444412292E-2</v>
      </c>
      <c r="AI14" s="3">
        <f t="shared" si="1"/>
        <v>0.15337460401223493</v>
      </c>
      <c r="AJ14" s="3">
        <f>ABS(Table3[[#This Row],[res_modeled_exmax]])</f>
        <v>0.15337460401223493</v>
      </c>
      <c r="AK14" s="3">
        <f>Table3[[#This Row],[res_measured_Ex_max]]^2</f>
        <v>5.9181412688327278E-3</v>
      </c>
      <c r="AL14">
        <f>Table3[[#This Row],[sqresid]]/((Table3[[#This Row],[DIP_E]]-AVERAGE(Table3[test_SRP_mgl_mean]))^2)</f>
        <v>0.11998121924313594</v>
      </c>
      <c r="AM14">
        <f>Table3[[#This Row],[sqresid]]/Table3[[#This Row],[test_SRP_mgl_sd]]</f>
        <v>4.9182022213303249E-2</v>
      </c>
      <c r="AN14" cm="1">
        <f t="array" ref="AN14">IF(Table3[[#This Row],[treatment]]="O2",NA,Table3[[#This Row],[test_SRP_mgl_mean]])</f>
        <v>0.29113711111111101</v>
      </c>
      <c r="AO14" cm="1">
        <f t="array" ref="AO14">IF(Table3[[#This Row],[treatment]]="O2",NA,Table3[[#This Row],[DIP_E_measured_Ex_Max]])</f>
        <v>0.21420765466669872</v>
      </c>
    </row>
    <row r="15" spans="1:51" x14ac:dyDescent="0.25">
      <c r="A15" t="s">
        <v>47</v>
      </c>
      <c r="B15">
        <v>0</v>
      </c>
      <c r="C15" t="s">
        <v>34</v>
      </c>
      <c r="D15" t="s">
        <v>48</v>
      </c>
      <c r="E15">
        <v>12.9583333333333</v>
      </c>
      <c r="F15">
        <v>3.5502283105022743E-2</v>
      </c>
      <c r="G15">
        <v>8.2485441111111099E-2</v>
      </c>
      <c r="H15">
        <v>3.8039194813819399E-2</v>
      </c>
      <c r="I15">
        <v>18.5</v>
      </c>
      <c r="J15">
        <v>5.0000000000000001E-3</v>
      </c>
      <c r="K15">
        <v>1</v>
      </c>
      <c r="L15">
        <v>0</v>
      </c>
      <c r="M15">
        <v>0</v>
      </c>
      <c r="N15">
        <v>1000</v>
      </c>
      <c r="O15">
        <v>0.24332643327384401</v>
      </c>
      <c r="P15">
        <v>3.8927152125169E-2</v>
      </c>
      <c r="Q15">
        <v>3.2990540767432579</v>
      </c>
      <c r="R15">
        <v>0.70138782513144349</v>
      </c>
      <c r="S15">
        <v>0.12108195360572201</v>
      </c>
      <c r="T15">
        <v>1.8885537611178201E-3</v>
      </c>
      <c r="U15">
        <v>0.1125</v>
      </c>
      <c r="V15">
        <v>0.627000000000001</v>
      </c>
      <c r="W15">
        <f>31*EXP(5.81244 + 0.25773*LN(Table3[[#This Row],[k_LOI]]) +
                   0.32107*LN((1-Table3[[#This Row],[k_LOI]])*Table3[[#This Row],[k_f_fines]]))/1000</f>
        <v>5.6689775820855219</v>
      </c>
      <c r="X15" s="3">
        <v>1.6701711573146134</v>
      </c>
      <c r="Y15" s="3">
        <v>1.6701452084145192</v>
      </c>
      <c r="Z15" s="3">
        <v>1.6701452084145192</v>
      </c>
      <c r="AA15" s="3">
        <v>1.6701452084145192</v>
      </c>
      <c r="AB15" s="5">
        <f>(Table3[[#This Row],[k_Ex_max]]-Table3[[#This Row],[k_Ex_max]]*Table3[[#This Row],[k_PSR]])/Table3[[#This Row],[k_PSR]]</f>
        <v>23.947401555166479</v>
      </c>
      <c r="AC15">
        <f>IF(Table3[[#This Row],[treatment]]="O2",AW$2,AW$3)</f>
        <v>1</v>
      </c>
      <c r="AD15" s="3">
        <f>(Table3[[#This Row],[k_Ex_max]]*Table3[[#This Row],[k_PSR]])/((Table3[[#This Row],[k_Ex_max]]-Table3[[#This Row],[k_PSR]]*Table3[[#This Row],[k_Ex_max]])*1.04)</f>
        <v>0.13246394913353465</v>
      </c>
      <c r="AE15" s="4">
        <f>IF(Table3[[#This Row],[treatment]]="O2",AR18*Table3[[#This Row],[k_E_opt3]]^(-1.207),3.7103*Table3[[#This Row],[k_E_opt3]]^-0.898)</f>
        <v>0</v>
      </c>
      <c r="AF15" s="4">
        <f>(Table3[[#This Row],[k_Ex_max_modeled]]*Table3[[#This Row],[k_PSR]])/((Table3[[#This Row],[k_Ex_max_modeled]]-Table3[[#This Row],[k_PSR]]*Table3[[#This Row],[k_Ex_max_modeled]]))</f>
        <v>0.13776250709887608</v>
      </c>
      <c r="AG15" s="3">
        <f>Table3[[#This Row],[test_SRP_mgl_mean]]-Table3[[#This Row],[DIP_E]]</f>
        <v>-4.9978508022423554E-2</v>
      </c>
      <c r="AH15" s="3">
        <f t="shared" si="0"/>
        <v>8.2485441111111099E-2</v>
      </c>
      <c r="AI15" s="3">
        <f t="shared" si="1"/>
        <v>-5.5277065987764981E-2</v>
      </c>
      <c r="AJ15" s="3">
        <f>ABS(Table3[[#This Row],[res_modeled_exmax]])</f>
        <v>5.5277065987764981E-2</v>
      </c>
      <c r="AK15" s="3">
        <f>Table3[[#This Row],[res_measured_Ex_max]]^2</f>
        <v>6.8038479952945768E-3</v>
      </c>
      <c r="AL15">
        <f>Table3[[#This Row],[sqresid]]/((Table3[[#This Row],[DIP_E]]-AVERAGE(Table3[test_SRP_mgl_mean]))^2)</f>
        <v>0.13793756197060505</v>
      </c>
      <c r="AM15">
        <f>Table3[[#This Row],[sqresid]]/Table3[[#This Row],[test_SRP_mgl_sd]]</f>
        <v>0.17886414338146772</v>
      </c>
      <c r="AN15" t="e" cm="1">
        <f t="array" ref="AN15">IF(Table3[[#This Row],[treatment]]="O2",NA,Table3[[#This Row],[test_SRP_mgl_mean]])</f>
        <v>#NAME?</v>
      </c>
      <c r="AO15" t="e" cm="1">
        <f t="array" ref="AO15">IF(Table3[[#This Row],[treatment]]="O2",NA,Table3[[#This Row],[DIP_E_measured_Ex_Max]])</f>
        <v>#NAME?</v>
      </c>
    </row>
    <row r="16" spans="1:51" x14ac:dyDescent="0.25">
      <c r="A16" t="s">
        <v>47</v>
      </c>
      <c r="B16">
        <v>2</v>
      </c>
      <c r="C16" t="s">
        <v>29</v>
      </c>
      <c r="D16" t="s">
        <v>49</v>
      </c>
      <c r="E16">
        <v>12.7215277777777</v>
      </c>
      <c r="F16">
        <v>3.4853500761034793E-2</v>
      </c>
      <c r="G16">
        <v>0.21734500000000001</v>
      </c>
      <c r="H16">
        <v>8.1940761712349194E-2</v>
      </c>
      <c r="I16">
        <v>21.883333333333301</v>
      </c>
      <c r="J16">
        <v>5.0000000000000001E-3</v>
      </c>
      <c r="K16">
        <v>1</v>
      </c>
      <c r="L16">
        <v>0</v>
      </c>
      <c r="M16">
        <v>0</v>
      </c>
      <c r="N16">
        <v>1000</v>
      </c>
      <c r="O16">
        <v>0.18933589983291399</v>
      </c>
      <c r="P16">
        <v>1.49523386325979E-2</v>
      </c>
      <c r="Q16">
        <v>4.1544527455095768</v>
      </c>
      <c r="R16">
        <v>0.34397317583787801</v>
      </c>
      <c r="S16">
        <v>8.6802561034888495E-2</v>
      </c>
      <c r="T16">
        <v>5.3704682955372602E-3</v>
      </c>
      <c r="U16">
        <v>0.3125</v>
      </c>
      <c r="V16">
        <v>0.8327</v>
      </c>
      <c r="W16">
        <f>31*EXP(5.81244 + 0.25773*LN(Table3[[#This Row],[k_LOI]]) +
                   0.32107*LN((1-Table3[[#This Row],[k_LOI]])*Table3[[#This Row],[k_f_fines]]))/1000</f>
        <v>5.9510882345833513</v>
      </c>
      <c r="X16" s="3">
        <v>0.43734695641039151</v>
      </c>
      <c r="Y16" s="3">
        <v>0.43734002413974676</v>
      </c>
      <c r="Z16" s="3">
        <v>0.43734002413974676</v>
      </c>
      <c r="AA16" s="3">
        <v>0.43734002413974676</v>
      </c>
      <c r="AB16" s="5">
        <f>(Table3[[#This Row],[k_Ex_max]]-Table3[[#This Row],[k_Ex_max]]*Table3[[#This Row],[k_PSR]])/Table3[[#This Row],[k_PSR]]</f>
        <v>43.706493936003433</v>
      </c>
      <c r="AC16">
        <f>IF(Table3[[#This Row],[treatment]]="O2",AW$2,AW$3)</f>
        <v>1</v>
      </c>
      <c r="AD16" s="3">
        <f>(Table3[[#This Row],[k_Ex_max]]*Table3[[#This Row],[k_PSR]])/((Table3[[#This Row],[k_Ex_max]]-Table3[[#This Row],[k_PSR]]*Table3[[#This Row],[k_Ex_max]])*1.04)</f>
        <v>9.1397541685696526E-2</v>
      </c>
      <c r="AE16" s="4">
        <f>IF(Table3[[#This Row],[treatment]]="O2",AR19*Table3[[#This Row],[k_E_opt3]]^(-1.207),3.7103*Table3[[#This Row],[k_E_opt3]]^-0.898)</f>
        <v>0.12479544837414119</v>
      </c>
      <c r="AF16" s="4">
        <f>(Table3[[#This Row],[k_Ex_max_modeled]]*Table3[[#This Row],[k_PSR]])/((Table3[[#This Row],[k_Ex_max_modeled]]-Table3[[#This Row],[k_PSR]]*Table3[[#This Row],[k_Ex_max_modeled]]))</f>
        <v>9.5053443353124392E-2</v>
      </c>
      <c r="AG16" s="3">
        <f>Table3[[#This Row],[test_SRP_mgl_mean]]-Table3[[#This Row],[DIP_E]]</f>
        <v>0.12594745831430348</v>
      </c>
      <c r="AH16" s="3">
        <f t="shared" si="0"/>
        <v>9.2549551625858817E-2</v>
      </c>
      <c r="AI16" s="3">
        <f t="shared" si="1"/>
        <v>0.12229155664687562</v>
      </c>
      <c r="AJ16" s="3">
        <f>ABS(Table3[[#This Row],[res_modeled_exmax]])</f>
        <v>0.12229155664687562</v>
      </c>
      <c r="AK16" s="3">
        <f>Table3[[#This Row],[res_measured_Ex_max]]^2</f>
        <v>8.5654195061475071E-3</v>
      </c>
      <c r="AL16">
        <f>Table3[[#This Row],[sqresid]]/((Table3[[#This Row],[DIP_E]]-AVERAGE(Table3[test_SRP_mgl_mean]))^2)</f>
        <v>0.12368267912729981</v>
      </c>
      <c r="AM16">
        <f>Table3[[#This Row],[sqresid]]/Table3[[#This Row],[test_SRP_mgl_sd]]</f>
        <v>0.10453185114651702</v>
      </c>
      <c r="AN16" cm="1">
        <f t="array" ref="AN16">IF(Table3[[#This Row],[treatment]]="O2",NA,Table3[[#This Row],[test_SRP_mgl_mean]])</f>
        <v>0.21734500000000001</v>
      </c>
      <c r="AO16" cm="1">
        <f t="array" ref="AO16">IF(Table3[[#This Row],[treatment]]="O2",NA,Table3[[#This Row],[DIP_E_measured_Ex_Max]])</f>
        <v>0.12479544837414119</v>
      </c>
    </row>
    <row r="17" spans="1:44" x14ac:dyDescent="0.25">
      <c r="A17" t="s">
        <v>47</v>
      </c>
      <c r="B17">
        <v>2</v>
      </c>
      <c r="C17" t="s">
        <v>34</v>
      </c>
      <c r="D17" t="s">
        <v>49</v>
      </c>
      <c r="E17">
        <v>12.7215277777777</v>
      </c>
      <c r="F17">
        <v>3.4853500761034793E-2</v>
      </c>
      <c r="G17">
        <v>0.13182666666666601</v>
      </c>
      <c r="H17">
        <v>9.8072050792601798E-2</v>
      </c>
      <c r="I17">
        <v>22.033333333333299</v>
      </c>
      <c r="J17">
        <v>5.0000000000000001E-3</v>
      </c>
      <c r="K17">
        <v>1</v>
      </c>
      <c r="L17">
        <v>0</v>
      </c>
      <c r="M17">
        <v>0</v>
      </c>
      <c r="N17">
        <v>1000</v>
      </c>
      <c r="O17">
        <v>0.18933589983291399</v>
      </c>
      <c r="P17">
        <v>1.49523386325979E-2</v>
      </c>
      <c r="Q17">
        <v>4.1544527455095768</v>
      </c>
      <c r="R17">
        <v>0.34397317583787801</v>
      </c>
      <c r="S17">
        <v>8.6802561034888495E-2</v>
      </c>
      <c r="T17">
        <v>5.3704682955372602E-3</v>
      </c>
      <c r="U17">
        <v>0.3125</v>
      </c>
      <c r="V17">
        <v>0.8327</v>
      </c>
      <c r="W17">
        <f>31*EXP(5.81244 + 0.25773*LN(Table3[[#This Row],[k_LOI]]) +
                   0.32107*LN((1-Table3[[#This Row],[k_LOI]])*Table3[[#This Row],[k_f_fines]]))/1000</f>
        <v>5.9510882345833513</v>
      </c>
      <c r="X17" s="3">
        <v>0.72104521884900363</v>
      </c>
      <c r="Y17" s="3">
        <v>0.72104399637721572</v>
      </c>
      <c r="Z17" s="3">
        <v>0.72104399637721572</v>
      </c>
      <c r="AA17" s="3">
        <v>0.72104399637721572</v>
      </c>
      <c r="AB17" s="5">
        <f>(Table3[[#This Row],[k_Ex_max]]-Table3[[#This Row],[k_Ex_max]]*Table3[[#This Row],[k_PSR]])/Table3[[#This Row],[k_PSR]]</f>
        <v>43.706493936003433</v>
      </c>
      <c r="AC17">
        <f>IF(Table3[[#This Row],[treatment]]="O2",AW$2,AW$3)</f>
        <v>1</v>
      </c>
      <c r="AD17" s="3">
        <f>(Table3[[#This Row],[k_Ex_max]]*Table3[[#This Row],[k_PSR]])/((Table3[[#This Row],[k_Ex_max]]-Table3[[#This Row],[k_PSR]]*Table3[[#This Row],[k_Ex_max]])*1.04)</f>
        <v>9.1397541685696526E-2</v>
      </c>
      <c r="AE17" s="4">
        <f>IF(Table3[[#This Row],[treatment]]="O2",AR20*Table3[[#This Row],[k_E_opt3]]^(-1.207),3.7103*Table3[[#This Row],[k_E_opt3]]^-0.898)</f>
        <v>0</v>
      </c>
      <c r="AF17" s="4">
        <f>(Table3[[#This Row],[k_Ex_max_modeled]]*Table3[[#This Row],[k_PSR]])/((Table3[[#This Row],[k_Ex_max_modeled]]-Table3[[#This Row],[k_PSR]]*Table3[[#This Row],[k_Ex_max_modeled]]))</f>
        <v>9.5053443353124392E-2</v>
      </c>
      <c r="AG17" s="3">
        <f>Table3[[#This Row],[test_SRP_mgl_mean]]-Table3[[#This Row],[DIP_E]]</f>
        <v>4.0429124980969483E-2</v>
      </c>
      <c r="AH17" s="3">
        <f t="shared" si="0"/>
        <v>0.13182666666666601</v>
      </c>
      <c r="AI17" s="3">
        <f t="shared" si="1"/>
        <v>3.6773223313541617E-2</v>
      </c>
      <c r="AJ17" s="3">
        <f>ABS(Table3[[#This Row],[res_modeled_exmax]])</f>
        <v>3.6773223313541617E-2</v>
      </c>
      <c r="AK17" s="3">
        <f>Table3[[#This Row],[res_measured_Ex_max]]^2</f>
        <v>1.7378270044444272E-2</v>
      </c>
      <c r="AL17">
        <f>Table3[[#This Row],[sqresid]]/((Table3[[#This Row],[DIP_E]]-AVERAGE(Table3[test_SRP_mgl_mean]))^2)</f>
        <v>0.25093820520430116</v>
      </c>
      <c r="AM17">
        <f>Table3[[#This Row],[sqresid]]/Table3[[#This Row],[test_SRP_mgl_sd]]</f>
        <v>0.17719900730122415</v>
      </c>
      <c r="AN17" t="e" cm="1">
        <f t="array" ref="AN17">IF(Table3[[#This Row],[treatment]]="O2",NA,Table3[[#This Row],[test_SRP_mgl_mean]])</f>
        <v>#NAME?</v>
      </c>
      <c r="AO17" t="e" cm="1">
        <f t="array" ref="AO17">IF(Table3[[#This Row],[treatment]]="O2",NA,Table3[[#This Row],[DIP_E_measured_Ex_Max]])</f>
        <v>#NAME?</v>
      </c>
    </row>
    <row r="18" spans="1:44" x14ac:dyDescent="0.25">
      <c r="A18" t="s">
        <v>47</v>
      </c>
      <c r="B18">
        <v>4</v>
      </c>
      <c r="C18" t="s">
        <v>29</v>
      </c>
      <c r="D18" t="s">
        <v>50</v>
      </c>
      <c r="E18">
        <v>12.9583333333333</v>
      </c>
      <c r="F18">
        <v>3.5502283105022743E-2</v>
      </c>
      <c r="G18">
        <v>0.26560011111111098</v>
      </c>
      <c r="H18">
        <v>9.3647453169379405E-2</v>
      </c>
      <c r="I18">
        <v>18.5</v>
      </c>
      <c r="J18">
        <v>5.0000000000000001E-3</v>
      </c>
      <c r="K18">
        <v>1</v>
      </c>
      <c r="L18">
        <v>0</v>
      </c>
      <c r="M18">
        <v>0</v>
      </c>
      <c r="N18">
        <v>1000</v>
      </c>
      <c r="O18">
        <v>0.15390817741973201</v>
      </c>
      <c r="P18">
        <v>1.9617302845701699E-2</v>
      </c>
      <c r="Q18">
        <v>3.8975680285658489</v>
      </c>
      <c r="R18">
        <v>0.78988702345664952</v>
      </c>
      <c r="S18">
        <v>7.0812255367552701E-2</v>
      </c>
      <c r="T18">
        <v>6.4440036911691603E-3</v>
      </c>
      <c r="U18">
        <v>0.35</v>
      </c>
      <c r="V18">
        <v>0.84515000000000096</v>
      </c>
      <c r="W18">
        <f>31*EXP(5.81244 + 0.25773*LN(Table3[[#This Row],[k_LOI]]) +
                   0.32107*LN((1-Table3[[#This Row],[k_LOI]])*Table3[[#This Row],[k_f_fines]]))/1000</f>
        <v>5.7470084904018295</v>
      </c>
      <c r="X18" s="3">
        <v>0.2869300473238694</v>
      </c>
      <c r="Y18" s="3">
        <v>0.28692980854031286</v>
      </c>
      <c r="Z18" s="3">
        <v>0.28692980854031286</v>
      </c>
      <c r="AA18" s="3">
        <v>0.28692980854031286</v>
      </c>
      <c r="AB18" s="5">
        <f>(Table3[[#This Row],[k_Ex_max]]-Table3[[#This Row],[k_Ex_max]]*Table3[[#This Row],[k_PSR]])/Table3[[#This Row],[k_PSR]]</f>
        <v>51.143300368231131</v>
      </c>
      <c r="AC18">
        <f>IF(Table3[[#This Row],[treatment]]="O2",AW$2,AW$3)</f>
        <v>1</v>
      </c>
      <c r="AD18" s="3">
        <f>(Table3[[#This Row],[k_Ex_max]]*Table3[[#This Row],[k_PSR]])/((Table3[[#This Row],[k_Ex_max]]-Table3[[#This Row],[k_PSR]]*Table3[[#This Row],[k_Ex_max]])*1.04)</f>
        <v>7.3277663720283659E-2</v>
      </c>
      <c r="AE18" s="4">
        <f>IF(Table3[[#This Row],[treatment]]="O2",AR21*Table3[[#This Row],[k_E_opt3]]^(-1.207),3.7103*Table3[[#This Row],[k_E_opt3]]^-0.898)</f>
        <v>0.10837191020988825</v>
      </c>
      <c r="AF18" s="4">
        <f>(Table3[[#This Row],[k_Ex_max_modeled]]*Table3[[#This Row],[k_PSR]])/((Table3[[#This Row],[k_Ex_max_modeled]]-Table3[[#This Row],[k_PSR]]*Table3[[#This Row],[k_Ex_max_modeled]]))</f>
        <v>7.6208770269095019E-2</v>
      </c>
      <c r="AG18" s="3">
        <f>Table3[[#This Row],[test_SRP_mgl_mean]]-Table3[[#This Row],[DIP_E]]</f>
        <v>0.19232244739082732</v>
      </c>
      <c r="AH18" s="3">
        <f t="shared" si="0"/>
        <v>0.15722820090122275</v>
      </c>
      <c r="AI18" s="3">
        <f t="shared" si="1"/>
        <v>0.18939134084201598</v>
      </c>
      <c r="AJ18" s="3">
        <f>ABS(Table3[[#This Row],[res_modeled_exmax]])</f>
        <v>0.18939134084201598</v>
      </c>
      <c r="AK18" s="3">
        <f>Table3[[#This Row],[res_measured_Ex_max]]^2</f>
        <v>2.4720707158635263E-2</v>
      </c>
      <c r="AL18">
        <f>Table3[[#This Row],[sqresid]]/((Table3[[#This Row],[DIP_E]]-AVERAGE(Table3[test_SRP_mgl_mean]))^2)</f>
        <v>0.31245218158687643</v>
      </c>
      <c r="AM18">
        <f>Table3[[#This Row],[sqresid]]/Table3[[#This Row],[test_SRP_mgl_sd]]</f>
        <v>0.26397628896456071</v>
      </c>
      <c r="AN18" cm="1">
        <f t="array" ref="AN18">IF(Table3[[#This Row],[treatment]]="O2",NA,Table3[[#This Row],[test_SRP_mgl_mean]])</f>
        <v>0.26560011111111098</v>
      </c>
      <c r="AO18" cm="1">
        <f t="array" ref="AO18">IF(Table3[[#This Row],[treatment]]="O2",NA,Table3[[#This Row],[DIP_E_measured_Ex_Max]])</f>
        <v>0.10837191020988825</v>
      </c>
    </row>
    <row r="19" spans="1:44" x14ac:dyDescent="0.25">
      <c r="A19" t="s">
        <v>47</v>
      </c>
      <c r="B19">
        <v>4</v>
      </c>
      <c r="C19" t="s">
        <v>34</v>
      </c>
      <c r="D19" t="s">
        <v>50</v>
      </c>
      <c r="E19">
        <v>12.9583333333333</v>
      </c>
      <c r="F19">
        <v>3.5502283105022743E-2</v>
      </c>
      <c r="G19">
        <v>0.19173777777777701</v>
      </c>
      <c r="H19">
        <v>0.17064035283951501</v>
      </c>
      <c r="I19">
        <v>18.5</v>
      </c>
      <c r="J19">
        <v>5.0000000000000001E-3</v>
      </c>
      <c r="K19">
        <v>1</v>
      </c>
      <c r="L19">
        <v>0</v>
      </c>
      <c r="M19">
        <v>0</v>
      </c>
      <c r="N19">
        <v>1000</v>
      </c>
      <c r="O19">
        <v>0.15390817741973201</v>
      </c>
      <c r="P19">
        <v>1.9617302845701699E-2</v>
      </c>
      <c r="Q19">
        <v>3.8975680285658489</v>
      </c>
      <c r="R19">
        <v>0.78988702345664952</v>
      </c>
      <c r="S19">
        <v>7.0812255367552701E-2</v>
      </c>
      <c r="T19">
        <v>6.4440036911691603E-3</v>
      </c>
      <c r="U19">
        <v>0.35</v>
      </c>
      <c r="V19">
        <v>0.84515000000000096</v>
      </c>
      <c r="W19">
        <f>31*EXP(5.81244 + 0.25773*LN(Table3[[#This Row],[k_LOI]]) +
                   0.32107*LN((1-Table3[[#This Row],[k_LOI]])*Table3[[#This Row],[k_f_fines]]))/1000</f>
        <v>5.7470084904018295</v>
      </c>
      <c r="X19" s="3">
        <v>0.39746125114645142</v>
      </c>
      <c r="Y19" s="3">
        <v>0.3974669180765813</v>
      </c>
      <c r="Z19" s="3">
        <v>0.3974669180765813</v>
      </c>
      <c r="AA19" s="3">
        <v>0.3974669180765813</v>
      </c>
      <c r="AB19" s="5">
        <f>(Table3[[#This Row],[k_Ex_max]]-Table3[[#This Row],[k_Ex_max]]*Table3[[#This Row],[k_PSR]])/Table3[[#This Row],[k_PSR]]</f>
        <v>51.143300368231131</v>
      </c>
      <c r="AC19">
        <f>IF(Table3[[#This Row],[treatment]]="O2",AW$2,AW$3)</f>
        <v>1</v>
      </c>
      <c r="AD19" s="3">
        <f>(Table3[[#This Row],[k_Ex_max]]*Table3[[#This Row],[k_PSR]])/((Table3[[#This Row],[k_Ex_max]]-Table3[[#This Row],[k_PSR]]*Table3[[#This Row],[k_Ex_max]])*1.04)</f>
        <v>7.3277663720283659E-2</v>
      </c>
      <c r="AE19" s="4">
        <f>IF(Table3[[#This Row],[treatment]]="O2",AR22*Table3[[#This Row],[k_E_opt3]]^(-1.207),3.7103*Table3[[#This Row],[k_E_opt3]]^-0.898)</f>
        <v>0</v>
      </c>
      <c r="AF19" s="4">
        <f>(Table3[[#This Row],[k_Ex_max_modeled]]*Table3[[#This Row],[k_PSR]])/((Table3[[#This Row],[k_Ex_max_modeled]]-Table3[[#This Row],[k_PSR]]*Table3[[#This Row],[k_Ex_max_modeled]]))</f>
        <v>7.6208770269095019E-2</v>
      </c>
      <c r="AG19" s="3">
        <f>Table3[[#This Row],[test_SRP_mgl_mean]]-Table3[[#This Row],[DIP_E]]</f>
        <v>0.11846011405749335</v>
      </c>
      <c r="AH19" s="3">
        <f t="shared" si="0"/>
        <v>0.19173777777777701</v>
      </c>
      <c r="AI19" s="3">
        <f t="shared" si="1"/>
        <v>0.11552900750868199</v>
      </c>
      <c r="AJ19" s="3">
        <f>ABS(Table3[[#This Row],[res_modeled_exmax]])</f>
        <v>0.11552900750868199</v>
      </c>
      <c r="AK19" s="3">
        <f>Table3[[#This Row],[res_measured_Ex_max]]^2</f>
        <v>3.6763375427160197E-2</v>
      </c>
      <c r="AL19">
        <f>Table3[[#This Row],[sqresid]]/((Table3[[#This Row],[DIP_E]]-AVERAGE(Table3[test_SRP_mgl_mean]))^2)</f>
        <v>0.46466295567524174</v>
      </c>
      <c r="AM19">
        <f>Table3[[#This Row],[sqresid]]/Table3[[#This Row],[test_SRP_mgl_sd]]</f>
        <v>0.21544362054698554</v>
      </c>
      <c r="AN19" t="e" cm="1">
        <f t="array" ref="AN19">IF(Table3[[#This Row],[treatment]]="O2",NA,Table3[[#This Row],[test_SRP_mgl_mean]])</f>
        <v>#NAME?</v>
      </c>
      <c r="AO19" t="e" cm="1">
        <f t="array" ref="AO19">IF(Table3[[#This Row],[treatment]]="O2",NA,Table3[[#This Row],[DIP_E_measured_Ex_Max]])</f>
        <v>#NAME?</v>
      </c>
    </row>
    <row r="20" spans="1:44" x14ac:dyDescent="0.25">
      <c r="A20" t="s">
        <v>51</v>
      </c>
      <c r="B20">
        <v>2</v>
      </c>
      <c r="C20" t="s">
        <v>29</v>
      </c>
      <c r="D20" t="s">
        <v>52</v>
      </c>
      <c r="E20">
        <v>11.8541666666666</v>
      </c>
      <c r="F20">
        <v>3.2477168949771505E-2</v>
      </c>
      <c r="G20">
        <v>5.4716333333333297E-2</v>
      </c>
      <c r="H20">
        <v>1.9346238731770701E-2</v>
      </c>
      <c r="I20">
        <v>20.9</v>
      </c>
      <c r="J20">
        <v>5.0000000000000001E-3</v>
      </c>
      <c r="K20">
        <v>1</v>
      </c>
      <c r="L20">
        <v>0</v>
      </c>
      <c r="M20">
        <v>0</v>
      </c>
      <c r="N20">
        <v>1000</v>
      </c>
      <c r="O20">
        <v>0.14368950938824801</v>
      </c>
      <c r="P20">
        <v>1.9235110086295599E-2</v>
      </c>
      <c r="Q20">
        <v>4.8764386117153666</v>
      </c>
      <c r="R20">
        <v>2.0455037414314323</v>
      </c>
      <c r="S20">
        <v>0.13769728204517101</v>
      </c>
      <c r="T20">
        <v>2.6392867811864298E-2</v>
      </c>
      <c r="U20">
        <v>0.1875</v>
      </c>
      <c r="V20">
        <v>0.96204999999999996</v>
      </c>
      <c r="W20">
        <f>31*EXP(5.81244 + 0.25773*LN(Table3[[#This Row],[k_LOI]]) +
                   0.32107*LN((1-Table3[[#This Row],[k_LOI]])*Table3[[#This Row],[k_f_fines]]))/1000</f>
        <v>5.9086825962620768</v>
      </c>
      <c r="X20" s="3">
        <v>2.9182462786039194</v>
      </c>
      <c r="Y20" s="3">
        <v>2.9185519097839916</v>
      </c>
      <c r="Z20" s="3">
        <v>2.9185519097839916</v>
      </c>
      <c r="AA20" s="3">
        <v>2.9185519097839916</v>
      </c>
      <c r="AB20" s="5">
        <f>(Table3[[#This Row],[k_Ex_max]]-Table3[[#This Row],[k_Ex_max]]*Table3[[#This Row],[k_PSR]])/Table3[[#This Row],[k_PSR]]</f>
        <v>30.53775794530652</v>
      </c>
      <c r="AC20">
        <f>IF(Table3[[#This Row],[treatment]]="O2",AW$2,AW$3)</f>
        <v>1</v>
      </c>
      <c r="AD20" s="3">
        <f>(Table3[[#This Row],[k_Ex_max]]*Table3[[#This Row],[k_PSR]])/((Table3[[#This Row],[k_Ex_max]]-Table3[[#This Row],[k_PSR]]*Table3[[#This Row],[k_Ex_max]])*1.04)</f>
        <v>0.1535437961389762</v>
      </c>
      <c r="AE20" s="4">
        <f>IF(Table3[[#This Row],[treatment]]="O2",AR23*Table3[[#This Row],[k_E_opt3]]^(-1.207),3.7103*Table3[[#This Row],[k_E_opt3]]^-0.898)</f>
        <v>0.17219687556125574</v>
      </c>
      <c r="AF20" s="4">
        <f>(Table3[[#This Row],[k_Ex_max_modeled]]*Table3[[#This Row],[k_PSR]])/((Table3[[#This Row],[k_Ex_max_modeled]]-Table3[[#This Row],[k_PSR]]*Table3[[#This Row],[k_Ex_max_modeled]]))</f>
        <v>0.15968554798453524</v>
      </c>
      <c r="AG20" s="3">
        <f>Table3[[#This Row],[test_SRP_mgl_mean]]-Table3[[#This Row],[DIP_E]]</f>
        <v>-9.8827462805642904E-2</v>
      </c>
      <c r="AH20" s="3">
        <f t="shared" si="0"/>
        <v>-0.11748054222792244</v>
      </c>
      <c r="AI20" s="3">
        <f t="shared" si="1"/>
        <v>-0.10496921465120194</v>
      </c>
      <c r="AJ20" s="3">
        <f>ABS(Table3[[#This Row],[res_modeled_exmax]])</f>
        <v>0.10496921465120194</v>
      </c>
      <c r="AK20" s="3">
        <f>Table3[[#This Row],[res_measured_Ex_max]]^2</f>
        <v>1.3801677802166666E-2</v>
      </c>
      <c r="AL20">
        <f>Table3[[#This Row],[sqresid]]/((Table3[[#This Row],[DIP_E]]-AVERAGE(Table3[test_SRP_mgl_mean]))^2)</f>
        <v>0.3415705149617056</v>
      </c>
      <c r="AM20">
        <f>Table3[[#This Row],[sqresid]]/Table3[[#This Row],[test_SRP_mgl_sd]]</f>
        <v>0.71340367466371291</v>
      </c>
      <c r="AN20" cm="1">
        <f t="array" ref="AN20">IF(Table3[[#This Row],[treatment]]="O2",NA,Table3[[#This Row],[test_SRP_mgl_mean]])</f>
        <v>5.4716333333333297E-2</v>
      </c>
      <c r="AO20" cm="1">
        <f t="array" ref="AO20">IF(Table3[[#This Row],[treatment]]="O2",NA,Table3[[#This Row],[DIP_E_measured_Ex_Max]])</f>
        <v>0.17219687556125574</v>
      </c>
    </row>
    <row r="21" spans="1:44" x14ac:dyDescent="0.25">
      <c r="A21" t="s">
        <v>51</v>
      </c>
      <c r="B21">
        <v>2</v>
      </c>
      <c r="C21" t="s">
        <v>34</v>
      </c>
      <c r="D21" t="s">
        <v>52</v>
      </c>
      <c r="E21">
        <v>12.0375</v>
      </c>
      <c r="F21">
        <v>3.2979452054794522E-2</v>
      </c>
      <c r="G21">
        <v>3.1295040000000003E-2</v>
      </c>
      <c r="H21">
        <v>1.35637109637444E-2</v>
      </c>
      <c r="I21">
        <v>20.94</v>
      </c>
      <c r="J21">
        <v>5.0000000000000001E-3</v>
      </c>
      <c r="K21">
        <v>1</v>
      </c>
      <c r="L21">
        <v>0</v>
      </c>
      <c r="M21">
        <v>0</v>
      </c>
      <c r="N21">
        <v>1000</v>
      </c>
      <c r="O21">
        <v>0.14368950938824801</v>
      </c>
      <c r="P21">
        <v>1.9235110086295599E-2</v>
      </c>
      <c r="Q21">
        <v>4.8764386117153666</v>
      </c>
      <c r="R21">
        <v>2.0455037414314323</v>
      </c>
      <c r="S21">
        <v>0.13769728204517101</v>
      </c>
      <c r="T21">
        <v>2.6392867811864298E-2</v>
      </c>
      <c r="U21">
        <v>0.1875</v>
      </c>
      <c r="V21">
        <v>0.96204999999999996</v>
      </c>
      <c r="W21">
        <f>31*EXP(5.81244 + 0.25773*LN(Table3[[#This Row],[k_LOI]]) +
                   0.32107*LN((1-Table3[[#This Row],[k_LOI]])*Table3[[#This Row],[k_f_fines]]))/1000</f>
        <v>5.9086825962620768</v>
      </c>
      <c r="X21" s="3">
        <v>5.1077965443419027</v>
      </c>
      <c r="Y21" s="3">
        <v>5.1026689982740265</v>
      </c>
      <c r="Z21" s="3">
        <v>5.1026689982740265</v>
      </c>
      <c r="AA21" s="3">
        <v>5.1026689982740265</v>
      </c>
      <c r="AB21" s="5">
        <f>(Table3[[#This Row],[k_Ex_max]]-Table3[[#This Row],[k_Ex_max]]*Table3[[#This Row],[k_PSR]])/Table3[[#This Row],[k_PSR]]</f>
        <v>30.53775794530652</v>
      </c>
      <c r="AC21">
        <f>IF(Table3[[#This Row],[treatment]]="O2",AW$2,AW$3)</f>
        <v>1</v>
      </c>
      <c r="AD21" s="3">
        <f>(Table3[[#This Row],[k_Ex_max]]*Table3[[#This Row],[k_PSR]])/((Table3[[#This Row],[k_Ex_max]]-Table3[[#This Row],[k_PSR]]*Table3[[#This Row],[k_Ex_max]])*1.04)</f>
        <v>0.1535437961389762</v>
      </c>
      <c r="AE21" s="4">
        <f>IF(Table3[[#This Row],[treatment]]="O2",AR24*Table3[[#This Row],[k_E_opt3]]^(-1.207),3.7103*Table3[[#This Row],[k_E_opt3]]^-0.898)</f>
        <v>0</v>
      </c>
      <c r="AF21" s="4">
        <f>(Table3[[#This Row],[k_Ex_max_modeled]]*Table3[[#This Row],[k_PSR]])/((Table3[[#This Row],[k_Ex_max_modeled]]-Table3[[#This Row],[k_PSR]]*Table3[[#This Row],[k_Ex_max_modeled]]))</f>
        <v>0.15968554798453524</v>
      </c>
      <c r="AG21" s="3">
        <f>Table3[[#This Row],[test_SRP_mgl_mean]]-Table3[[#This Row],[DIP_E]]</f>
        <v>-0.12224875613897621</v>
      </c>
      <c r="AH21" s="3">
        <f t="shared" si="0"/>
        <v>3.1295040000000003E-2</v>
      </c>
      <c r="AI21" s="3">
        <f t="shared" si="1"/>
        <v>-0.12839050798453525</v>
      </c>
      <c r="AJ21" s="3">
        <f>ABS(Table3[[#This Row],[res_modeled_exmax]])</f>
        <v>0.12839050798453525</v>
      </c>
      <c r="AK21" s="3">
        <f>Table3[[#This Row],[res_measured_Ex_max]]^2</f>
        <v>9.7937952860160027E-4</v>
      </c>
      <c r="AL21">
        <f>Table3[[#This Row],[sqresid]]/((Table3[[#This Row],[DIP_E]]-AVERAGE(Table3[test_SRP_mgl_mean]))^2)</f>
        <v>2.4238152398752929E-2</v>
      </c>
      <c r="AM21">
        <f>Table3[[#This Row],[sqresid]]/Table3[[#This Row],[test_SRP_mgl_sd]]</f>
        <v>7.2205868380671584E-2</v>
      </c>
      <c r="AN21" t="e" cm="1">
        <f t="array" ref="AN21">IF(Table3[[#This Row],[treatment]]="O2",NA,Table3[[#This Row],[test_SRP_mgl_mean]])</f>
        <v>#NAME?</v>
      </c>
      <c r="AO21" t="e" cm="1">
        <f t="array" ref="AO21">IF(Table3[[#This Row],[treatment]]="O2",NA,Table3[[#This Row],[DIP_E_measured_Ex_Max]])</f>
        <v>#NAME?</v>
      </c>
    </row>
    <row r="22" spans="1:44" x14ac:dyDescent="0.25">
      <c r="A22" t="s">
        <v>53</v>
      </c>
      <c r="B22">
        <v>0</v>
      </c>
      <c r="C22" t="s">
        <v>29</v>
      </c>
      <c r="D22" t="s">
        <v>54</v>
      </c>
      <c r="E22">
        <v>12.1197916666666</v>
      </c>
      <c r="F22">
        <v>3.3204908675798908E-2</v>
      </c>
      <c r="G22">
        <v>5.4714833333333303E-2</v>
      </c>
      <c r="H22">
        <v>2.6266694500254401E-2</v>
      </c>
      <c r="I22">
        <v>17.899999999999999</v>
      </c>
      <c r="J22">
        <v>5.0000000000000001E-3</v>
      </c>
      <c r="K22">
        <v>1</v>
      </c>
      <c r="L22">
        <v>0</v>
      </c>
      <c r="M22">
        <v>0</v>
      </c>
      <c r="N22">
        <v>1000</v>
      </c>
      <c r="O22">
        <v>0.30302184014062</v>
      </c>
      <c r="P22">
        <v>0.153130290058243</v>
      </c>
      <c r="Q22">
        <v>5.1033010153106515</v>
      </c>
      <c r="R22">
        <v>0.25327487557832956</v>
      </c>
      <c r="S22">
        <v>0.12636902230536501</v>
      </c>
      <c r="T22">
        <v>8.7690613348932796E-3</v>
      </c>
      <c r="U22">
        <v>0.15</v>
      </c>
      <c r="V22">
        <v>0.93550000000000044</v>
      </c>
      <c r="W22">
        <f>31*EXP(5.81244 + 0.25773*LN(Table3[[#This Row],[k_LOI]]) +
                   0.32107*LN((1-Table3[[#This Row],[k_LOI]])*Table3[[#This Row],[k_f_fines]]))/1000</f>
        <v>6.6435161869668171</v>
      </c>
      <c r="X22" s="3">
        <v>2.6436853939620928</v>
      </c>
      <c r="Y22" s="3">
        <v>2.6436570684517551</v>
      </c>
      <c r="Z22" s="3">
        <v>2.6436570684517551</v>
      </c>
      <c r="AA22" s="3">
        <v>2.6436570684517551</v>
      </c>
      <c r="AB22" s="5">
        <f>(Table3[[#This Row],[k_Ex_max]]-Table3[[#This Row],[k_Ex_max]]*Table3[[#This Row],[k_PSR]])/Table3[[#This Row],[k_PSR]]</f>
        <v>35.280813083307258</v>
      </c>
      <c r="AC22">
        <f>IF(Table3[[#This Row],[treatment]]="O2",AW$2,AW$3)</f>
        <v>1</v>
      </c>
      <c r="AD22" s="3">
        <f>(Table3[[#This Row],[k_Ex_max]]*Table3[[#This Row],[k_PSR]])/((Table3[[#This Row],[k_Ex_max]]-Table3[[#This Row],[k_PSR]]*Table3[[#This Row],[k_Ex_max]])*1.04)</f>
        <v>0.13908466892309737</v>
      </c>
      <c r="AE22" s="4">
        <f>IF(Table3[[#This Row],[treatment]]="O2",AR25*Table3[[#This Row],[k_E_opt3]]^(-1.207),3.7103*Table3[[#This Row],[k_E_opt3]]^-0.898)</f>
        <v>0.15125835630979714</v>
      </c>
      <c r="AF22" s="4">
        <f>(Table3[[#This Row],[k_Ex_max_modeled]]*Table3[[#This Row],[k_PSR]])/((Table3[[#This Row],[k_Ex_max_modeled]]-Table3[[#This Row],[k_PSR]]*Table3[[#This Row],[k_Ex_max_modeled]]))</f>
        <v>0.14464805568002129</v>
      </c>
      <c r="AG22" s="3">
        <f>Table3[[#This Row],[test_SRP_mgl_mean]]-Table3[[#This Row],[DIP_E]]</f>
        <v>-8.4369835589764075E-2</v>
      </c>
      <c r="AH22" s="3">
        <f t="shared" si="0"/>
        <v>-9.6543522976463847E-2</v>
      </c>
      <c r="AI22" s="3">
        <f t="shared" si="1"/>
        <v>-8.9933222346687991E-2</v>
      </c>
      <c r="AJ22" s="3">
        <f>ABS(Table3[[#This Row],[res_modeled_exmax]])</f>
        <v>8.9933222346687991E-2</v>
      </c>
      <c r="AK22" s="3">
        <f>Table3[[#This Row],[res_measured_Ex_max]]^2</f>
        <v>9.3206518287070033E-3</v>
      </c>
      <c r="AL22">
        <f>Table3[[#This Row],[sqresid]]/((Table3[[#This Row],[DIP_E]]-AVERAGE(Table3[test_SRP_mgl_mean]))^2)</f>
        <v>0.20075255588488264</v>
      </c>
      <c r="AM22">
        <f>Table3[[#This Row],[sqresid]]/Table3[[#This Row],[test_SRP_mgl_sd]]</f>
        <v>0.35484677482416871</v>
      </c>
      <c r="AN22" cm="1">
        <f t="array" ref="AN22">IF(Table3[[#This Row],[treatment]]="O2",NA,Table3[[#This Row],[test_SRP_mgl_mean]])</f>
        <v>5.4714833333333303E-2</v>
      </c>
      <c r="AO22" cm="1">
        <f t="array" ref="AO22">IF(Table3[[#This Row],[treatment]]="O2",NA,Table3[[#This Row],[DIP_E_measured_Ex_Max]])</f>
        <v>0.15125835630979714</v>
      </c>
    </row>
    <row r="23" spans="1:44" x14ac:dyDescent="0.25">
      <c r="A23" t="s">
        <v>53</v>
      </c>
      <c r="B23">
        <v>0</v>
      </c>
      <c r="C23" t="s">
        <v>34</v>
      </c>
      <c r="D23" t="s">
        <v>54</v>
      </c>
      <c r="E23">
        <v>12.1197916666666</v>
      </c>
      <c r="F23">
        <v>3.3204908675798908E-2</v>
      </c>
      <c r="G23">
        <v>2.6090916666666599E-2</v>
      </c>
      <c r="H23">
        <v>1.2001582633956899E-2</v>
      </c>
      <c r="I23">
        <v>17.899999999999999</v>
      </c>
      <c r="J23">
        <v>5.0000000000000001E-3</v>
      </c>
      <c r="K23">
        <v>1</v>
      </c>
      <c r="L23">
        <v>0</v>
      </c>
      <c r="M23">
        <v>0</v>
      </c>
      <c r="N23">
        <v>1000</v>
      </c>
      <c r="O23">
        <v>0.30302184014062</v>
      </c>
      <c r="P23">
        <v>0.153130290058243</v>
      </c>
      <c r="Q23">
        <v>5.1033010153106515</v>
      </c>
      <c r="R23">
        <v>0.25327487557832956</v>
      </c>
      <c r="S23">
        <v>0.12636902230536501</v>
      </c>
      <c r="T23">
        <v>8.7690613348932796E-3</v>
      </c>
      <c r="U23">
        <v>0.15</v>
      </c>
      <c r="V23">
        <v>0.93550000000000044</v>
      </c>
      <c r="W23">
        <f>31*EXP(5.81244 + 0.25773*LN(Table3[[#This Row],[k_LOI]]) +
                   0.32107*LN((1-Table3[[#This Row],[k_LOI]])*Table3[[#This Row],[k_f_fines]]))/1000</f>
        <v>6.6435161869668171</v>
      </c>
      <c r="X23" s="3">
        <v>5.5392186565269297</v>
      </c>
      <c r="Y23" s="3">
        <v>5.5427368644703225</v>
      </c>
      <c r="Z23" s="3">
        <v>5.5427368644703225</v>
      </c>
      <c r="AA23" s="3">
        <v>5.5427368644703225</v>
      </c>
      <c r="AB23" s="5">
        <f>(Table3[[#This Row],[k_Ex_max]]-Table3[[#This Row],[k_Ex_max]]*Table3[[#This Row],[k_PSR]])/Table3[[#This Row],[k_PSR]]</f>
        <v>35.280813083307258</v>
      </c>
      <c r="AC23">
        <f>IF(Table3[[#This Row],[treatment]]="O2",AW$2,AW$3)</f>
        <v>1</v>
      </c>
      <c r="AD23" s="3">
        <f>(Table3[[#This Row],[k_Ex_max]]*Table3[[#This Row],[k_PSR]])/((Table3[[#This Row],[k_Ex_max]]-Table3[[#This Row],[k_PSR]]*Table3[[#This Row],[k_Ex_max]])*1.04)</f>
        <v>0.13908466892309737</v>
      </c>
      <c r="AE23" s="4">
        <f>IF(Table3[[#This Row],[treatment]]="O2",AR26*Table3[[#This Row],[k_E_opt3]]^(-1.207),3.7103*Table3[[#This Row],[k_E_opt3]]^-0.898)</f>
        <v>-4.0667004351889177E-2</v>
      </c>
      <c r="AF23" s="4">
        <f>(Table3[[#This Row],[k_Ex_max_modeled]]*Table3[[#This Row],[k_PSR]])/((Table3[[#This Row],[k_Ex_max_modeled]]-Table3[[#This Row],[k_PSR]]*Table3[[#This Row],[k_Ex_max_modeled]]))</f>
        <v>0.14464805568002129</v>
      </c>
      <c r="AG23" s="3">
        <f>Table3[[#This Row],[test_SRP_mgl_mean]]-Table3[[#This Row],[DIP_E]]</f>
        <v>-0.11299375225643077</v>
      </c>
      <c r="AH23" s="3">
        <f t="shared" si="0"/>
        <v>6.675792101855578E-2</v>
      </c>
      <c r="AI23" s="3">
        <f t="shared" si="1"/>
        <v>-0.11855713901335468</v>
      </c>
      <c r="AJ23" s="3">
        <f>ABS(Table3[[#This Row],[res_modeled_exmax]])</f>
        <v>0.11855713901335468</v>
      </c>
      <c r="AK23" s="3">
        <f>Table3[[#This Row],[res_measured_Ex_max]]^2</f>
        <v>4.4566200187197312E-3</v>
      </c>
      <c r="AL23">
        <f>Table3[[#This Row],[sqresid]]/((Table3[[#This Row],[DIP_E]]-AVERAGE(Table3[test_SRP_mgl_mean]))^2)</f>
        <v>9.5988765143031063E-2</v>
      </c>
      <c r="AM23">
        <f>Table3[[#This Row],[sqresid]]/Table3[[#This Row],[test_SRP_mgl_sd]]</f>
        <v>0.37133602747610228</v>
      </c>
      <c r="AN23" t="e" cm="1">
        <f t="array" ref="AN23">IF(Table3[[#This Row],[treatment]]="O2",NA,Table3[[#This Row],[test_SRP_mgl_mean]])</f>
        <v>#NAME?</v>
      </c>
      <c r="AO23" t="e" cm="1">
        <f t="array" ref="AO23">IF(Table3[[#This Row],[treatment]]="O2",NA,Table3[[#This Row],[DIP_E_measured_Ex_Max]])</f>
        <v>#NAME?</v>
      </c>
    </row>
    <row r="24" spans="1:44" x14ac:dyDescent="0.25">
      <c r="A24" t="s">
        <v>53</v>
      </c>
      <c r="B24">
        <v>2</v>
      </c>
      <c r="C24" t="s">
        <v>29</v>
      </c>
      <c r="D24" t="s">
        <v>56</v>
      </c>
      <c r="E24">
        <v>11.7708333333333</v>
      </c>
      <c r="F24">
        <v>3.2248858447488496E-2</v>
      </c>
      <c r="G24">
        <v>6.5570000000000003E-2</v>
      </c>
      <c r="H24">
        <v>3.1894877958694202E-2</v>
      </c>
      <c r="I24">
        <v>22</v>
      </c>
      <c r="J24">
        <v>5.0000000000000001E-3</v>
      </c>
      <c r="K24">
        <v>1</v>
      </c>
      <c r="L24">
        <v>0</v>
      </c>
      <c r="M24">
        <v>0</v>
      </c>
      <c r="N24">
        <v>1000</v>
      </c>
      <c r="O24">
        <v>0.18842595944789201</v>
      </c>
      <c r="P24">
        <v>6.9673932908379602E-2</v>
      </c>
      <c r="Q24">
        <v>5.2015466728380426</v>
      </c>
      <c r="R24">
        <v>0.49392553647726184</v>
      </c>
      <c r="S24">
        <v>0.12152131348389</v>
      </c>
      <c r="T24">
        <v>1.4063252994677099E-2</v>
      </c>
      <c r="U24">
        <v>0.1</v>
      </c>
      <c r="V24">
        <v>0.93744999999999978</v>
      </c>
      <c r="W24">
        <f>31*EXP(5.81244 + 0.25773*LN(Table3[[#This Row],[k_LOI]]) +
                   0.32107*LN((1-Table3[[#This Row],[k_LOI]])*Table3[[#This Row],[k_f_fines]]))/1000</f>
        <v>6.1764041040944768</v>
      </c>
      <c r="X24" s="3">
        <v>2.1096550047804818</v>
      </c>
      <c r="Y24" s="3">
        <v>2.1096881297655532</v>
      </c>
      <c r="Z24" s="3">
        <v>2.1096881297655532</v>
      </c>
      <c r="AA24" s="3">
        <v>2.1096881297655532</v>
      </c>
      <c r="AB24" s="5">
        <f>(Table3[[#This Row],[k_Ex_max]]-Table3[[#This Row],[k_Ex_max]]*Table3[[#This Row],[k_PSR]])/Table3[[#This Row],[k_PSR]]</f>
        <v>37.602028467317176</v>
      </c>
      <c r="AC24">
        <f>IF(Table3[[#This Row],[treatment]]="O2",AW$2,AW$3)</f>
        <v>1</v>
      </c>
      <c r="AD24" s="3">
        <f>(Table3[[#This Row],[k_Ex_max]]*Table3[[#This Row],[k_PSR]])/((Table3[[#This Row],[k_Ex_max]]-Table3[[#This Row],[k_PSR]]*Table3[[#This Row],[k_Ex_max]])*1.04)</f>
        <v>0.13301110044550848</v>
      </c>
      <c r="AE24" s="4">
        <f>IF(Table3[[#This Row],[treatment]]="O2",AR27*Table3[[#This Row],[k_E_opt3]]^(-1.207),3.7103*Table3[[#This Row],[k_E_opt3]]^-0.898)</f>
        <v>0.14284640085369429</v>
      </c>
      <c r="AF24" s="4">
        <f>(Table3[[#This Row],[k_Ex_max_modeled]]*Table3[[#This Row],[k_PSR]])/((Table3[[#This Row],[k_Ex_max_modeled]]-Table3[[#This Row],[k_PSR]]*Table3[[#This Row],[k_Ex_max_modeled]]))</f>
        <v>0.13833154446332888</v>
      </c>
      <c r="AG24" s="3">
        <f>Table3[[#This Row],[test_SRP_mgl_mean]]-Table3[[#This Row],[DIP_E]]</f>
        <v>-6.7441100445508481E-2</v>
      </c>
      <c r="AH24" s="3">
        <f t="shared" si="0"/>
        <v>-7.7276400853694291E-2</v>
      </c>
      <c r="AI24" s="3">
        <f t="shared" si="1"/>
        <v>-7.2761544463328873E-2</v>
      </c>
      <c r="AJ24" s="3">
        <f>ABS(Table3[[#This Row],[res_modeled_exmax]])</f>
        <v>7.2761544463328873E-2</v>
      </c>
      <c r="AK24" s="3">
        <f>Table3[[#This Row],[res_measured_Ex_max]]^2</f>
        <v>5.9716421289008441E-3</v>
      </c>
      <c r="AL24">
        <f>Table3[[#This Row],[sqresid]]/((Table3[[#This Row],[DIP_E]]-AVERAGE(Table3[test_SRP_mgl_mean]))^2)</f>
        <v>0.12166459601790307</v>
      </c>
      <c r="AM24">
        <f>Table3[[#This Row],[sqresid]]/Table3[[#This Row],[test_SRP_mgl_sd]]</f>
        <v>0.18722887532708174</v>
      </c>
      <c r="AN24" cm="1">
        <f t="array" ref="AN24">IF(Table3[[#This Row],[treatment]]="O2",NA,Table3[[#This Row],[test_SRP_mgl_mean]])</f>
        <v>6.5570000000000003E-2</v>
      </c>
      <c r="AO24" cm="1">
        <f t="array" ref="AO24">IF(Table3[[#This Row],[treatment]]="O2",NA,Table3[[#This Row],[DIP_E_measured_Ex_Max]])</f>
        <v>0.14284640085369429</v>
      </c>
    </row>
    <row r="25" spans="1:44" x14ac:dyDescent="0.25">
      <c r="A25" t="s">
        <v>53</v>
      </c>
      <c r="B25">
        <v>2</v>
      </c>
      <c r="C25" t="s">
        <v>34</v>
      </c>
      <c r="D25" t="s">
        <v>56</v>
      </c>
      <c r="E25">
        <v>11.7708333333333</v>
      </c>
      <c r="F25">
        <v>3.2248858447488496E-2</v>
      </c>
      <c r="G25">
        <v>1.88066666666666E-2</v>
      </c>
      <c r="H25">
        <v>6.0025483477158803E-3</v>
      </c>
      <c r="I25">
        <v>22.066666666666599</v>
      </c>
      <c r="J25">
        <v>5.0000000000000001E-3</v>
      </c>
      <c r="K25">
        <v>1</v>
      </c>
      <c r="L25">
        <v>0</v>
      </c>
      <c r="M25">
        <v>0</v>
      </c>
      <c r="N25">
        <v>1000</v>
      </c>
      <c r="O25">
        <v>0.18842595944789201</v>
      </c>
      <c r="P25">
        <v>6.9673932908379602E-2</v>
      </c>
      <c r="Q25">
        <v>5.2015466728380426</v>
      </c>
      <c r="R25">
        <v>0.49392553647726184</v>
      </c>
      <c r="S25">
        <v>0.12152131348389</v>
      </c>
      <c r="T25">
        <v>1.4063252994677099E-2</v>
      </c>
      <c r="U25">
        <v>0.1</v>
      </c>
      <c r="V25">
        <v>0.93744999999999978</v>
      </c>
      <c r="W25">
        <f>31*EXP(5.81244 + 0.25773*LN(Table3[[#This Row],[k_LOI]]) +
                   0.32107*LN((1-Table3[[#This Row],[k_LOI]])*Table3[[#This Row],[k_f_fines]]))/1000</f>
        <v>6.1764041040944768</v>
      </c>
      <c r="X25" s="3">
        <v>7.3535635744726893</v>
      </c>
      <c r="Y25" s="3">
        <v>7.3543432812849465</v>
      </c>
      <c r="Z25" s="3">
        <v>7.3543432812849465</v>
      </c>
      <c r="AA25" s="3">
        <v>7.3543432812849465</v>
      </c>
      <c r="AB25" s="5">
        <f>(Table3[[#This Row],[k_Ex_max]]-Table3[[#This Row],[k_Ex_max]]*Table3[[#This Row],[k_PSR]])/Table3[[#This Row],[k_PSR]]</f>
        <v>37.602028467317176</v>
      </c>
      <c r="AC25">
        <f>IF(Table3[[#This Row],[treatment]]="O2",AW$2,AW$3)</f>
        <v>1</v>
      </c>
      <c r="AD25" s="3">
        <f>(Table3[[#This Row],[k_Ex_max]]*Table3[[#This Row],[k_PSR]])/((Table3[[#This Row],[k_Ex_max]]-Table3[[#This Row],[k_PSR]]*Table3[[#This Row],[k_Ex_max]])*1.04)</f>
        <v>0.13301110044550848</v>
      </c>
      <c r="AE25" s="4">
        <f>IF(Table3[[#This Row],[treatment]]="O2",AR28*Table3[[#This Row],[k_E_opt3]]^(-1.207),3.7103*Table3[[#This Row],[k_E_opt3]]^-0.898)</f>
        <v>0</v>
      </c>
      <c r="AF25" s="4">
        <f>(Table3[[#This Row],[k_Ex_max_modeled]]*Table3[[#This Row],[k_PSR]])/((Table3[[#This Row],[k_Ex_max_modeled]]-Table3[[#This Row],[k_PSR]]*Table3[[#This Row],[k_Ex_max_modeled]]))</f>
        <v>0.13833154446332888</v>
      </c>
      <c r="AG25" s="3">
        <f>Table3[[#This Row],[test_SRP_mgl_mean]]-Table3[[#This Row],[DIP_E]]</f>
        <v>-0.11420443377884189</v>
      </c>
      <c r="AH25" s="3">
        <f t="shared" si="0"/>
        <v>1.88066666666666E-2</v>
      </c>
      <c r="AI25" s="3">
        <f t="shared" si="1"/>
        <v>-0.11952487779666228</v>
      </c>
      <c r="AJ25" s="3">
        <f>ABS(Table3[[#This Row],[res_modeled_exmax]])</f>
        <v>0.11952487779666228</v>
      </c>
      <c r="AK25" s="3">
        <f>Table3[[#This Row],[res_measured_Ex_max]]^2</f>
        <v>3.5369071111110862E-4</v>
      </c>
      <c r="AL25">
        <f>Table3[[#This Row],[sqresid]]/((Table3[[#This Row],[DIP_E]]-AVERAGE(Table3[test_SRP_mgl_mean]))^2)</f>
        <v>7.2059973712018822E-3</v>
      </c>
      <c r="AM25">
        <f>Table3[[#This Row],[sqresid]]/Table3[[#This Row],[test_SRP_mgl_sd]]</f>
        <v>5.8923425622335351E-2</v>
      </c>
      <c r="AN25" t="e" cm="1">
        <f t="array" ref="AN25">IF(Table3[[#This Row],[treatment]]="O2",NA,Table3[[#This Row],[test_SRP_mgl_mean]])</f>
        <v>#NAME?</v>
      </c>
      <c r="AO25" t="e" cm="1">
        <f t="array" ref="AO25">IF(Table3[[#This Row],[treatment]]="O2",NA,Table3[[#This Row],[DIP_E_measured_Ex_Max]])</f>
        <v>#NAME?</v>
      </c>
      <c r="AQ25" t="s">
        <v>200</v>
      </c>
      <c r="AR25">
        <v>-2</v>
      </c>
    </row>
    <row r="26" spans="1:44" x14ac:dyDescent="0.25">
      <c r="A26" t="s">
        <v>53</v>
      </c>
      <c r="B26">
        <v>4</v>
      </c>
      <c r="C26" t="s">
        <v>29</v>
      </c>
      <c r="D26" t="s">
        <v>57</v>
      </c>
      <c r="E26">
        <v>12.1197916666666</v>
      </c>
      <c r="F26">
        <v>3.3204908675798908E-2</v>
      </c>
      <c r="G26">
        <v>6.0130666666666603E-2</v>
      </c>
      <c r="H26">
        <v>1.80524161230231E-2</v>
      </c>
      <c r="I26">
        <v>17.899999999999999</v>
      </c>
      <c r="J26">
        <v>5.0000000000000001E-3</v>
      </c>
      <c r="K26">
        <v>1</v>
      </c>
      <c r="L26">
        <v>0</v>
      </c>
      <c r="M26">
        <v>0</v>
      </c>
      <c r="N26">
        <v>1000</v>
      </c>
      <c r="O26">
        <v>0.18059922159706801</v>
      </c>
      <c r="P26">
        <v>9.1992407245965205E-2</v>
      </c>
      <c r="Q26">
        <v>5.0044323171897167</v>
      </c>
      <c r="R26">
        <v>0.23563250103273525</v>
      </c>
      <c r="S26">
        <v>9.29082874792765E-2</v>
      </c>
      <c r="T26">
        <v>1.48384997574793E-2</v>
      </c>
      <c r="U26">
        <v>8.7499999999999994E-2</v>
      </c>
      <c r="V26">
        <v>0.84010000000000096</v>
      </c>
      <c r="W26">
        <f>31*EXP(5.81244 + 0.25773*LN(Table3[[#This Row],[k_LOI]]) +
                   0.32107*LN((1-Table3[[#This Row],[k_LOI]])*Table3[[#This Row],[k_f_fines]]))/1000</f>
        <v>5.91611931191576</v>
      </c>
      <c r="X26" s="3">
        <v>1.7034971158449983</v>
      </c>
      <c r="Y26" s="3">
        <v>1.7032628408364245</v>
      </c>
      <c r="Z26" s="3">
        <v>1.7032628408364245</v>
      </c>
      <c r="AA26" s="3">
        <v>1.7032628408364245</v>
      </c>
      <c r="AB26" s="5">
        <f>(Table3[[#This Row],[k_Ex_max]]-Table3[[#This Row],[k_Ex_max]]*Table3[[#This Row],[k_PSR]])/Table3[[#This Row],[k_PSR]]</f>
        <v>48.859786397485998</v>
      </c>
      <c r="AC26">
        <f>IF(Table3[[#This Row],[treatment]]="O2",AW$2,AW$3)</f>
        <v>1</v>
      </c>
      <c r="AD26" s="3">
        <f>(Table3[[#This Row],[k_Ex_max]]*Table3[[#This Row],[k_PSR]])/((Table3[[#This Row],[k_Ex_max]]-Table3[[#This Row],[k_PSR]]*Table3[[#This Row],[k_Ex_max]])*1.04)</f>
        <v>9.8484960863266274E-2</v>
      </c>
      <c r="AE26" s="4">
        <f>IF(Table3[[#This Row],[treatment]]="O2",AR29*Table3[[#This Row],[k_E_opt3]]^(-1.207),3.7103*Table3[[#This Row],[k_E_opt3]]^-0.898)</f>
        <v>0.11290950978838418</v>
      </c>
      <c r="AF26" s="4">
        <f>(Table3[[#This Row],[k_Ex_max_modeled]]*Table3[[#This Row],[k_PSR]])/((Table3[[#This Row],[k_Ex_max_modeled]]-Table3[[#This Row],[k_PSR]]*Table3[[#This Row],[k_Ex_max_modeled]]))</f>
        <v>0.10242435929779692</v>
      </c>
      <c r="AG26" s="3">
        <f>Table3[[#This Row],[test_SRP_mgl_mean]]-Table3[[#This Row],[DIP_E]]</f>
        <v>-3.8354294196599671E-2</v>
      </c>
      <c r="AH26" s="3">
        <f t="shared" si="0"/>
        <v>-5.2778843121717579E-2</v>
      </c>
      <c r="AI26" s="3">
        <f t="shared" si="1"/>
        <v>-4.2293692631130315E-2</v>
      </c>
      <c r="AJ26" s="3">
        <f>ABS(Table3[[#This Row],[res_modeled_exmax]])</f>
        <v>4.2293692631130315E-2</v>
      </c>
      <c r="AK26" s="3">
        <f>Table3[[#This Row],[res_measured_Ex_max]]^2</f>
        <v>2.7856062812668752E-3</v>
      </c>
      <c r="AL26">
        <f>Table3[[#This Row],[sqresid]]/((Table3[[#This Row],[DIP_E]]-AVERAGE(Table3[test_SRP_mgl_mean]))^2)</f>
        <v>4.2480887116307861E-2</v>
      </c>
      <c r="AM26">
        <f>Table3[[#This Row],[sqresid]]/Table3[[#This Row],[test_SRP_mgl_sd]]</f>
        <v>0.15430656274947371</v>
      </c>
      <c r="AN26" cm="1">
        <f t="array" ref="AN26">IF(Table3[[#This Row],[treatment]]="O2",NA,Table3[[#This Row],[test_SRP_mgl_mean]])</f>
        <v>6.0130666666666603E-2</v>
      </c>
      <c r="AO26" cm="1">
        <f t="array" ref="AO26">IF(Table3[[#This Row],[treatment]]="O2",NA,Table3[[#This Row],[DIP_E_measured_Ex_Max]])</f>
        <v>0.11290950978838418</v>
      </c>
      <c r="AQ26" t="s">
        <v>201</v>
      </c>
      <c r="AR26">
        <v>-3</v>
      </c>
    </row>
    <row r="27" spans="1:44" x14ac:dyDescent="0.25">
      <c r="A27" t="s">
        <v>53</v>
      </c>
      <c r="B27">
        <v>4</v>
      </c>
      <c r="C27" t="s">
        <v>34</v>
      </c>
      <c r="D27" t="s">
        <v>57</v>
      </c>
      <c r="E27">
        <v>12.1197916666666</v>
      </c>
      <c r="F27">
        <v>3.3204908675798908E-2</v>
      </c>
      <c r="G27">
        <v>2.2963916666666601E-2</v>
      </c>
      <c r="H27">
        <v>5.7500183945687301E-3</v>
      </c>
      <c r="I27">
        <v>17.899999999999999</v>
      </c>
      <c r="J27">
        <v>5.0000000000000001E-3</v>
      </c>
      <c r="K27">
        <v>1</v>
      </c>
      <c r="L27">
        <v>0</v>
      </c>
      <c r="M27">
        <v>0</v>
      </c>
      <c r="N27">
        <v>1000</v>
      </c>
      <c r="O27">
        <v>0.18059922159706801</v>
      </c>
      <c r="P27">
        <v>9.1992407245965205E-2</v>
      </c>
      <c r="Q27">
        <v>5.0044323171897167</v>
      </c>
      <c r="R27">
        <v>0.23563250103273525</v>
      </c>
      <c r="S27">
        <v>9.29082874792765E-2</v>
      </c>
      <c r="T27">
        <v>1.48384997574793E-2</v>
      </c>
      <c r="U27">
        <v>8.7499999999999994E-2</v>
      </c>
      <c r="V27">
        <v>0.84010000000000096</v>
      </c>
      <c r="W27">
        <f>31*EXP(5.81244 + 0.25773*LN(Table3[[#This Row],[k_LOI]]) +
                   0.32107*LN((1-Table3[[#This Row],[k_LOI]])*Table3[[#This Row],[k_f_fines]]))/1000</f>
        <v>5.91611931191576</v>
      </c>
      <c r="X27" s="3">
        <v>4.4623409990516372</v>
      </c>
      <c r="Y27" s="3">
        <v>4.461088834543026</v>
      </c>
      <c r="Z27" s="3">
        <v>4.461088834543026</v>
      </c>
      <c r="AA27" s="3">
        <v>4.461088834543026</v>
      </c>
      <c r="AB27" s="5">
        <f>(Table3[[#This Row],[k_Ex_max]]-Table3[[#This Row],[k_Ex_max]]*Table3[[#This Row],[k_PSR]])/Table3[[#This Row],[k_PSR]]</f>
        <v>48.859786397485998</v>
      </c>
      <c r="AC27">
        <f>IF(Table3[[#This Row],[treatment]]="O2",AW$2,AW$3)</f>
        <v>1</v>
      </c>
      <c r="AD27" s="3">
        <f>(Table3[[#This Row],[k_Ex_max]]*Table3[[#This Row],[k_PSR]])/((Table3[[#This Row],[k_Ex_max]]-Table3[[#This Row],[k_PSR]]*Table3[[#This Row],[k_Ex_max]])*1.04)</f>
        <v>9.8484960863266274E-2</v>
      </c>
      <c r="AE27" s="4">
        <f>IF(Table3[[#This Row],[treatment]]="O2",AR30*Table3[[#This Row],[k_E_opt3]]^(-1.207),3.7103*Table3[[#This Row],[k_E_opt3]]^-0.898)</f>
        <v>0</v>
      </c>
      <c r="AF27" s="4">
        <f>(Table3[[#This Row],[k_Ex_max_modeled]]*Table3[[#This Row],[k_PSR]])/((Table3[[#This Row],[k_Ex_max_modeled]]-Table3[[#This Row],[k_PSR]]*Table3[[#This Row],[k_Ex_max_modeled]]))</f>
        <v>0.10242435929779692</v>
      </c>
      <c r="AG27" s="3">
        <f>Table3[[#This Row],[test_SRP_mgl_mean]]-Table3[[#This Row],[DIP_E]]</f>
        <v>-7.5521044196599676E-2</v>
      </c>
      <c r="AH27" s="3">
        <f t="shared" si="0"/>
        <v>2.2963916666666601E-2</v>
      </c>
      <c r="AI27" s="3">
        <f t="shared" si="1"/>
        <v>-7.9460442631130321E-2</v>
      </c>
      <c r="AJ27" s="3">
        <f>ABS(Table3[[#This Row],[res_modeled_exmax]])</f>
        <v>7.9460442631130321E-2</v>
      </c>
      <c r="AK27" s="3">
        <f>Table3[[#This Row],[res_measured_Ex_max]]^2</f>
        <v>5.2734146867360813E-4</v>
      </c>
      <c r="AL27">
        <f>Table3[[#This Row],[sqresid]]/((Table3[[#This Row],[DIP_E]]-AVERAGE(Table3[test_SRP_mgl_mean]))^2)</f>
        <v>8.0420314791519263E-3</v>
      </c>
      <c r="AM27">
        <f>Table3[[#This Row],[sqresid]]/Table3[[#This Row],[test_SRP_mgl_sd]]</f>
        <v>9.1711266379898335E-2</v>
      </c>
      <c r="AN27" t="e" cm="1">
        <f t="array" ref="AN27">IF(Table3[[#This Row],[treatment]]="O2",NA,Table3[[#This Row],[test_SRP_mgl_mean]])</f>
        <v>#NAME?</v>
      </c>
      <c r="AO27" t="e" cm="1">
        <f t="array" ref="AO27">IF(Table3[[#This Row],[treatment]]="O2",NA,Table3[[#This Row],[DIP_E_measured_Ex_Max]])</f>
        <v>#NAME?</v>
      </c>
    </row>
    <row r="28" spans="1:44" x14ac:dyDescent="0.25">
      <c r="A28" t="s">
        <v>53</v>
      </c>
      <c r="B28" t="s">
        <v>58</v>
      </c>
      <c r="C28" t="s">
        <v>29</v>
      </c>
      <c r="D28" t="s">
        <v>59</v>
      </c>
      <c r="E28">
        <v>11.2552083333333</v>
      </c>
      <c r="F28">
        <v>3.0836187214611781E-2</v>
      </c>
      <c r="G28">
        <v>0.42969616666666599</v>
      </c>
      <c r="H28">
        <v>0.275736950199581</v>
      </c>
      <c r="I28">
        <v>19.05</v>
      </c>
      <c r="J28">
        <v>5.0000000000000001E-3</v>
      </c>
      <c r="K28">
        <v>1</v>
      </c>
      <c r="L28">
        <v>0</v>
      </c>
      <c r="M28">
        <v>0</v>
      </c>
      <c r="N28">
        <v>1000</v>
      </c>
      <c r="O28">
        <v>7.1362740775622199E-2</v>
      </c>
      <c r="P28">
        <v>5.1506192285910796E-3</v>
      </c>
      <c r="Q28">
        <v>2.7447889669064125</v>
      </c>
      <c r="R28">
        <v>6.6023639261902259E-2</v>
      </c>
      <c r="S28">
        <v>0.124212205514316</v>
      </c>
      <c r="T28">
        <v>6.66940694295698E-3</v>
      </c>
      <c r="U28">
        <v>7.4999999999999997E-2</v>
      </c>
      <c r="V28">
        <v>0.69933333333333403</v>
      </c>
      <c r="W28">
        <f>31*EXP(5.81244 + 0.25773*LN(Table3[[#This Row],[k_LOI]]) +
                   0.32107*LN((1-Table3[[#This Row],[k_LOI]])*Table3[[#This Row],[k_f_fines]]))/1000</f>
        <v>4.5707413041216505</v>
      </c>
      <c r="X28" s="3">
        <v>0.33006793985908789</v>
      </c>
      <c r="Y28" s="3">
        <v>0.33006799061454478</v>
      </c>
      <c r="Z28" s="3">
        <v>0.33006799061454478</v>
      </c>
      <c r="AA28" s="3">
        <v>0.33006799061454478</v>
      </c>
      <c r="AB28" s="5">
        <f>(Table3[[#This Row],[k_Ex_max]]-Table3[[#This Row],[k_Ex_max]]*Table3[[#This Row],[k_PSR]])/Table3[[#This Row],[k_PSR]]</f>
        <v>19.352789572507444</v>
      </c>
      <c r="AC28">
        <f>IF(Table3[[#This Row],[treatment]]="O2",AW$2,AW$3)</f>
        <v>1</v>
      </c>
      <c r="AD28" s="3">
        <f>(Table3[[#This Row],[k_Ex_max]]*Table3[[#This Row],[k_PSR]])/((Table3[[#This Row],[k_Ex_max]]-Table3[[#This Row],[k_PSR]]*Table3[[#This Row],[k_Ex_max]])*1.04)</f>
        <v>0.13637414650734428</v>
      </c>
      <c r="AE28" s="4">
        <f>IF(Table3[[#This Row],[treatment]]="O2",AR31*Table3[[#This Row],[k_E_opt3]]^(-1.207),3.7103*Table3[[#This Row],[k_E_opt3]]^-0.898)</f>
        <v>0.25936615061106649</v>
      </c>
      <c r="AF28" s="4">
        <f>(Table3[[#This Row],[k_Ex_max_modeled]]*Table3[[#This Row],[k_PSR]])/((Table3[[#This Row],[k_Ex_max_modeled]]-Table3[[#This Row],[k_PSR]]*Table3[[#This Row],[k_Ex_max_modeled]]))</f>
        <v>0.14182911236763807</v>
      </c>
      <c r="AG28" s="3">
        <f>Table3[[#This Row],[test_SRP_mgl_mean]]-Table3[[#This Row],[DIP_E]]</f>
        <v>0.29332202015932174</v>
      </c>
      <c r="AH28" s="3">
        <f t="shared" si="0"/>
        <v>0.1703300160555995</v>
      </c>
      <c r="AI28" s="3">
        <f t="shared" si="1"/>
        <v>0.28786705429902792</v>
      </c>
      <c r="AJ28" s="3">
        <f>ABS(Table3[[#This Row],[res_modeled_exmax]])</f>
        <v>0.28786705429902792</v>
      </c>
      <c r="AK28" s="3">
        <f>Table3[[#This Row],[res_measured_Ex_max]]^2</f>
        <v>2.9012314369500782E-2</v>
      </c>
      <c r="AL28">
        <f>Table3[[#This Row],[sqresid]]/((Table3[[#This Row],[DIP_E]]-AVERAGE(Table3[test_SRP_mgl_mean]))^2)</f>
        <v>0.60945126834021901</v>
      </c>
      <c r="AM28">
        <f>Table3[[#This Row],[sqresid]]/Table3[[#This Row],[test_SRP_mgl_sd]]</f>
        <v>0.10521736150523676</v>
      </c>
      <c r="AN28" cm="1">
        <f t="array" ref="AN28">IF(Table3[[#This Row],[treatment]]="O2",NA,Table3[[#This Row],[test_SRP_mgl_mean]])</f>
        <v>0.42969616666666599</v>
      </c>
      <c r="AO28" cm="1">
        <f t="array" ref="AO28">IF(Table3[[#This Row],[treatment]]="O2",NA,Table3[[#This Row],[DIP_E_measured_Ex_Max]])</f>
        <v>0.25936615061106649</v>
      </c>
    </row>
    <row r="29" spans="1:44" x14ac:dyDescent="0.25">
      <c r="A29" t="s">
        <v>53</v>
      </c>
      <c r="B29" t="s">
        <v>58</v>
      </c>
      <c r="C29" t="s">
        <v>34</v>
      </c>
      <c r="D29" t="s">
        <v>59</v>
      </c>
      <c r="E29">
        <v>11.2552083333333</v>
      </c>
      <c r="F29">
        <v>3.0836187214611781E-2</v>
      </c>
      <c r="G29">
        <v>0.32922950000000001</v>
      </c>
      <c r="H29">
        <v>0.29898559301996402</v>
      </c>
      <c r="I29">
        <v>19.05</v>
      </c>
      <c r="J29">
        <v>5.0000000000000001E-3</v>
      </c>
      <c r="K29">
        <v>1</v>
      </c>
      <c r="L29">
        <v>0</v>
      </c>
      <c r="M29">
        <v>0</v>
      </c>
      <c r="N29">
        <v>1000</v>
      </c>
      <c r="O29">
        <v>7.1362740775622199E-2</v>
      </c>
      <c r="P29">
        <v>5.1506192285910796E-3</v>
      </c>
      <c r="Q29">
        <v>2.7447889669064125</v>
      </c>
      <c r="R29">
        <v>6.6023639261902259E-2</v>
      </c>
      <c r="S29">
        <v>0.124212205514316</v>
      </c>
      <c r="T29">
        <v>6.66940694295698E-3</v>
      </c>
      <c r="U29">
        <v>7.4999999999999997E-2</v>
      </c>
      <c r="V29">
        <v>0.69933333333333403</v>
      </c>
      <c r="W29">
        <f>31*EXP(5.81244 + 0.25773*LN(Table3[[#This Row],[k_LOI]]) +
                   0.32107*LN((1-Table3[[#This Row],[k_LOI]])*Table3[[#This Row],[k_f_fines]]))/1000</f>
        <v>4.5707413041216505</v>
      </c>
      <c r="X29" s="3">
        <v>0.43078582045147878</v>
      </c>
      <c r="Y29" s="3">
        <v>0.43079071279164238</v>
      </c>
      <c r="Z29" s="3">
        <v>0.43079071279164238</v>
      </c>
      <c r="AA29" s="3">
        <v>0.43079071279164238</v>
      </c>
      <c r="AB29" s="5">
        <f>(Table3[[#This Row],[k_Ex_max]]-Table3[[#This Row],[k_Ex_max]]*Table3[[#This Row],[k_PSR]])/Table3[[#This Row],[k_PSR]]</f>
        <v>19.352789572507444</v>
      </c>
      <c r="AC29">
        <f>IF(Table3[[#This Row],[treatment]]="O2",AW$2,AW$3)</f>
        <v>1</v>
      </c>
      <c r="AD29" s="3">
        <f>(Table3[[#This Row],[k_Ex_max]]*Table3[[#This Row],[k_PSR]])/((Table3[[#This Row],[k_Ex_max]]-Table3[[#This Row],[k_PSR]]*Table3[[#This Row],[k_Ex_max]])*1.04)</f>
        <v>0.13637414650734428</v>
      </c>
      <c r="AE29" s="4">
        <f>IF(Table3[[#This Row],[treatment]]="O2",AR32*Table3[[#This Row],[k_E_opt3]]^(-1.207),3.7103*Table3[[#This Row],[k_E_opt3]]^-0.898)</f>
        <v>0</v>
      </c>
      <c r="AF29" s="4">
        <f>(Table3[[#This Row],[k_Ex_max_modeled]]*Table3[[#This Row],[k_PSR]])/((Table3[[#This Row],[k_Ex_max_modeled]]-Table3[[#This Row],[k_PSR]]*Table3[[#This Row],[k_Ex_max_modeled]]))</f>
        <v>0.14182911236763807</v>
      </c>
      <c r="AG29" s="3">
        <f>Table3[[#This Row],[test_SRP_mgl_mean]]-Table3[[#This Row],[DIP_E]]</f>
        <v>0.19285535349265573</v>
      </c>
      <c r="AH29" s="3">
        <f t="shared" si="0"/>
        <v>0.32922950000000001</v>
      </c>
      <c r="AI29" s="3">
        <f t="shared" si="1"/>
        <v>0.18740038763236194</v>
      </c>
      <c r="AJ29" s="3">
        <f>ABS(Table3[[#This Row],[res_modeled_exmax]])</f>
        <v>0.18740038763236194</v>
      </c>
      <c r="AK29" s="3">
        <f>Table3[[#This Row],[res_measured_Ex_max]]^2</f>
        <v>0.10839206367025001</v>
      </c>
      <c r="AL29">
        <f>Table3[[#This Row],[sqresid]]/((Table3[[#This Row],[DIP_E]]-AVERAGE(Table3[test_SRP_mgl_mean]))^2)</f>
        <v>2.276953153082228</v>
      </c>
      <c r="AM29">
        <f>Table3[[#This Row],[sqresid]]/Table3[[#This Row],[test_SRP_mgl_sd]]</f>
        <v>0.36253273134472536</v>
      </c>
      <c r="AN29" t="e" cm="1">
        <f t="array" ref="AN29">IF(Table3[[#This Row],[treatment]]="O2",NA,Table3[[#This Row],[test_SRP_mgl_mean]])</f>
        <v>#NAME?</v>
      </c>
      <c r="AO29" t="e" cm="1">
        <f t="array" ref="AO29">IF(Table3[[#This Row],[treatment]]="O2",NA,Table3[[#This Row],[DIP_E_measured_Ex_Max]])</f>
        <v>#NAME?</v>
      </c>
    </row>
    <row r="30" spans="1:44" x14ac:dyDescent="0.25">
      <c r="A30" t="s">
        <v>53</v>
      </c>
      <c r="B30" t="s">
        <v>60</v>
      </c>
      <c r="C30" t="s">
        <v>29</v>
      </c>
      <c r="D30" t="s">
        <v>61</v>
      </c>
      <c r="E30">
        <v>11.2552083333333</v>
      </c>
      <c r="F30">
        <v>3.0836187214611781E-2</v>
      </c>
      <c r="G30">
        <v>0.71520966666666597</v>
      </c>
      <c r="H30">
        <v>0.24447438187071099</v>
      </c>
      <c r="I30">
        <v>19.05</v>
      </c>
      <c r="J30">
        <v>5.0000000000000001E-3</v>
      </c>
      <c r="K30">
        <v>1</v>
      </c>
      <c r="L30">
        <v>0</v>
      </c>
      <c r="M30">
        <v>0</v>
      </c>
      <c r="N30">
        <v>1000</v>
      </c>
      <c r="O30">
        <v>5.2967151213186701E-2</v>
      </c>
      <c r="P30">
        <v>3.9581906959328204E-3</v>
      </c>
      <c r="Q30">
        <v>2.9003816330416745</v>
      </c>
      <c r="R30">
        <v>0.16721214181535066</v>
      </c>
      <c r="S30">
        <v>0.19028631707386701</v>
      </c>
      <c r="T30">
        <v>9.4505813832901908E-3</v>
      </c>
      <c r="U30">
        <v>7.4999999999999997E-2</v>
      </c>
      <c r="V30">
        <v>0.72933333333333406</v>
      </c>
      <c r="W30">
        <f>31*EXP(5.81244 + 0.25773*LN(Table3[[#This Row],[k_LOI]]) +
                   0.32107*LN((1-Table3[[#This Row],[k_LOI]])*Table3[[#This Row],[k_f_fines]]))/1000</f>
        <v>4.3172950769962979</v>
      </c>
      <c r="X30" s="3">
        <v>0.32858073541170757</v>
      </c>
      <c r="Y30" s="3">
        <v>0.32858088468674557</v>
      </c>
      <c r="Z30" s="3">
        <v>0.32858088468674557</v>
      </c>
      <c r="AA30" s="3">
        <v>0.32858088468674557</v>
      </c>
      <c r="AB30" s="5">
        <f>(Table3[[#This Row],[k_Ex_max]]-Table3[[#This Row],[k_Ex_max]]*Table3[[#This Row],[k_PSR]])/Table3[[#This Row],[k_PSR]]</f>
        <v>12.341815901927584</v>
      </c>
      <c r="AC30">
        <f>IF(Table3[[#This Row],[treatment]]="O2",AW$2,AW$3)</f>
        <v>1</v>
      </c>
      <c r="AD30" s="3">
        <f>(Table3[[#This Row],[k_Ex_max]]*Table3[[#This Row],[k_PSR]])/((Table3[[#This Row],[k_Ex_max]]-Table3[[#This Row],[k_PSR]]*Table3[[#This Row],[k_Ex_max]])*1.04)</f>
        <v>0.22596581536058516</v>
      </c>
      <c r="AE30" s="4">
        <f>IF(Table3[[#This Row],[treatment]]="O2",AR33*Table3[[#This Row],[k_E_opt3]]^(-1.207),3.7103*Table3[[#This Row],[k_E_opt3]]^-0.898)</f>
        <v>0.38846386509133574</v>
      </c>
      <c r="AF30" s="4">
        <f>(Table3[[#This Row],[k_Ex_max_modeled]]*Table3[[#This Row],[k_PSR]])/((Table3[[#This Row],[k_Ex_max_modeled]]-Table3[[#This Row],[k_PSR]]*Table3[[#This Row],[k_Ex_max_modeled]]))</f>
        <v>0.23500444797500861</v>
      </c>
      <c r="AG30" s="3">
        <f>Table3[[#This Row],[test_SRP_mgl_mean]]-Table3[[#This Row],[DIP_E]]</f>
        <v>0.48924385130608083</v>
      </c>
      <c r="AH30" s="3">
        <f t="shared" si="0"/>
        <v>0.32674580157533023</v>
      </c>
      <c r="AI30" s="3">
        <f t="shared" si="1"/>
        <v>0.48020521869165733</v>
      </c>
      <c r="AJ30" s="3">
        <f>ABS(Table3[[#This Row],[res_modeled_exmax]])</f>
        <v>0.48020521869165733</v>
      </c>
      <c r="AK30" s="3">
        <f>Table3[[#This Row],[res_measured_Ex_max]]^2</f>
        <v>0.10676281884710508</v>
      </c>
      <c r="AL30">
        <f>Table3[[#This Row],[sqresid]]/((Table3[[#This Row],[DIP_E]]-AVERAGE(Table3[test_SRP_mgl_mean]))^2)</f>
        <v>6.4564528124742493</v>
      </c>
      <c r="AM30">
        <f>Table3[[#This Row],[sqresid]]/Table3[[#This Row],[test_SRP_mgl_sd]]</f>
        <v>0.43670350255171536</v>
      </c>
      <c r="AN30" cm="1">
        <f t="array" ref="AN30">IF(Table3[[#This Row],[treatment]]="O2",NA,Table3[[#This Row],[test_SRP_mgl_mean]])</f>
        <v>0.71520966666666597</v>
      </c>
      <c r="AO30" cm="1">
        <f t="array" ref="AO30">IF(Table3[[#This Row],[treatment]]="O2",NA,Table3[[#This Row],[DIP_E_measured_Ex_Max]])</f>
        <v>0.38846386509133574</v>
      </c>
    </row>
    <row r="31" spans="1:44" x14ac:dyDescent="0.25">
      <c r="A31" t="s">
        <v>53</v>
      </c>
      <c r="B31" t="s">
        <v>60</v>
      </c>
      <c r="C31" t="s">
        <v>34</v>
      </c>
      <c r="D31" t="s">
        <v>61</v>
      </c>
      <c r="E31">
        <v>11.2552083333333</v>
      </c>
      <c r="F31">
        <v>3.0836187214611781E-2</v>
      </c>
      <c r="G31">
        <v>0.33264783333333298</v>
      </c>
      <c r="H31">
        <v>0.23829296967591501</v>
      </c>
      <c r="I31">
        <v>19.05</v>
      </c>
      <c r="J31">
        <v>5.0000000000000001E-3</v>
      </c>
      <c r="K31">
        <v>1</v>
      </c>
      <c r="L31">
        <v>0</v>
      </c>
      <c r="M31">
        <v>0</v>
      </c>
      <c r="N31">
        <v>1000</v>
      </c>
      <c r="O31">
        <v>5.2967151213186701E-2</v>
      </c>
      <c r="P31">
        <v>3.9581906959328204E-3</v>
      </c>
      <c r="Q31">
        <v>2.9003816330416745</v>
      </c>
      <c r="R31">
        <v>0.16721214181535066</v>
      </c>
      <c r="S31">
        <v>0.19028631707386701</v>
      </c>
      <c r="T31">
        <v>9.4505813832901908E-3</v>
      </c>
      <c r="U31">
        <v>7.4999999999999997E-2</v>
      </c>
      <c r="V31">
        <v>0.72933333333333406</v>
      </c>
      <c r="W31">
        <f>31*EXP(5.81244 + 0.25773*LN(Table3[[#This Row],[k_LOI]]) +
                   0.32107*LN((1-Table3[[#This Row],[k_LOI]])*Table3[[#This Row],[k_f_fines]]))/1000</f>
        <v>4.3172950769962979</v>
      </c>
      <c r="X31" s="3">
        <v>0.70646621674711185</v>
      </c>
      <c r="Y31" s="3">
        <v>0.70646576186363552</v>
      </c>
      <c r="Z31" s="3">
        <v>0.70646576186363552</v>
      </c>
      <c r="AA31" s="3">
        <v>0.70646576186363552</v>
      </c>
      <c r="AB31" s="5">
        <f>(Table3[[#This Row],[k_Ex_max]]-Table3[[#This Row],[k_Ex_max]]*Table3[[#This Row],[k_PSR]])/Table3[[#This Row],[k_PSR]]</f>
        <v>12.341815901927584</v>
      </c>
      <c r="AC31">
        <f>IF(Table3[[#This Row],[treatment]]="O2",AW$2,AW$3)</f>
        <v>1</v>
      </c>
      <c r="AD31" s="3">
        <f>(Table3[[#This Row],[k_Ex_max]]*Table3[[#This Row],[k_PSR]])/((Table3[[#This Row],[k_Ex_max]]-Table3[[#This Row],[k_PSR]]*Table3[[#This Row],[k_Ex_max]])*1.04)</f>
        <v>0.22596581536058516</v>
      </c>
      <c r="AE31" s="4">
        <f>IF(Table3[[#This Row],[treatment]]="O2",AR34*Table3[[#This Row],[k_E_opt3]]^(-1.207),3.7103*Table3[[#This Row],[k_E_opt3]]^-0.898)</f>
        <v>0</v>
      </c>
      <c r="AF31" s="4">
        <f>(Table3[[#This Row],[k_Ex_max_modeled]]*Table3[[#This Row],[k_PSR]])/((Table3[[#This Row],[k_Ex_max_modeled]]-Table3[[#This Row],[k_PSR]]*Table3[[#This Row],[k_Ex_max_modeled]]))</f>
        <v>0.23500444797500861</v>
      </c>
      <c r="AG31" s="3">
        <f>Table3[[#This Row],[test_SRP_mgl_mean]]-Table3[[#This Row],[DIP_E]]</f>
        <v>0.10668201797274782</v>
      </c>
      <c r="AH31" s="3">
        <f t="shared" si="0"/>
        <v>0.33264783333333298</v>
      </c>
      <c r="AI31" s="3">
        <f t="shared" si="1"/>
        <v>9.7643385358324369E-2</v>
      </c>
      <c r="AJ31" s="3">
        <f>ABS(Table3[[#This Row],[res_modeled_exmax]])</f>
        <v>9.7643385358324369E-2</v>
      </c>
      <c r="AK31" s="3">
        <f>Table3[[#This Row],[res_measured_Ex_max]]^2</f>
        <v>0.11065458102136087</v>
      </c>
      <c r="AL31">
        <f>Table3[[#This Row],[sqresid]]/((Table3[[#This Row],[DIP_E]]-AVERAGE(Table3[test_SRP_mgl_mean]))^2)</f>
        <v>6.6918060853345231</v>
      </c>
      <c r="AM31">
        <f>Table3[[#This Row],[sqresid]]/Table3[[#This Row],[test_SRP_mgl_sd]]</f>
        <v>0.46436359902624968</v>
      </c>
      <c r="AN31" t="e" cm="1">
        <f t="array" ref="AN31">IF(Table3[[#This Row],[treatment]]="O2",NA,Table3[[#This Row],[test_SRP_mgl_mean]])</f>
        <v>#NAME?</v>
      </c>
      <c r="AO31" t="e" cm="1">
        <f t="array" ref="AO31">IF(Table3[[#This Row],[treatment]]="O2",NA,Table3[[#This Row],[DIP_E_measured_Ex_Max]])</f>
        <v>#NAME?</v>
      </c>
    </row>
    <row r="32" spans="1:44" x14ac:dyDescent="0.25">
      <c r="A32" t="s">
        <v>62</v>
      </c>
      <c r="B32">
        <v>0</v>
      </c>
      <c r="C32" t="s">
        <v>29</v>
      </c>
      <c r="D32" t="s">
        <v>63</v>
      </c>
      <c r="E32">
        <v>12.1197916666666</v>
      </c>
      <c r="F32">
        <v>3.3204908675798908E-2</v>
      </c>
      <c r="G32">
        <v>0.22923774999999999</v>
      </c>
      <c r="H32">
        <v>0.14749388096036301</v>
      </c>
      <c r="I32">
        <v>17.899999999999999</v>
      </c>
      <c r="J32">
        <v>5.0000000000000001E-3</v>
      </c>
      <c r="K32">
        <v>1</v>
      </c>
      <c r="L32">
        <v>0</v>
      </c>
      <c r="M32">
        <v>0</v>
      </c>
      <c r="N32">
        <v>1000</v>
      </c>
      <c r="O32">
        <v>0.32709633171386598</v>
      </c>
      <c r="P32">
        <v>0.160768366063579</v>
      </c>
      <c r="Q32">
        <v>3.3177039145789058</v>
      </c>
      <c r="R32">
        <v>0.74306028322854656</v>
      </c>
      <c r="S32">
        <v>0.163217065738644</v>
      </c>
      <c r="T32">
        <v>1.4093881736470901E-2</v>
      </c>
      <c r="U32">
        <v>0.1125</v>
      </c>
      <c r="V32">
        <v>0.98545000000000016</v>
      </c>
      <c r="W32">
        <f>31*EXP(5.81244 + 0.25773*LN(Table3[[#This Row],[k_LOI]]) +
                   0.32107*LN((1-Table3[[#This Row],[k_LOI]])*Table3[[#This Row],[k_f_fines]]))/1000</f>
        <v>6.8125039784883796</v>
      </c>
      <c r="X32" s="3">
        <v>0.85087549676572027</v>
      </c>
      <c r="Y32" s="3">
        <v>0.8508753175754995</v>
      </c>
      <c r="Z32" s="3">
        <v>0.8508753175754995</v>
      </c>
      <c r="AA32" s="3">
        <v>0.8508753175754995</v>
      </c>
      <c r="AB32" s="5">
        <f>(Table3[[#This Row],[k_Ex_max]]-Table3[[#This Row],[k_Ex_max]]*Table3[[#This Row],[k_PSR]])/Table3[[#This Row],[k_PSR]]</f>
        <v>17.009238611709822</v>
      </c>
      <c r="AC32">
        <f>IF(Table3[[#This Row],[treatment]]="O2",AW$2,AW$3)</f>
        <v>1</v>
      </c>
      <c r="AD32" s="3">
        <f>(Table3[[#This Row],[k_Ex_max]]*Table3[[#This Row],[k_PSR]])/((Table3[[#This Row],[k_Ex_max]]-Table3[[#This Row],[k_PSR]]*Table3[[#This Row],[k_Ex_max]])*1.04)</f>
        <v>0.18755101216983006</v>
      </c>
      <c r="AE32" s="4">
        <f>IF(Table3[[#This Row],[treatment]]="O2",AR35*Table3[[#This Row],[k_E_opt3]]^(-1.207),3.7103*Table3[[#This Row],[k_E_opt3]]^-0.898)</f>
        <v>0.29124200340526168</v>
      </c>
      <c r="AF32" s="4">
        <f>(Table3[[#This Row],[k_Ex_max_modeled]]*Table3[[#This Row],[k_PSR]])/((Table3[[#This Row],[k_Ex_max_modeled]]-Table3[[#This Row],[k_PSR]]*Table3[[#This Row],[k_Ex_max_modeled]]))</f>
        <v>0.19505305265662329</v>
      </c>
      <c r="AG32" s="3">
        <f>Table3[[#This Row],[test_SRP_mgl_mean]]-Table3[[#This Row],[DIP_E]]</f>
        <v>4.1686737830169934E-2</v>
      </c>
      <c r="AH32" s="3">
        <f t="shared" si="0"/>
        <v>-6.2004253405261694E-2</v>
      </c>
      <c r="AI32" s="3">
        <f t="shared" si="1"/>
        <v>3.4184697343376702E-2</v>
      </c>
      <c r="AJ32" s="3">
        <f>ABS(Table3[[#This Row],[res_modeled_exmax]])</f>
        <v>3.4184697343376702E-2</v>
      </c>
      <c r="AK32" s="3">
        <f>Table3[[#This Row],[res_measured_Ex_max]]^2</f>
        <v>3.8445274403439062E-3</v>
      </c>
      <c r="AL32">
        <f>Table3[[#This Row],[sqresid]]/((Table3[[#This Row],[DIP_E]]-AVERAGE(Table3[test_SRP_mgl_mean]))^2)</f>
        <v>0.13784025398807753</v>
      </c>
      <c r="AM32">
        <f>Table3[[#This Row],[sqresid]]/Table3[[#This Row],[test_SRP_mgl_sd]]</f>
        <v>2.6065674150760675E-2</v>
      </c>
      <c r="AN32" cm="1">
        <f t="array" ref="AN32">IF(Table3[[#This Row],[treatment]]="O2",NA,Table3[[#This Row],[test_SRP_mgl_mean]])</f>
        <v>0.22923774999999999</v>
      </c>
      <c r="AO32" cm="1">
        <f t="array" ref="AO32">IF(Table3[[#This Row],[treatment]]="O2",NA,Table3[[#This Row],[DIP_E_measured_Ex_Max]])</f>
        <v>0.29124200340526168</v>
      </c>
    </row>
    <row r="33" spans="1:41" x14ac:dyDescent="0.25">
      <c r="A33" t="s">
        <v>62</v>
      </c>
      <c r="B33">
        <v>0</v>
      </c>
      <c r="C33" t="s">
        <v>34</v>
      </c>
      <c r="D33" t="s">
        <v>63</v>
      </c>
      <c r="E33">
        <v>12.1197916666666</v>
      </c>
      <c r="F33">
        <v>3.3204908675798908E-2</v>
      </c>
      <c r="G33">
        <v>0.11172225</v>
      </c>
      <c r="H33">
        <v>8.7647463110229695E-2</v>
      </c>
      <c r="I33">
        <v>17.899999999999999</v>
      </c>
      <c r="J33">
        <v>5.0000000000000001E-3</v>
      </c>
      <c r="K33">
        <v>1</v>
      </c>
      <c r="L33">
        <v>0</v>
      </c>
      <c r="M33">
        <v>0</v>
      </c>
      <c r="N33">
        <v>1000</v>
      </c>
      <c r="O33">
        <v>0.32709633171386598</v>
      </c>
      <c r="P33">
        <v>0.160768366063579</v>
      </c>
      <c r="Q33">
        <v>3.3177039145789058</v>
      </c>
      <c r="R33">
        <v>0.74306028322854656</v>
      </c>
      <c r="S33">
        <v>0.163217065738644</v>
      </c>
      <c r="T33">
        <v>1.4093881736470901E-2</v>
      </c>
      <c r="U33">
        <v>0.1125</v>
      </c>
      <c r="V33">
        <v>0.98545000000000016</v>
      </c>
      <c r="W33">
        <f>31*EXP(5.81244 + 0.25773*LN(Table3[[#This Row],[k_LOI]]) +
                   0.32107*LN((1-Table3[[#This Row],[k_LOI]])*Table3[[#This Row],[k_f_fines]]))/1000</f>
        <v>6.8125039784883796</v>
      </c>
      <c r="X33" s="3">
        <v>1.7458512410616787</v>
      </c>
      <c r="Y33" s="3">
        <v>1.7458361923818797</v>
      </c>
      <c r="Z33" s="3">
        <v>1.7458361923818797</v>
      </c>
      <c r="AA33" s="3">
        <v>1.7458361923818797</v>
      </c>
      <c r="AB33" s="5">
        <f>(Table3[[#This Row],[k_Ex_max]]-Table3[[#This Row],[k_Ex_max]]*Table3[[#This Row],[k_PSR]])/Table3[[#This Row],[k_PSR]]</f>
        <v>17.009238611709822</v>
      </c>
      <c r="AC33">
        <f>IF(Table3[[#This Row],[treatment]]="O2",AW$2,AW$3)</f>
        <v>1</v>
      </c>
      <c r="AD33" s="3">
        <f>(Table3[[#This Row],[k_Ex_max]]*Table3[[#This Row],[k_PSR]])/((Table3[[#This Row],[k_Ex_max]]-Table3[[#This Row],[k_PSR]]*Table3[[#This Row],[k_Ex_max]])*1.04)</f>
        <v>0.18755101216983006</v>
      </c>
      <c r="AE33" s="4">
        <f>IF(Table3[[#This Row],[treatment]]="O2",AR36*Table3[[#This Row],[k_E_opt3]]^(-1.207),3.7103*Table3[[#This Row],[k_E_opt3]]^-0.898)</f>
        <v>0</v>
      </c>
      <c r="AF33" s="4">
        <f>(Table3[[#This Row],[k_Ex_max_modeled]]*Table3[[#This Row],[k_PSR]])/((Table3[[#This Row],[k_Ex_max_modeled]]-Table3[[#This Row],[k_PSR]]*Table3[[#This Row],[k_Ex_max_modeled]]))</f>
        <v>0.19505305265662329</v>
      </c>
      <c r="AG33" s="3">
        <f>Table3[[#This Row],[test_SRP_mgl_mean]]-Table3[[#This Row],[DIP_E]]</f>
        <v>-7.5828762169830061E-2</v>
      </c>
      <c r="AH33" s="3">
        <f t="shared" si="0"/>
        <v>0.11172225</v>
      </c>
      <c r="AI33" s="3">
        <f t="shared" si="1"/>
        <v>-8.3330802656623293E-2</v>
      </c>
      <c r="AJ33" s="3">
        <f>ABS(Table3[[#This Row],[res_modeled_exmax]])</f>
        <v>8.3330802656623293E-2</v>
      </c>
      <c r="AK33" s="3">
        <f>Table3[[#This Row],[res_measured_Ex_max]]^2</f>
        <v>1.2481861145062499E-2</v>
      </c>
      <c r="AL33">
        <f>Table3[[#This Row],[sqresid]]/((Table3[[#This Row],[DIP_E]]-AVERAGE(Table3[test_SRP_mgl_mean]))^2)</f>
        <v>0.44751999749686427</v>
      </c>
      <c r="AM33">
        <f>Table3[[#This Row],[sqresid]]/Table3[[#This Row],[test_SRP_mgl_sd]]</f>
        <v>0.14240983939677415</v>
      </c>
      <c r="AN33" t="e" cm="1">
        <f t="array" ref="AN33">IF(Table3[[#This Row],[treatment]]="O2",NA,Table3[[#This Row],[test_SRP_mgl_mean]])</f>
        <v>#NAME?</v>
      </c>
      <c r="AO33" t="e" cm="1">
        <f t="array" ref="AO33">IF(Table3[[#This Row],[treatment]]="O2",NA,Table3[[#This Row],[DIP_E_measured_Ex_Max]])</f>
        <v>#NAME?</v>
      </c>
    </row>
    <row r="34" spans="1:41" x14ac:dyDescent="0.25">
      <c r="A34" t="s">
        <v>62</v>
      </c>
      <c r="B34">
        <v>2</v>
      </c>
      <c r="C34" t="s">
        <v>29</v>
      </c>
      <c r="D34" t="s">
        <v>64</v>
      </c>
      <c r="E34">
        <v>11.5895833333333</v>
      </c>
      <c r="F34">
        <v>3.175228310502274E-2</v>
      </c>
      <c r="G34">
        <v>0.40854600000000002</v>
      </c>
      <c r="H34">
        <v>0.191528954547347</v>
      </c>
      <c r="I34">
        <v>21.82</v>
      </c>
      <c r="J34">
        <v>5.0000000000000001E-3</v>
      </c>
      <c r="K34">
        <v>1</v>
      </c>
      <c r="L34">
        <v>0</v>
      </c>
      <c r="M34">
        <v>0</v>
      </c>
      <c r="N34">
        <v>1000</v>
      </c>
      <c r="O34">
        <v>0.20461676055729</v>
      </c>
      <c r="P34">
        <v>4.9906568969360299E-2</v>
      </c>
      <c r="Q34">
        <v>4.0605580367522771</v>
      </c>
      <c r="R34">
        <v>0.11259085752792974</v>
      </c>
      <c r="S34">
        <v>0.184991182957184</v>
      </c>
      <c r="T34">
        <v>1.13375415833636E-2</v>
      </c>
      <c r="U34">
        <v>0.15</v>
      </c>
      <c r="V34">
        <v>0.97034999999999993</v>
      </c>
      <c r="W34">
        <f>31*EXP(5.81244 + 0.25773*LN(Table3[[#This Row],[k_LOI]]) +
                   0.32107*LN((1-Table3[[#This Row],[k_LOI]])*Table3[[#This Row],[k_f_fines]]))/1000</f>
        <v>6.338147906376089</v>
      </c>
      <c r="X34" s="3">
        <v>0.55557714717705575</v>
      </c>
      <c r="Y34" s="3">
        <v>0.55558120848473191</v>
      </c>
      <c r="Z34" s="3">
        <v>0.55558120848473191</v>
      </c>
      <c r="AA34" s="3">
        <v>0.55558120848473191</v>
      </c>
      <c r="AB34" s="5">
        <f>(Table3[[#This Row],[k_Ex_max]]-Table3[[#This Row],[k_Ex_max]]*Table3[[#This Row],[k_PSR]])/Table3[[#This Row],[k_PSR]]</f>
        <v>17.889450454690735</v>
      </c>
      <c r="AC34">
        <f>IF(Table3[[#This Row],[treatment]]="O2",AW$2,AW$3)</f>
        <v>1</v>
      </c>
      <c r="AD34" s="3">
        <f>(Table3[[#This Row],[k_Ex_max]]*Table3[[#This Row],[k_PSR]])/((Table3[[#This Row],[k_Ex_max]]-Table3[[#This Row],[k_PSR]]*Table3[[#This Row],[k_Ex_max]])*1.04)</f>
        <v>0.21825056826285372</v>
      </c>
      <c r="AE34" s="4">
        <f>IF(Table3[[#This Row],[treatment]]="O2",AR37*Table3[[#This Row],[k_E_opt3]]^(-1.207),3.7103*Table3[[#This Row],[k_E_opt3]]^-0.898)</f>
        <v>0.27834083170981699</v>
      </c>
      <c r="AF34" s="4">
        <f>(Table3[[#This Row],[k_Ex_max_modeled]]*Table3[[#This Row],[k_PSR]])/((Table3[[#This Row],[k_Ex_max_modeled]]-Table3[[#This Row],[k_PSR]]*Table3[[#This Row],[k_Ex_max_modeled]]))</f>
        <v>0.22698059099336787</v>
      </c>
      <c r="AG34" s="3">
        <f>Table3[[#This Row],[test_SRP_mgl_mean]]-Table3[[#This Row],[DIP_E]]</f>
        <v>0.1902954317371463</v>
      </c>
      <c r="AH34" s="3">
        <f t="shared" si="0"/>
        <v>0.13020516829018303</v>
      </c>
      <c r="AI34" s="3">
        <f t="shared" si="1"/>
        <v>0.18156540900663215</v>
      </c>
      <c r="AJ34" s="3">
        <f>ABS(Table3[[#This Row],[res_modeled_exmax]])</f>
        <v>0.18156540900663215</v>
      </c>
      <c r="AK34" s="3">
        <f>Table3[[#This Row],[res_measured_Ex_max]]^2</f>
        <v>1.6953385849474884E-2</v>
      </c>
      <c r="AL34">
        <f>Table3[[#This Row],[sqresid]]/((Table3[[#This Row],[DIP_E]]-AVERAGE(Table3[test_SRP_mgl_mean]))^2)</f>
        <v>0.91247358185264016</v>
      </c>
      <c r="AM34">
        <f>Table3[[#This Row],[sqresid]]/Table3[[#This Row],[test_SRP_mgl_sd]]</f>
        <v>8.8516046513917118E-2</v>
      </c>
      <c r="AN34" cm="1">
        <f t="array" ref="AN34">IF(Table3[[#This Row],[treatment]]="O2",NA,Table3[[#This Row],[test_SRP_mgl_mean]])</f>
        <v>0.40854600000000002</v>
      </c>
      <c r="AO34" cm="1">
        <f t="array" ref="AO34">IF(Table3[[#This Row],[treatment]]="O2",NA,Table3[[#This Row],[DIP_E_measured_Ex_Max]])</f>
        <v>0.27834083170981699</v>
      </c>
    </row>
    <row r="35" spans="1:41" x14ac:dyDescent="0.25">
      <c r="A35" t="s">
        <v>62</v>
      </c>
      <c r="B35">
        <v>2</v>
      </c>
      <c r="C35" t="s">
        <v>34</v>
      </c>
      <c r="D35" t="s">
        <v>64</v>
      </c>
      <c r="E35">
        <v>11.7708333333333</v>
      </c>
      <c r="F35">
        <v>3.2248858447488496E-2</v>
      </c>
      <c r="G35">
        <v>0.15793333333333301</v>
      </c>
      <c r="H35">
        <v>0.103897560638672</v>
      </c>
      <c r="I35">
        <v>22.066666666666599</v>
      </c>
      <c r="J35">
        <v>5.0000000000000001E-3</v>
      </c>
      <c r="K35">
        <v>1</v>
      </c>
      <c r="L35">
        <v>0</v>
      </c>
      <c r="M35">
        <v>0</v>
      </c>
      <c r="N35">
        <v>1000</v>
      </c>
      <c r="O35">
        <v>0.20461676055729</v>
      </c>
      <c r="P35">
        <v>4.9906568969360299E-2</v>
      </c>
      <c r="Q35">
        <v>4.0605580367522771</v>
      </c>
      <c r="R35">
        <v>0.11259085752792974</v>
      </c>
      <c r="S35">
        <v>0.184991182957184</v>
      </c>
      <c r="T35">
        <v>1.13375415833636E-2</v>
      </c>
      <c r="U35">
        <v>0.15</v>
      </c>
      <c r="V35">
        <v>0.97034999999999993</v>
      </c>
      <c r="W35">
        <f>31*EXP(5.81244 + 0.25773*LN(Table3[[#This Row],[k_LOI]]) +
                   0.32107*LN((1-Table3[[#This Row],[k_LOI]])*Table3[[#This Row],[k_f_fines]]))/1000</f>
        <v>6.338147906376089</v>
      </c>
      <c r="X35" s="3">
        <v>1.4371771734578955</v>
      </c>
      <c r="Y35" s="3">
        <v>1.4372001944514583</v>
      </c>
      <c r="Z35" s="3">
        <v>1.4372001944514583</v>
      </c>
      <c r="AA35" s="3">
        <v>1.4372001944514583</v>
      </c>
      <c r="AB35" s="5">
        <f>(Table3[[#This Row],[k_Ex_max]]-Table3[[#This Row],[k_Ex_max]]*Table3[[#This Row],[k_PSR]])/Table3[[#This Row],[k_PSR]]</f>
        <v>17.889450454690735</v>
      </c>
      <c r="AC35">
        <f>IF(Table3[[#This Row],[treatment]]="O2",AW$2,AW$3)</f>
        <v>1</v>
      </c>
      <c r="AD35" s="3">
        <f>(Table3[[#This Row],[k_Ex_max]]*Table3[[#This Row],[k_PSR]])/((Table3[[#This Row],[k_Ex_max]]-Table3[[#This Row],[k_PSR]]*Table3[[#This Row],[k_Ex_max]])*1.04)</f>
        <v>0.21825056826285372</v>
      </c>
      <c r="AE35" s="4">
        <f>IF(Table3[[#This Row],[treatment]]="O2",AR38*Table3[[#This Row],[k_E_opt3]]^(-1.207),3.7103*Table3[[#This Row],[k_E_opt3]]^-0.898)</f>
        <v>0</v>
      </c>
      <c r="AF35" s="4">
        <f>(Table3[[#This Row],[k_Ex_max_modeled]]*Table3[[#This Row],[k_PSR]])/((Table3[[#This Row],[k_Ex_max_modeled]]-Table3[[#This Row],[k_PSR]]*Table3[[#This Row],[k_Ex_max_modeled]]))</f>
        <v>0.22698059099336787</v>
      </c>
      <c r="AG35" s="3">
        <f>Table3[[#This Row],[test_SRP_mgl_mean]]-Table3[[#This Row],[DIP_E]]</f>
        <v>-6.0317234929520708E-2</v>
      </c>
      <c r="AH35" s="3">
        <f t="shared" si="0"/>
        <v>0.15793333333333301</v>
      </c>
      <c r="AI35" s="3">
        <f t="shared" si="1"/>
        <v>-6.9047257660034861E-2</v>
      </c>
      <c r="AJ35" s="3">
        <f>ABS(Table3[[#This Row],[res_modeled_exmax]])</f>
        <v>6.9047257660034861E-2</v>
      </c>
      <c r="AK35" s="3">
        <f>Table3[[#This Row],[res_measured_Ex_max]]^2</f>
        <v>2.4942937777777674E-2</v>
      </c>
      <c r="AL35">
        <f>Table3[[#This Row],[sqresid]]/((Table3[[#This Row],[DIP_E]]-AVERAGE(Table3[test_SRP_mgl_mean]))^2)</f>
        <v>1.342491227303795</v>
      </c>
      <c r="AM35">
        <f>Table3[[#This Row],[sqresid]]/Table3[[#This Row],[test_SRP_mgl_sd]]</f>
        <v>0.24007241002050622</v>
      </c>
      <c r="AN35" t="e" cm="1">
        <f t="array" ref="AN35">IF(Table3[[#This Row],[treatment]]="O2",NA,Table3[[#This Row],[test_SRP_mgl_mean]])</f>
        <v>#NAME?</v>
      </c>
      <c r="AO35" t="e" cm="1">
        <f t="array" ref="AO35">IF(Table3[[#This Row],[treatment]]="O2",NA,Table3[[#This Row],[DIP_E_measured_Ex_Max]])</f>
        <v>#NAME?</v>
      </c>
    </row>
    <row r="36" spans="1:41" x14ac:dyDescent="0.25">
      <c r="A36" t="s">
        <v>62</v>
      </c>
      <c r="B36">
        <v>4</v>
      </c>
      <c r="C36" t="s">
        <v>29</v>
      </c>
      <c r="D36" t="s">
        <v>65</v>
      </c>
      <c r="E36">
        <v>12.2518939393939</v>
      </c>
      <c r="F36">
        <v>3.3566832710668223E-2</v>
      </c>
      <c r="G36">
        <v>0.14547490909090899</v>
      </c>
      <c r="H36">
        <v>8.70951850235758E-2</v>
      </c>
      <c r="I36">
        <v>17.899999999999999</v>
      </c>
      <c r="J36">
        <v>5.0000000000000001E-3</v>
      </c>
      <c r="K36">
        <v>1</v>
      </c>
      <c r="L36">
        <v>0</v>
      </c>
      <c r="M36">
        <v>0</v>
      </c>
      <c r="N36">
        <v>1000</v>
      </c>
      <c r="O36">
        <v>0.17104405728785901</v>
      </c>
      <c r="P36">
        <v>0.12847847027488801</v>
      </c>
      <c r="Q36">
        <v>3.776126819230984</v>
      </c>
      <c r="R36">
        <v>4.1539490839849071E-2</v>
      </c>
      <c r="S36">
        <v>0.13352646463204901</v>
      </c>
      <c r="T36">
        <v>2.78908786219903E-3</v>
      </c>
      <c r="U36">
        <v>7.4999999999999997E-2</v>
      </c>
      <c r="V36">
        <v>0.75914999999999999</v>
      </c>
      <c r="W36">
        <f>31*EXP(5.81244 + 0.25773*LN(Table3[[#This Row],[k_LOI]]) +
                   0.32107*LN((1-Table3[[#This Row],[k_LOI]])*Table3[[#This Row],[k_f_fines]]))/1000</f>
        <v>5.6681444332705997</v>
      </c>
      <c r="X36" s="3">
        <v>1.0593093246795384</v>
      </c>
      <c r="Y36" s="3">
        <v>1.0593102388021181</v>
      </c>
      <c r="Z36" s="3">
        <v>1.0593102388021181</v>
      </c>
      <c r="AA36" s="3">
        <v>1.0593102388021181</v>
      </c>
      <c r="AB36" s="5">
        <f>(Table3[[#This Row],[k_Ex_max]]-Table3[[#This Row],[k_Ex_max]]*Table3[[#This Row],[k_PSR]])/Table3[[#This Row],[k_PSR]]</f>
        <v>24.503861193906591</v>
      </c>
      <c r="AC36">
        <f>IF(Table3[[#This Row],[treatment]]="O2",AW$2,AW$3)</f>
        <v>1</v>
      </c>
      <c r="AD36" s="3">
        <f>(Table3[[#This Row],[k_Ex_max]]*Table3[[#This Row],[k_PSR]])/((Table3[[#This Row],[k_Ex_max]]-Table3[[#This Row],[k_PSR]]*Table3[[#This Row],[k_Ex_max]])*1.04)</f>
        <v>0.14817628714124381</v>
      </c>
      <c r="AE36" s="4">
        <f>IF(Table3[[#This Row],[treatment]]="O2",AR39*Table3[[#This Row],[k_E_opt3]]^(-1.207),3.7103*Table3[[#This Row],[k_E_opt3]]^-0.898)</f>
        <v>0.20983427277258584</v>
      </c>
      <c r="AF36" s="4">
        <f>(Table3[[#This Row],[k_Ex_max_modeled]]*Table3[[#This Row],[k_PSR]])/((Table3[[#This Row],[k_Ex_max_modeled]]-Table3[[#This Row],[k_PSR]]*Table3[[#This Row],[k_Ex_max_modeled]]))</f>
        <v>0.15410333862689357</v>
      </c>
      <c r="AG36" s="3">
        <f>Table3[[#This Row],[test_SRP_mgl_mean]]-Table3[[#This Row],[DIP_E]]</f>
        <v>-2.7013780503348239E-3</v>
      </c>
      <c r="AH36" s="3">
        <f t="shared" si="0"/>
        <v>-6.4359363681676857E-2</v>
      </c>
      <c r="AI36" s="3">
        <f t="shared" si="1"/>
        <v>-8.6284295359845831E-3</v>
      </c>
      <c r="AJ36" s="3">
        <f>ABS(Table3[[#This Row],[res_modeled_exmax]])</f>
        <v>8.6284295359845831E-3</v>
      </c>
      <c r="AK36" s="3">
        <f>Table3[[#This Row],[res_measured_Ex_max]]^2</f>
        <v>4.1421276935103462E-3</v>
      </c>
      <c r="AL36">
        <f>Table3[[#This Row],[sqresid]]/((Table3[[#This Row],[DIP_E]]-AVERAGE(Table3[test_SRP_mgl_mean]))^2)</f>
        <v>9.7248517335138077E-2</v>
      </c>
      <c r="AM36">
        <f>Table3[[#This Row],[sqresid]]/Table3[[#This Row],[test_SRP_mgl_sd]]</f>
        <v>4.7558630162954627E-2</v>
      </c>
      <c r="AN36" cm="1">
        <f t="array" ref="AN36">IF(Table3[[#This Row],[treatment]]="O2",NA,Table3[[#This Row],[test_SRP_mgl_mean]])</f>
        <v>0.14547490909090899</v>
      </c>
      <c r="AO36" cm="1">
        <f t="array" ref="AO36">IF(Table3[[#This Row],[treatment]]="O2",NA,Table3[[#This Row],[DIP_E_measured_Ex_Max]])</f>
        <v>0.20983427277258584</v>
      </c>
    </row>
    <row r="37" spans="1:41" x14ac:dyDescent="0.25">
      <c r="A37" t="s">
        <v>62</v>
      </c>
      <c r="B37">
        <v>4</v>
      </c>
      <c r="C37" t="s">
        <v>34</v>
      </c>
      <c r="D37" t="s">
        <v>65</v>
      </c>
      <c r="E37">
        <v>12.1197916666666</v>
      </c>
      <c r="F37">
        <v>3.3204908675798908E-2</v>
      </c>
      <c r="G37">
        <v>2.2903E-2</v>
      </c>
      <c r="H37">
        <v>1.08808549797756E-2</v>
      </c>
      <c r="I37">
        <v>17.899999999999999</v>
      </c>
      <c r="J37">
        <v>5.0000000000000001E-3</v>
      </c>
      <c r="K37">
        <v>1</v>
      </c>
      <c r="L37">
        <v>0</v>
      </c>
      <c r="M37">
        <v>0</v>
      </c>
      <c r="N37">
        <v>1000</v>
      </c>
      <c r="O37">
        <v>0.17104405728785901</v>
      </c>
      <c r="P37">
        <v>0.12847847027488801</v>
      </c>
      <c r="Q37">
        <v>3.776126819230984</v>
      </c>
      <c r="R37">
        <v>4.1539490839849071E-2</v>
      </c>
      <c r="S37">
        <v>0.13352646463204901</v>
      </c>
      <c r="T37">
        <v>2.78908786219903E-3</v>
      </c>
      <c r="U37">
        <v>7.4999999999999997E-2</v>
      </c>
      <c r="V37">
        <v>0.75914999999999999</v>
      </c>
      <c r="W37">
        <f>31*EXP(5.81244 + 0.25773*LN(Table3[[#This Row],[k_LOI]]) +
                   0.32107*LN((1-Table3[[#This Row],[k_LOI]])*Table3[[#This Row],[k_f_fines]]))/1000</f>
        <v>5.6681444332705997</v>
      </c>
      <c r="X37" s="3">
        <v>6.7323758892543681</v>
      </c>
      <c r="Y37" s="3">
        <v>6.7301009968132446</v>
      </c>
      <c r="Z37" s="3">
        <v>6.7301009968132446</v>
      </c>
      <c r="AA37" s="3">
        <v>6.7301009968132446</v>
      </c>
      <c r="AB37" s="5">
        <f>(Table3[[#This Row],[k_Ex_max]]-Table3[[#This Row],[k_Ex_max]]*Table3[[#This Row],[k_PSR]])/Table3[[#This Row],[k_PSR]]</f>
        <v>24.503861193906591</v>
      </c>
      <c r="AC37">
        <f>IF(Table3[[#This Row],[treatment]]="O2",AW$2,AW$3)</f>
        <v>1</v>
      </c>
      <c r="AD37" s="3">
        <f>(Table3[[#This Row],[k_Ex_max]]*Table3[[#This Row],[k_PSR]])/((Table3[[#This Row],[k_Ex_max]]-Table3[[#This Row],[k_PSR]]*Table3[[#This Row],[k_Ex_max]])*1.04)</f>
        <v>0.14817628714124381</v>
      </c>
      <c r="AE37" s="4">
        <f>IF(Table3[[#This Row],[treatment]]="O2",AR40*Table3[[#This Row],[k_E_opt3]]^(-1.207),3.7103*Table3[[#This Row],[k_E_opt3]]^-0.898)</f>
        <v>0</v>
      </c>
      <c r="AF37" s="4">
        <f>(Table3[[#This Row],[k_Ex_max_modeled]]*Table3[[#This Row],[k_PSR]])/((Table3[[#This Row],[k_Ex_max_modeled]]-Table3[[#This Row],[k_PSR]]*Table3[[#This Row],[k_Ex_max_modeled]]))</f>
        <v>0.15410333862689357</v>
      </c>
      <c r="AG37" s="3">
        <f>Table3[[#This Row],[test_SRP_mgl_mean]]-Table3[[#This Row],[DIP_E]]</f>
        <v>-0.12527328714124381</v>
      </c>
      <c r="AH37" s="3">
        <f t="shared" si="0"/>
        <v>2.2903E-2</v>
      </c>
      <c r="AI37" s="3">
        <f t="shared" si="1"/>
        <v>-0.13120033862689356</v>
      </c>
      <c r="AJ37" s="3">
        <f>ABS(Table3[[#This Row],[res_modeled_exmax]])</f>
        <v>0.13120033862689356</v>
      </c>
      <c r="AK37" s="3">
        <f>Table3[[#This Row],[res_measured_Ex_max]]^2</f>
        <v>5.2454740899999998E-4</v>
      </c>
      <c r="AL37">
        <f>Table3[[#This Row],[sqresid]]/((Table3[[#This Row],[DIP_E]]-AVERAGE(Table3[test_SRP_mgl_mean]))^2)</f>
        <v>1.231527890295612E-2</v>
      </c>
      <c r="AM37">
        <f>Table3[[#This Row],[sqresid]]/Table3[[#This Row],[test_SRP_mgl_sd]]</f>
        <v>4.8208289695523349E-2</v>
      </c>
      <c r="AN37" t="e" cm="1">
        <f t="array" ref="AN37">IF(Table3[[#This Row],[treatment]]="O2",NA,Table3[[#This Row],[test_SRP_mgl_mean]])</f>
        <v>#NAME?</v>
      </c>
      <c r="AO37" t="e" cm="1">
        <f t="array" ref="AO37">IF(Table3[[#This Row],[treatment]]="O2",NA,Table3[[#This Row],[DIP_E_measured_Ex_Max]])</f>
        <v>#NAME?</v>
      </c>
    </row>
    <row r="38" spans="1:41" x14ac:dyDescent="0.25">
      <c r="A38" t="s">
        <v>66</v>
      </c>
      <c r="B38">
        <v>2</v>
      </c>
      <c r="C38" t="s">
        <v>29</v>
      </c>
      <c r="D38" t="s">
        <v>67</v>
      </c>
      <c r="E38">
        <v>12.8680555555555</v>
      </c>
      <c r="F38">
        <v>3.5254946727549315E-2</v>
      </c>
      <c r="G38">
        <v>0.89026836356883798</v>
      </c>
      <c r="H38">
        <v>0.53235413461535896</v>
      </c>
      <c r="I38">
        <v>21.6</v>
      </c>
      <c r="J38">
        <v>1.03E-2</v>
      </c>
      <c r="K38">
        <v>1</v>
      </c>
      <c r="L38">
        <v>0</v>
      </c>
      <c r="M38">
        <v>0</v>
      </c>
      <c r="N38">
        <v>1000</v>
      </c>
      <c r="O38">
        <v>9.8744225439590202E-2</v>
      </c>
      <c r="P38">
        <v>7.2381750227843798E-3</v>
      </c>
      <c r="Q38">
        <v>3.5806270613067741</v>
      </c>
      <c r="R38">
        <v>0.19089374327359604</v>
      </c>
      <c r="S38">
        <v>0.15529312339863599</v>
      </c>
      <c r="T38">
        <v>1.42998448437739E-3</v>
      </c>
      <c r="U38">
        <v>0.1125</v>
      </c>
      <c r="V38">
        <v>0.94299999999999995</v>
      </c>
      <c r="W38">
        <f>31*EXP(5.81244 + 0.25773*LN(Table3[[#This Row],[k_LOI]]) +
                   0.32107*LN((1-Table3[[#This Row],[k_LOI]])*Table3[[#This Row],[k_f_fines]]))/1000</f>
        <v>5.4181041685878082</v>
      </c>
      <c r="X38" s="3">
        <v>0.20650245450328189</v>
      </c>
      <c r="Y38" s="3">
        <v>0.20650236659178511</v>
      </c>
      <c r="Z38" s="3">
        <v>0.20650236659178511</v>
      </c>
      <c r="AA38" s="3">
        <v>0.20650236659178511</v>
      </c>
      <c r="AB38" s="5">
        <f>(Table3[[#This Row],[k_Ex_max]]-Table3[[#This Row],[k_Ex_max]]*Table3[[#This Row],[k_PSR]])/Table3[[#This Row],[k_PSR]]</f>
        <v>19.47658875703528</v>
      </c>
      <c r="AC38">
        <f>IF(Table3[[#This Row],[treatment]]="O2",AW$2,AW$3)</f>
        <v>1</v>
      </c>
      <c r="AD38" s="3">
        <f>(Table3[[#This Row],[k_Ex_max]]*Table3[[#This Row],[k_PSR]])/((Table3[[#This Row],[k_Ex_max]]-Table3[[#This Row],[k_PSR]]*Table3[[#This Row],[k_Ex_max]])*1.04)</f>
        <v>0.17677174780559346</v>
      </c>
      <c r="AE38" s="4">
        <f>IF(Table3[[#This Row],[treatment]]="O2",AR41*Table3[[#This Row],[k_E_opt3]]^(-1.207),3.7103*Table3[[#This Row],[k_E_opt3]]^-0.898)</f>
        <v>0.25788521691225574</v>
      </c>
      <c r="AF38" s="4">
        <f>(Table3[[#This Row],[k_Ex_max_modeled]]*Table3[[#This Row],[k_PSR]])/((Table3[[#This Row],[k_Ex_max_modeled]]-Table3[[#This Row],[k_PSR]]*Table3[[#This Row],[k_Ex_max_modeled]]))</f>
        <v>0.18384261771781724</v>
      </c>
      <c r="AG38" s="3">
        <f>Table3[[#This Row],[test_SRP_mgl_mean]]-Table3[[#This Row],[DIP_E]]</f>
        <v>0.71349661576324452</v>
      </c>
      <c r="AH38" s="3">
        <f t="shared" si="0"/>
        <v>0.63238314665658224</v>
      </c>
      <c r="AI38" s="3">
        <f t="shared" si="1"/>
        <v>0.7064257458510208</v>
      </c>
      <c r="AJ38" s="3">
        <f>ABS(Table3[[#This Row],[res_modeled_exmax]])</f>
        <v>0.7064257458510208</v>
      </c>
      <c r="AK38" s="3">
        <f>Table3[[#This Row],[res_measured_Ex_max]]^2</f>
        <v>0.39990844417528038</v>
      </c>
      <c r="AL38">
        <f>Table3[[#This Row],[sqresid]]/((Table3[[#This Row],[DIP_E]]-AVERAGE(Table3[test_SRP_mgl_mean]))^2)</f>
        <v>12.652212158655869</v>
      </c>
      <c r="AM38">
        <f>Table3[[#This Row],[sqresid]]/Table3[[#This Row],[test_SRP_mgl_sd]]</f>
        <v>0.75120754808117651</v>
      </c>
      <c r="AN38" cm="1">
        <f t="array" ref="AN38">IF(Table3[[#This Row],[treatment]]="O2",NA,Table3[[#This Row],[test_SRP_mgl_mean]])</f>
        <v>0.89026836356883798</v>
      </c>
      <c r="AO38" cm="1">
        <f t="array" ref="AO38">IF(Table3[[#This Row],[treatment]]="O2",NA,Table3[[#This Row],[DIP_E_measured_Ex_Max]])</f>
        <v>0.25788521691225574</v>
      </c>
    </row>
    <row r="39" spans="1:41" x14ac:dyDescent="0.25">
      <c r="A39" t="s">
        <v>66</v>
      </c>
      <c r="B39">
        <v>2</v>
      </c>
      <c r="C39" t="s">
        <v>34</v>
      </c>
      <c r="D39" t="s">
        <v>67</v>
      </c>
      <c r="E39">
        <v>12.8638888888888</v>
      </c>
      <c r="F39">
        <v>3.524353120243507E-2</v>
      </c>
      <c r="G39">
        <v>0.43789400000000001</v>
      </c>
      <c r="H39">
        <v>0.24654983032441899</v>
      </c>
      <c r="I39">
        <v>21.7</v>
      </c>
      <c r="J39">
        <v>1.03E-2</v>
      </c>
      <c r="K39">
        <v>1</v>
      </c>
      <c r="L39">
        <v>0</v>
      </c>
      <c r="M39">
        <v>0</v>
      </c>
      <c r="N39">
        <v>1000</v>
      </c>
      <c r="O39">
        <v>9.8744225439590202E-2</v>
      </c>
      <c r="P39">
        <v>7.2381750227843798E-3</v>
      </c>
      <c r="Q39">
        <v>3.5806270613067741</v>
      </c>
      <c r="R39">
        <v>0.19089374327359604</v>
      </c>
      <c r="S39">
        <v>0.15529312339863599</v>
      </c>
      <c r="T39">
        <v>1.42998448437739E-3</v>
      </c>
      <c r="U39">
        <v>0.1125</v>
      </c>
      <c r="V39">
        <v>0.94299999999999995</v>
      </c>
      <c r="W39">
        <f>31*EXP(5.81244 + 0.25773*LN(Table3[[#This Row],[k_LOI]]) +
                   0.32107*LN((1-Table3[[#This Row],[k_LOI]])*Table3[[#This Row],[k_f_fines]]))/1000</f>
        <v>5.4181041685878082</v>
      </c>
      <c r="X39" s="3">
        <v>0.4198329943584681</v>
      </c>
      <c r="Y39" s="3">
        <v>0.41983259314491694</v>
      </c>
      <c r="Z39" s="3">
        <v>0.41983259314491694</v>
      </c>
      <c r="AA39" s="3">
        <v>0.41983259314491694</v>
      </c>
      <c r="AB39" s="5">
        <f>(Table3[[#This Row],[k_Ex_max]]-Table3[[#This Row],[k_Ex_max]]*Table3[[#This Row],[k_PSR]])/Table3[[#This Row],[k_PSR]]</f>
        <v>19.47658875703528</v>
      </c>
      <c r="AC39">
        <f>IF(Table3[[#This Row],[treatment]]="O2",AW$2,AW$3)</f>
        <v>1</v>
      </c>
      <c r="AD39" s="3">
        <f>(Table3[[#This Row],[k_Ex_max]]*Table3[[#This Row],[k_PSR]])/((Table3[[#This Row],[k_Ex_max]]-Table3[[#This Row],[k_PSR]]*Table3[[#This Row],[k_Ex_max]])*1.04)</f>
        <v>0.17677174780559346</v>
      </c>
      <c r="AE39" s="4">
        <f>IF(Table3[[#This Row],[treatment]]="O2",AR42*Table3[[#This Row],[k_E_opt3]]^(-1.207),3.7103*Table3[[#This Row],[k_E_opt3]]^-0.898)</f>
        <v>0</v>
      </c>
      <c r="AF39" s="4">
        <f>(Table3[[#This Row],[k_Ex_max_modeled]]*Table3[[#This Row],[k_PSR]])/((Table3[[#This Row],[k_Ex_max_modeled]]-Table3[[#This Row],[k_PSR]]*Table3[[#This Row],[k_Ex_max_modeled]]))</f>
        <v>0.18384261771781724</v>
      </c>
      <c r="AG39" s="3">
        <f>Table3[[#This Row],[test_SRP_mgl_mean]]-Table3[[#This Row],[DIP_E]]</f>
        <v>0.26112225219440655</v>
      </c>
      <c r="AH39" s="3">
        <f t="shared" si="0"/>
        <v>0.43789400000000001</v>
      </c>
      <c r="AI39" s="3">
        <f t="shared" si="1"/>
        <v>0.25405138228218277</v>
      </c>
      <c r="AJ39" s="3">
        <f>ABS(Table3[[#This Row],[res_modeled_exmax]])</f>
        <v>0.25405138228218277</v>
      </c>
      <c r="AK39" s="3">
        <f>Table3[[#This Row],[res_measured_Ex_max]]^2</f>
        <v>0.191751155236</v>
      </c>
      <c r="AL39">
        <f>Table3[[#This Row],[sqresid]]/((Table3[[#This Row],[DIP_E]]-AVERAGE(Table3[test_SRP_mgl_mean]))^2)</f>
        <v>6.0665793209654657</v>
      </c>
      <c r="AM39">
        <f>Table3[[#This Row],[sqresid]]/Table3[[#This Row],[test_SRP_mgl_sd]]</f>
        <v>0.77773793226175436</v>
      </c>
      <c r="AN39" t="e" cm="1">
        <f t="array" ref="AN39">IF(Table3[[#This Row],[treatment]]="O2",NA,Table3[[#This Row],[test_SRP_mgl_mean]])</f>
        <v>#NAME?</v>
      </c>
      <c r="AO39" t="e" cm="1">
        <f t="array" ref="AO39">IF(Table3[[#This Row],[treatment]]="O2",NA,Table3[[#This Row],[DIP_E_measured_Ex_Max]])</f>
        <v>#NAME?</v>
      </c>
    </row>
    <row r="40" spans="1:41" x14ac:dyDescent="0.25">
      <c r="A40" t="s">
        <v>68</v>
      </c>
      <c r="B40">
        <v>3</v>
      </c>
      <c r="C40" t="s">
        <v>29</v>
      </c>
      <c r="D40" t="s">
        <v>69</v>
      </c>
      <c r="E40">
        <v>12.876388888888799</v>
      </c>
      <c r="F40">
        <v>3.5277777777777533E-2</v>
      </c>
      <c r="G40">
        <v>0.11901766666666599</v>
      </c>
      <c r="H40">
        <v>9.6459006859563504E-2</v>
      </c>
      <c r="I40">
        <v>21.6</v>
      </c>
      <c r="J40">
        <v>1.03E-2</v>
      </c>
      <c r="K40">
        <v>1</v>
      </c>
      <c r="L40">
        <v>0</v>
      </c>
      <c r="M40">
        <v>0</v>
      </c>
      <c r="N40">
        <v>1000</v>
      </c>
      <c r="O40">
        <v>0.24224264282813901</v>
      </c>
      <c r="P40">
        <v>4.2811459725728501E-2</v>
      </c>
      <c r="Q40">
        <v>4.4005962750184242</v>
      </c>
      <c r="R40">
        <v>1.0383022381795834</v>
      </c>
      <c r="S40">
        <v>0.15695668619810199</v>
      </c>
      <c r="T40">
        <v>4.3052799773330701E-2</v>
      </c>
      <c r="U40">
        <v>0.16250000000000001</v>
      </c>
      <c r="V40">
        <v>0.97160000000000024</v>
      </c>
      <c r="W40">
        <f>31*EXP(5.81244 + 0.25773*LN(Table3[[#This Row],[k_LOI]]) +
                   0.32107*LN((1-Table3[[#This Row],[k_LOI]])*Table3[[#This Row],[k_f_fines]]))/1000</f>
        <v>6.5204651927738171</v>
      </c>
      <c r="X40" s="3">
        <v>1.5643178241139997</v>
      </c>
      <c r="Y40" s="3">
        <v>1.5643372846674373</v>
      </c>
      <c r="Z40" s="3">
        <v>1.5643372846674373</v>
      </c>
      <c r="AA40" s="3">
        <v>1.5643372846674373</v>
      </c>
      <c r="AB40" s="5">
        <f>(Table3[[#This Row],[k_Ex_max]]-Table3[[#This Row],[k_Ex_max]]*Table3[[#This Row],[k_PSR]])/Table3[[#This Row],[k_PSR]]</f>
        <v>23.636414327156476</v>
      </c>
      <c r="AC40">
        <f>IF(Table3[[#This Row],[treatment]]="O2",AW$2,AW$3)</f>
        <v>1</v>
      </c>
      <c r="AD40" s="3">
        <f>(Table3[[#This Row],[k_Ex_max]]*Table3[[#This Row],[k_PSR]])/((Table3[[#This Row],[k_Ex_max]]-Table3[[#This Row],[k_PSR]]*Table3[[#This Row],[k_Ex_max]])*1.04)</f>
        <v>0.17901795566646517</v>
      </c>
      <c r="AE40" s="4">
        <f>IF(Table3[[#This Row],[treatment]]="O2",AR43*Table3[[#This Row],[k_E_opt3]]^(-1.207),3.7103*Table3[[#This Row],[k_E_opt3]]^-0.898)</f>
        <v>0.21673684880406588</v>
      </c>
      <c r="AF40" s="4">
        <f>(Table3[[#This Row],[k_Ex_max_modeled]]*Table3[[#This Row],[k_PSR]])/((Table3[[#This Row],[k_Ex_max_modeled]]-Table3[[#This Row],[k_PSR]]*Table3[[#This Row],[k_Ex_max_modeled]]))</f>
        <v>0.18617867389312381</v>
      </c>
      <c r="AG40" s="3">
        <f>Table3[[#This Row],[test_SRP_mgl_mean]]-Table3[[#This Row],[DIP_E]]</f>
        <v>-6.0000288999799173E-2</v>
      </c>
      <c r="AH40" s="3">
        <f t="shared" si="0"/>
        <v>-9.7719182137399885E-2</v>
      </c>
      <c r="AI40" s="3">
        <f t="shared" si="1"/>
        <v>-6.716100722645782E-2</v>
      </c>
      <c r="AJ40" s="3">
        <f>ABS(Table3[[#This Row],[res_modeled_exmax]])</f>
        <v>6.716100722645782E-2</v>
      </c>
      <c r="AK40" s="3">
        <f>Table3[[#This Row],[res_measured_Ex_max]]^2</f>
        <v>9.5490385576023334E-3</v>
      </c>
      <c r="AL40">
        <f>Table3[[#This Row],[sqresid]]/((Table3[[#This Row],[DIP_E]]-AVERAGE(Table3[test_SRP_mgl_mean]))^2)</f>
        <v>0.3098913895634503</v>
      </c>
      <c r="AM40">
        <f>Table3[[#This Row],[sqresid]]/Table3[[#This Row],[test_SRP_mgl_sd]]</f>
        <v>9.8995820799865367E-2</v>
      </c>
      <c r="AN40" cm="1">
        <f t="array" ref="AN40">IF(Table3[[#This Row],[treatment]]="O2",NA,Table3[[#This Row],[test_SRP_mgl_mean]])</f>
        <v>0.11901766666666599</v>
      </c>
      <c r="AO40" cm="1">
        <f t="array" ref="AO40">IF(Table3[[#This Row],[treatment]]="O2",NA,Table3[[#This Row],[DIP_E_measured_Ex_Max]])</f>
        <v>0.21673684880406588</v>
      </c>
    </row>
    <row r="41" spans="1:41" x14ac:dyDescent="0.25">
      <c r="A41" t="s">
        <v>68</v>
      </c>
      <c r="B41">
        <v>3</v>
      </c>
      <c r="C41" t="s">
        <v>34</v>
      </c>
      <c r="D41" t="s">
        <v>69</v>
      </c>
      <c r="E41">
        <v>12.8722222222222</v>
      </c>
      <c r="F41">
        <v>3.5266362252663566E-2</v>
      </c>
      <c r="G41">
        <v>4.3287730423837101E-2</v>
      </c>
      <c r="H41">
        <v>7.2523917906564704E-3</v>
      </c>
      <c r="I41">
        <v>21.7</v>
      </c>
      <c r="J41">
        <v>1.03E-2</v>
      </c>
      <c r="K41">
        <v>1</v>
      </c>
      <c r="L41">
        <v>0</v>
      </c>
      <c r="M41">
        <v>0</v>
      </c>
      <c r="N41">
        <v>1000</v>
      </c>
      <c r="O41">
        <v>0.24224264282813901</v>
      </c>
      <c r="P41">
        <v>4.2811459725728501E-2</v>
      </c>
      <c r="Q41">
        <v>4.4005962750184242</v>
      </c>
      <c r="R41">
        <v>1.0383022381795834</v>
      </c>
      <c r="S41">
        <v>0.15695668619810199</v>
      </c>
      <c r="T41">
        <v>4.3052799773330701E-2</v>
      </c>
      <c r="U41">
        <v>0.16250000000000001</v>
      </c>
      <c r="V41">
        <v>0.97160000000000024</v>
      </c>
      <c r="W41">
        <f>31*EXP(5.81244 + 0.25773*LN(Table3[[#This Row],[k_LOI]]) +
                   0.32107*LN((1-Table3[[#This Row],[k_LOI]])*Table3[[#This Row],[k_f_fines]]))/1000</f>
        <v>6.5204651927738171</v>
      </c>
      <c r="X41" s="3">
        <v>4.2997855030709955</v>
      </c>
      <c r="Y41" s="3">
        <v>4.3015250416266628</v>
      </c>
      <c r="Z41" s="3">
        <v>4.3015250416266628</v>
      </c>
      <c r="AA41" s="3">
        <v>4.3015250416266628</v>
      </c>
      <c r="AB41" s="5">
        <f>(Table3[[#This Row],[k_Ex_max]]-Table3[[#This Row],[k_Ex_max]]*Table3[[#This Row],[k_PSR]])/Table3[[#This Row],[k_PSR]]</f>
        <v>23.636414327156476</v>
      </c>
      <c r="AC41">
        <f>IF(Table3[[#This Row],[treatment]]="O2",AW$2,AW$3)</f>
        <v>1</v>
      </c>
      <c r="AD41" s="3">
        <f>(Table3[[#This Row],[k_Ex_max]]*Table3[[#This Row],[k_PSR]])/((Table3[[#This Row],[k_Ex_max]]-Table3[[#This Row],[k_PSR]]*Table3[[#This Row],[k_Ex_max]])*1.04)</f>
        <v>0.17901795566646517</v>
      </c>
      <c r="AE41" s="4">
        <f>IF(Table3[[#This Row],[treatment]]="O2",AR44*Table3[[#This Row],[k_E_opt3]]^(-1.207),3.7103*Table3[[#This Row],[k_E_opt3]]^-0.898)</f>
        <v>0</v>
      </c>
      <c r="AF41" s="4">
        <f>(Table3[[#This Row],[k_Ex_max_modeled]]*Table3[[#This Row],[k_PSR]])/((Table3[[#This Row],[k_Ex_max_modeled]]-Table3[[#This Row],[k_PSR]]*Table3[[#This Row],[k_Ex_max_modeled]]))</f>
        <v>0.18617867389312381</v>
      </c>
      <c r="AG41" s="3">
        <f>Table3[[#This Row],[test_SRP_mgl_mean]]-Table3[[#This Row],[DIP_E]]</f>
        <v>-0.13573022524262807</v>
      </c>
      <c r="AH41" s="3">
        <f t="shared" si="0"/>
        <v>4.3287730423837101E-2</v>
      </c>
      <c r="AI41" s="3">
        <f t="shared" si="1"/>
        <v>-0.14289094346928671</v>
      </c>
      <c r="AJ41" s="3">
        <f>ABS(Table3[[#This Row],[res_modeled_exmax]])</f>
        <v>0.14289094346928671</v>
      </c>
      <c r="AK41" s="3">
        <f>Table3[[#This Row],[res_measured_Ex_max]]^2</f>
        <v>1.8738276052467921E-3</v>
      </c>
      <c r="AL41">
        <f>Table3[[#This Row],[sqresid]]/((Table3[[#This Row],[DIP_E]]-AVERAGE(Table3[test_SRP_mgl_mean]))^2)</f>
        <v>6.0810628932896932E-2</v>
      </c>
      <c r="AM41">
        <f>Table3[[#This Row],[sqresid]]/Table3[[#This Row],[test_SRP_mgl_sd]]</f>
        <v>0.25837374197860008</v>
      </c>
      <c r="AN41" t="e" cm="1">
        <f t="array" ref="AN41">IF(Table3[[#This Row],[treatment]]="O2",NA,Table3[[#This Row],[test_SRP_mgl_mean]])</f>
        <v>#NAME?</v>
      </c>
      <c r="AO41" t="e" cm="1">
        <f t="array" ref="AO41">IF(Table3[[#This Row],[treatment]]="O2",NA,Table3[[#This Row],[DIP_E_measured_Ex_Max]])</f>
        <v>#NAME?</v>
      </c>
    </row>
  </sheetData>
  <phoneticPr fontId="18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AF93-4045-41AE-8A0C-50BBF3820EB3}">
  <dimension ref="A1:X41"/>
  <sheetViews>
    <sheetView topLeftCell="H1" workbookViewId="0">
      <selection activeCell="T2" sqref="T2:T41"/>
    </sheetView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171</v>
      </c>
      <c r="G1" t="s">
        <v>173</v>
      </c>
      <c r="H1" t="s">
        <v>181</v>
      </c>
      <c r="I1" t="s">
        <v>70</v>
      </c>
      <c r="J1" t="s">
        <v>71</v>
      </c>
      <c r="K1" t="s">
        <v>168</v>
      </c>
      <c r="L1" t="s">
        <v>169</v>
      </c>
      <c r="M1" t="s">
        <v>179</v>
      </c>
      <c r="N1" t="s">
        <v>180</v>
      </c>
      <c r="O1" t="s">
        <v>166</v>
      </c>
      <c r="P1" t="s">
        <v>175</v>
      </c>
      <c r="Q1" t="s">
        <v>170</v>
      </c>
      <c r="R1" t="s">
        <v>176</v>
      </c>
      <c r="S1" t="s">
        <v>177</v>
      </c>
      <c r="T1" t="s">
        <v>210</v>
      </c>
      <c r="U1" t="s">
        <v>178</v>
      </c>
      <c r="V1" t="s">
        <v>167</v>
      </c>
      <c r="W1" t="s">
        <v>174</v>
      </c>
      <c r="X1" t="s">
        <v>184</v>
      </c>
    </row>
    <row r="2" spans="1:24" x14ac:dyDescent="0.25">
      <c r="A2" t="s">
        <v>27</v>
      </c>
      <c r="B2" t="s">
        <v>28</v>
      </c>
      <c r="C2" t="s">
        <v>29</v>
      </c>
      <c r="D2" t="s">
        <v>30</v>
      </c>
      <c r="E2">
        <v>11.2552083333333</v>
      </c>
      <c r="F2">
        <v>3.0836187214611781E-2</v>
      </c>
      <c r="G2">
        <v>1.7717274999999999</v>
      </c>
      <c r="H2">
        <v>0.45097233042338603</v>
      </c>
      <c r="I2">
        <v>19.05</v>
      </c>
      <c r="J2">
        <v>5.0000000000000001E-3</v>
      </c>
      <c r="K2">
        <v>1</v>
      </c>
      <c r="L2">
        <v>0</v>
      </c>
      <c r="M2">
        <v>0</v>
      </c>
      <c r="N2">
        <v>1000</v>
      </c>
      <c r="O2">
        <v>8.3136596765579496E-2</v>
      </c>
      <c r="P2">
        <v>1.55090337472752E-2</v>
      </c>
      <c r="Q2">
        <v>2.7455035888351671</v>
      </c>
      <c r="R2">
        <v>0.15948505238549396</v>
      </c>
      <c r="S2">
        <v>0.40155622273952701</v>
      </c>
      <c r="T2">
        <f>G2</f>
        <v>1.7717274999999999</v>
      </c>
      <c r="U2">
        <v>4.5253726186215697E-2</v>
      </c>
      <c r="V2">
        <v>4.2000000000000003E-2</v>
      </c>
      <c r="W2">
        <v>0.49033333333333406</v>
      </c>
      <c r="X2">
        <v>0.56370380900958295</v>
      </c>
    </row>
    <row r="3" spans="1:24" x14ac:dyDescent="0.25">
      <c r="A3" t="s">
        <v>27</v>
      </c>
      <c r="B3" t="s">
        <v>28</v>
      </c>
      <c r="C3" t="s">
        <v>34</v>
      </c>
      <c r="D3" t="s">
        <v>30</v>
      </c>
      <c r="E3">
        <v>11.2552083333333</v>
      </c>
      <c r="F3">
        <v>3.0836187214611781E-2</v>
      </c>
      <c r="G3">
        <v>2.0961466666666602</v>
      </c>
      <c r="H3">
        <v>0.55657211429128095</v>
      </c>
      <c r="I3">
        <v>19.05</v>
      </c>
      <c r="J3">
        <v>5.0000000000000001E-3</v>
      </c>
      <c r="K3">
        <v>1</v>
      </c>
      <c r="L3">
        <v>0</v>
      </c>
      <c r="M3">
        <v>0</v>
      </c>
      <c r="N3">
        <v>1000</v>
      </c>
      <c r="O3">
        <v>8.3136596765579496E-2</v>
      </c>
      <c r="P3">
        <v>1.55090337472752E-2</v>
      </c>
      <c r="Q3">
        <v>2.7455035888351671</v>
      </c>
      <c r="R3">
        <v>0.15948505238549396</v>
      </c>
      <c r="S3">
        <v>0.40155622273952701</v>
      </c>
      <c r="T3">
        <f t="shared" ref="T3:T41" si="0">G3</f>
        <v>2.0961466666666602</v>
      </c>
      <c r="U3">
        <v>4.5253726186215697E-2</v>
      </c>
      <c r="V3">
        <v>4.2000000000000003E-2</v>
      </c>
      <c r="W3">
        <v>0.49033333333333406</v>
      </c>
      <c r="X3">
        <v>0.56370380900958272</v>
      </c>
    </row>
    <row r="4" spans="1:24" x14ac:dyDescent="0.25">
      <c r="A4" t="s">
        <v>35</v>
      </c>
      <c r="B4">
        <v>2</v>
      </c>
      <c r="C4" t="s">
        <v>29</v>
      </c>
      <c r="D4" t="s">
        <v>36</v>
      </c>
      <c r="E4">
        <v>11.8541666666666</v>
      </c>
      <c r="F4">
        <v>3.2477168949771505E-2</v>
      </c>
      <c r="G4">
        <v>0.68082666666666602</v>
      </c>
      <c r="H4">
        <v>7.5725788922048703E-2</v>
      </c>
      <c r="I4">
        <v>20.933333333333302</v>
      </c>
      <c r="J4">
        <v>5.0000000000000001E-3</v>
      </c>
      <c r="K4">
        <v>1</v>
      </c>
      <c r="L4">
        <v>0</v>
      </c>
      <c r="M4">
        <v>0</v>
      </c>
      <c r="N4">
        <v>1000</v>
      </c>
      <c r="O4">
        <v>3.9469455401219197E-2</v>
      </c>
      <c r="P4">
        <v>3.1123844498527399E-3</v>
      </c>
      <c r="Q4">
        <v>2.0446584440150439</v>
      </c>
      <c r="R4">
        <v>0.16366604376609781</v>
      </c>
      <c r="S4">
        <v>0.415130085976957</v>
      </c>
      <c r="T4">
        <f t="shared" si="0"/>
        <v>0.68082666666666602</v>
      </c>
      <c r="U4">
        <v>1.5278796833423701E-2</v>
      </c>
      <c r="V4">
        <v>6.25E-2</v>
      </c>
      <c r="W4">
        <v>0.466700000000001</v>
      </c>
      <c r="X4">
        <v>0.56370380900958272</v>
      </c>
    </row>
    <row r="5" spans="1:24" x14ac:dyDescent="0.25">
      <c r="A5" t="s">
        <v>35</v>
      </c>
      <c r="B5">
        <v>2</v>
      </c>
      <c r="C5" t="s">
        <v>34</v>
      </c>
      <c r="D5" t="s">
        <v>36</v>
      </c>
      <c r="E5">
        <v>11.8541666666666</v>
      </c>
      <c r="F5">
        <v>3.2477168949771505E-2</v>
      </c>
      <c r="G5">
        <v>0.63131816666666596</v>
      </c>
      <c r="H5">
        <v>0.21465677147895099</v>
      </c>
      <c r="I5">
        <v>20.9</v>
      </c>
      <c r="J5">
        <v>5.0000000000000001E-3</v>
      </c>
      <c r="K5">
        <v>1</v>
      </c>
      <c r="L5">
        <v>0</v>
      </c>
      <c r="M5">
        <v>0</v>
      </c>
      <c r="N5">
        <v>1000</v>
      </c>
      <c r="O5">
        <v>3.9469455401219197E-2</v>
      </c>
      <c r="P5">
        <v>3.1123844498527399E-3</v>
      </c>
      <c r="Q5">
        <v>2.0446584440150439</v>
      </c>
      <c r="R5">
        <v>0.16366604376609781</v>
      </c>
      <c r="S5">
        <v>0.415130085976957</v>
      </c>
      <c r="T5">
        <f t="shared" si="0"/>
        <v>0.63131816666666596</v>
      </c>
      <c r="U5">
        <v>1.5278796833423701E-2</v>
      </c>
      <c r="V5">
        <v>6.25E-2</v>
      </c>
      <c r="W5">
        <v>0.466700000000001</v>
      </c>
      <c r="X5">
        <v>0.56370380900958272</v>
      </c>
    </row>
    <row r="6" spans="1:24" x14ac:dyDescent="0.25">
      <c r="A6" t="s">
        <v>35</v>
      </c>
      <c r="B6" t="s">
        <v>28</v>
      </c>
      <c r="C6" t="s">
        <v>29</v>
      </c>
      <c r="D6" t="s">
        <v>38</v>
      </c>
      <c r="E6">
        <v>11.283333333333299</v>
      </c>
      <c r="F6">
        <v>3.0913242009132327E-2</v>
      </c>
      <c r="G6">
        <v>8.0335199999999996E-2</v>
      </c>
      <c r="H6">
        <v>2.68992356712974E-2</v>
      </c>
      <c r="I6">
        <v>20.22</v>
      </c>
      <c r="J6">
        <v>5.0000000000000001E-3</v>
      </c>
      <c r="K6">
        <v>1</v>
      </c>
      <c r="L6">
        <v>0</v>
      </c>
      <c r="M6">
        <v>0</v>
      </c>
      <c r="N6">
        <v>1000</v>
      </c>
      <c r="O6">
        <v>5.0274943009140899E-2</v>
      </c>
      <c r="P6">
        <v>2.1915324089828601E-3</v>
      </c>
      <c r="Q6">
        <v>3.0658020765800393</v>
      </c>
      <c r="R6">
        <v>6.0449120131976383E-2</v>
      </c>
      <c r="S6">
        <v>0.125760600638884</v>
      </c>
      <c r="T6">
        <f t="shared" si="0"/>
        <v>8.0335199999999996E-2</v>
      </c>
      <c r="U6">
        <v>9.2392153057842697E-3</v>
      </c>
      <c r="V6">
        <v>6.7000000000000004E-2</v>
      </c>
      <c r="W6">
        <v>0.69066666666666698</v>
      </c>
      <c r="X6">
        <v>0.56370380900958272</v>
      </c>
    </row>
    <row r="7" spans="1:24" x14ac:dyDescent="0.25">
      <c r="A7" t="s">
        <v>35</v>
      </c>
      <c r="B7" t="s">
        <v>28</v>
      </c>
      <c r="C7" t="s">
        <v>34</v>
      </c>
      <c r="D7" t="s">
        <v>38</v>
      </c>
      <c r="E7">
        <v>11.3836805555555</v>
      </c>
      <c r="F7">
        <v>3.1188165905631508E-2</v>
      </c>
      <c r="G7">
        <v>1.9155078333333301E-2</v>
      </c>
      <c r="H7">
        <v>1.4987781784873099E-2</v>
      </c>
      <c r="I7">
        <v>20.2</v>
      </c>
      <c r="J7">
        <v>5.0000000000000001E-3</v>
      </c>
      <c r="K7">
        <v>1</v>
      </c>
      <c r="L7">
        <v>0</v>
      </c>
      <c r="M7">
        <v>0</v>
      </c>
      <c r="N7">
        <v>1000</v>
      </c>
      <c r="O7">
        <v>5.0274943009140899E-2</v>
      </c>
      <c r="P7">
        <v>2.1915324089828601E-3</v>
      </c>
      <c r="Q7">
        <v>3.0658020765800393</v>
      </c>
      <c r="R7">
        <v>6.0449120131976383E-2</v>
      </c>
      <c r="S7">
        <v>0.125760600638884</v>
      </c>
      <c r="T7">
        <f t="shared" si="0"/>
        <v>1.9155078333333301E-2</v>
      </c>
      <c r="U7">
        <v>9.2392153057842697E-3</v>
      </c>
      <c r="V7">
        <v>6.7000000000000004E-2</v>
      </c>
      <c r="W7">
        <v>0.69066666666666698</v>
      </c>
      <c r="X7">
        <v>0.56370380900958272</v>
      </c>
    </row>
    <row r="8" spans="1:24" x14ac:dyDescent="0.25">
      <c r="A8" t="s">
        <v>40</v>
      </c>
      <c r="B8" t="s">
        <v>41</v>
      </c>
      <c r="C8" t="s">
        <v>29</v>
      </c>
      <c r="D8" t="s">
        <v>42</v>
      </c>
      <c r="E8">
        <v>11.3836805555555</v>
      </c>
      <c r="F8">
        <v>3.1188165905631508E-2</v>
      </c>
      <c r="G8">
        <v>1.722637</v>
      </c>
      <c r="H8">
        <v>1.0802566843958801</v>
      </c>
      <c r="I8">
        <v>20.2</v>
      </c>
      <c r="J8">
        <v>5.0000000000000001E-3</v>
      </c>
      <c r="K8">
        <v>1</v>
      </c>
      <c r="L8">
        <v>0</v>
      </c>
      <c r="M8">
        <v>0</v>
      </c>
      <c r="N8">
        <v>1000</v>
      </c>
      <c r="O8">
        <v>0.115279170629385</v>
      </c>
      <c r="P8">
        <v>7.3641104114416794E-2</v>
      </c>
      <c r="Q8">
        <v>3.8318131556514872</v>
      </c>
      <c r="R8">
        <v>0.21016423616389535</v>
      </c>
      <c r="S8">
        <v>0.198006054758634</v>
      </c>
      <c r="T8">
        <f t="shared" si="0"/>
        <v>1.722637</v>
      </c>
      <c r="U8">
        <v>4.6331363677071004E-3</v>
      </c>
      <c r="V8">
        <v>0.12133333333333302</v>
      </c>
      <c r="W8">
        <v>0.834666666666667</v>
      </c>
      <c r="X8">
        <v>0.56370380900958272</v>
      </c>
    </row>
    <row r="9" spans="1:24" x14ac:dyDescent="0.25">
      <c r="A9" t="s">
        <v>40</v>
      </c>
      <c r="B9" t="s">
        <v>41</v>
      </c>
      <c r="C9" t="s">
        <v>34</v>
      </c>
      <c r="D9" t="s">
        <v>42</v>
      </c>
      <c r="E9">
        <v>11.3836805555555</v>
      </c>
      <c r="F9">
        <v>3.1188165905631508E-2</v>
      </c>
      <c r="G9">
        <v>0.90562933333333295</v>
      </c>
      <c r="H9">
        <v>1.13782156228042</v>
      </c>
      <c r="I9">
        <v>20.2</v>
      </c>
      <c r="J9">
        <v>5.0000000000000001E-3</v>
      </c>
      <c r="K9">
        <v>1</v>
      </c>
      <c r="L9">
        <v>0</v>
      </c>
      <c r="M9">
        <v>0</v>
      </c>
      <c r="N9">
        <v>1000</v>
      </c>
      <c r="O9">
        <v>0.115279170629385</v>
      </c>
      <c r="P9">
        <v>7.3641104114416794E-2</v>
      </c>
      <c r="Q9">
        <v>3.8318131556514872</v>
      </c>
      <c r="R9">
        <v>0.21016423616389535</v>
      </c>
      <c r="S9">
        <v>0.198006054758634</v>
      </c>
      <c r="T9">
        <f t="shared" si="0"/>
        <v>0.90562933333333295</v>
      </c>
      <c r="U9">
        <v>4.6331363677071004E-3</v>
      </c>
      <c r="V9">
        <v>0.12133333333333302</v>
      </c>
      <c r="W9">
        <v>0.834666666666667</v>
      </c>
      <c r="X9">
        <v>0.56370380900958272</v>
      </c>
    </row>
    <row r="10" spans="1:24" x14ac:dyDescent="0.25">
      <c r="A10" t="s">
        <v>40</v>
      </c>
      <c r="B10" t="s">
        <v>28</v>
      </c>
      <c r="C10" t="s">
        <v>29</v>
      </c>
      <c r="D10" t="s">
        <v>43</v>
      </c>
      <c r="E10">
        <v>11.3836805555555</v>
      </c>
      <c r="F10">
        <v>3.1188165905631508E-2</v>
      </c>
      <c r="G10">
        <v>0.1351415</v>
      </c>
      <c r="H10">
        <v>2.9258756014225801E-2</v>
      </c>
      <c r="I10">
        <v>20.2</v>
      </c>
      <c r="J10">
        <v>5.0000000000000001E-3</v>
      </c>
      <c r="K10">
        <v>1</v>
      </c>
      <c r="L10">
        <v>0</v>
      </c>
      <c r="M10">
        <v>0</v>
      </c>
      <c r="N10">
        <v>1000</v>
      </c>
      <c r="O10">
        <v>0.18823554143329599</v>
      </c>
      <c r="P10">
        <v>7.8811604736588308E-3</v>
      </c>
      <c r="Q10">
        <v>7.7995226394342181</v>
      </c>
      <c r="R10">
        <v>0.80190733165399852</v>
      </c>
      <c r="S10">
        <v>9.1267375877981199E-2</v>
      </c>
      <c r="T10">
        <f t="shared" si="0"/>
        <v>0.1351415</v>
      </c>
      <c r="U10">
        <v>3.2703235505608399E-3</v>
      </c>
      <c r="V10">
        <v>0.391666666666666</v>
      </c>
      <c r="W10">
        <v>0.98433333333333339</v>
      </c>
      <c r="X10">
        <v>0.56370380900958272</v>
      </c>
    </row>
    <row r="11" spans="1:24" x14ac:dyDescent="0.25">
      <c r="A11" t="s">
        <v>40</v>
      </c>
      <c r="B11" t="s">
        <v>28</v>
      </c>
      <c r="C11" t="s">
        <v>34</v>
      </c>
      <c r="D11" t="s">
        <v>43</v>
      </c>
      <c r="E11">
        <v>11.3836805555555</v>
      </c>
      <c r="F11">
        <v>3.1188165905631508E-2</v>
      </c>
      <c r="G11">
        <v>2.4296333333333298E-2</v>
      </c>
      <c r="H11">
        <v>5.7247027404631803E-3</v>
      </c>
      <c r="I11">
        <v>20.2</v>
      </c>
      <c r="J11">
        <v>5.0000000000000001E-3</v>
      </c>
      <c r="K11">
        <v>1</v>
      </c>
      <c r="L11">
        <v>0</v>
      </c>
      <c r="M11">
        <v>0</v>
      </c>
      <c r="N11">
        <v>1000</v>
      </c>
      <c r="O11">
        <v>0.18823554143329599</v>
      </c>
      <c r="P11">
        <v>7.8811604736588308E-3</v>
      </c>
      <c r="Q11">
        <v>7.7995226394342181</v>
      </c>
      <c r="R11">
        <v>0.80190733165399852</v>
      </c>
      <c r="S11">
        <v>9.1267375877981199E-2</v>
      </c>
      <c r="T11">
        <f t="shared" si="0"/>
        <v>2.4296333333333298E-2</v>
      </c>
      <c r="U11">
        <v>3.2703235505608399E-3</v>
      </c>
      <c r="V11">
        <v>0.391666666666666</v>
      </c>
      <c r="W11">
        <v>0.98433333333333339</v>
      </c>
      <c r="X11">
        <v>0.56370380900958272</v>
      </c>
    </row>
    <row r="12" spans="1:24" x14ac:dyDescent="0.25">
      <c r="A12" t="s">
        <v>44</v>
      </c>
      <c r="B12">
        <v>1</v>
      </c>
      <c r="C12" t="s">
        <v>29</v>
      </c>
      <c r="D12" t="s">
        <v>45</v>
      </c>
      <c r="E12">
        <v>11.913888888888801</v>
      </c>
      <c r="F12">
        <v>3.2640791476407673E-2</v>
      </c>
      <c r="G12">
        <v>0.192915</v>
      </c>
      <c r="H12">
        <v>0.10164388037161901</v>
      </c>
      <c r="I12">
        <v>21.3</v>
      </c>
      <c r="J12">
        <v>1.03E-2</v>
      </c>
      <c r="K12">
        <v>1</v>
      </c>
      <c r="L12">
        <v>0</v>
      </c>
      <c r="M12">
        <v>0</v>
      </c>
      <c r="N12">
        <v>1000</v>
      </c>
      <c r="O12">
        <v>0.12844880304923301</v>
      </c>
      <c r="P12">
        <v>1.9618026828991199E-2</v>
      </c>
      <c r="Q12">
        <v>3.2822652829194876</v>
      </c>
      <c r="R12">
        <v>0.17172013270924658</v>
      </c>
      <c r="S12">
        <v>0.21647222375577299</v>
      </c>
      <c r="T12">
        <f t="shared" si="0"/>
        <v>0.192915</v>
      </c>
      <c r="U12">
        <v>3.5193609984933698E-4</v>
      </c>
      <c r="V12">
        <v>0.1</v>
      </c>
      <c r="W12">
        <v>0.94694999999999974</v>
      </c>
      <c r="X12">
        <v>0.56370380900958272</v>
      </c>
    </row>
    <row r="13" spans="1:24" x14ac:dyDescent="0.25">
      <c r="A13" t="s">
        <v>44</v>
      </c>
      <c r="B13">
        <v>1</v>
      </c>
      <c r="C13" t="s">
        <v>34</v>
      </c>
      <c r="D13" t="s">
        <v>45</v>
      </c>
      <c r="E13">
        <v>11.9013888888888</v>
      </c>
      <c r="F13">
        <v>3.2606544901065203E-2</v>
      </c>
      <c r="G13">
        <v>3.4684554999999999E-2</v>
      </c>
      <c r="H13">
        <v>1.0692410954694601E-2</v>
      </c>
      <c r="I13">
        <v>21.5</v>
      </c>
      <c r="J13">
        <v>1.03E-2</v>
      </c>
      <c r="K13">
        <v>1</v>
      </c>
      <c r="L13">
        <v>0</v>
      </c>
      <c r="M13">
        <v>0</v>
      </c>
      <c r="N13">
        <v>1000</v>
      </c>
      <c r="O13">
        <v>0.12844880304923301</v>
      </c>
      <c r="P13">
        <v>1.9618026828991199E-2</v>
      </c>
      <c r="Q13">
        <v>3.2822652829194876</v>
      </c>
      <c r="R13">
        <v>0.17172013270924658</v>
      </c>
      <c r="S13">
        <v>0.21647222375577299</v>
      </c>
      <c r="T13">
        <f t="shared" si="0"/>
        <v>3.4684554999999999E-2</v>
      </c>
      <c r="U13">
        <v>3.5193609984933698E-4</v>
      </c>
      <c r="V13">
        <v>0.1</v>
      </c>
      <c r="W13">
        <v>0.94694999999999974</v>
      </c>
      <c r="X13">
        <v>0.56370380900958272</v>
      </c>
    </row>
    <row r="14" spans="1:24" x14ac:dyDescent="0.25">
      <c r="A14" t="s">
        <v>47</v>
      </c>
      <c r="B14">
        <v>0</v>
      </c>
      <c r="C14" t="s">
        <v>29</v>
      </c>
      <c r="D14" t="s">
        <v>48</v>
      </c>
      <c r="E14">
        <v>12.9583333333333</v>
      </c>
      <c r="F14">
        <v>3.5502283105022743E-2</v>
      </c>
      <c r="G14">
        <v>0.29113711111111101</v>
      </c>
      <c r="H14">
        <v>0.120331393515412</v>
      </c>
      <c r="I14">
        <v>18.5</v>
      </c>
      <c r="J14">
        <v>5.0000000000000001E-3</v>
      </c>
      <c r="K14">
        <v>1</v>
      </c>
      <c r="L14">
        <v>0</v>
      </c>
      <c r="M14">
        <v>0</v>
      </c>
      <c r="N14">
        <v>1000</v>
      </c>
      <c r="O14">
        <v>0.24332643327384401</v>
      </c>
      <c r="P14">
        <v>3.8927152125169E-2</v>
      </c>
      <c r="Q14">
        <v>3.2990540767432579</v>
      </c>
      <c r="R14">
        <v>0.70138782513144349</v>
      </c>
      <c r="S14">
        <v>0.12108195360572201</v>
      </c>
      <c r="T14">
        <f t="shared" si="0"/>
        <v>0.29113711111111101</v>
      </c>
      <c r="U14">
        <v>1.8885537611178201E-3</v>
      </c>
      <c r="V14">
        <v>0.1125</v>
      </c>
      <c r="W14">
        <v>0.627000000000001</v>
      </c>
      <c r="X14">
        <v>0.56370380900958272</v>
      </c>
    </row>
    <row r="15" spans="1:24" x14ac:dyDescent="0.25">
      <c r="A15" t="s">
        <v>47</v>
      </c>
      <c r="B15">
        <v>0</v>
      </c>
      <c r="C15" t="s">
        <v>34</v>
      </c>
      <c r="D15" t="s">
        <v>48</v>
      </c>
      <c r="E15">
        <v>12.9583333333333</v>
      </c>
      <c r="F15">
        <v>3.5502283105022743E-2</v>
      </c>
      <c r="G15">
        <v>8.2485441111111099E-2</v>
      </c>
      <c r="H15">
        <v>3.8039194813819399E-2</v>
      </c>
      <c r="I15">
        <v>18.5</v>
      </c>
      <c r="J15">
        <v>5.0000000000000001E-3</v>
      </c>
      <c r="K15">
        <v>1</v>
      </c>
      <c r="L15">
        <v>0</v>
      </c>
      <c r="M15">
        <v>0</v>
      </c>
      <c r="N15">
        <v>1000</v>
      </c>
      <c r="O15">
        <v>0.24332643327384401</v>
      </c>
      <c r="P15">
        <v>3.8927152125169E-2</v>
      </c>
      <c r="Q15">
        <v>3.2990540767432579</v>
      </c>
      <c r="R15">
        <v>0.70138782513144349</v>
      </c>
      <c r="S15">
        <v>0.12108195360572201</v>
      </c>
      <c r="T15">
        <f t="shared" si="0"/>
        <v>8.2485441111111099E-2</v>
      </c>
      <c r="U15">
        <v>1.8885537611178201E-3</v>
      </c>
      <c r="V15">
        <v>0.1125</v>
      </c>
      <c r="W15">
        <v>0.627000000000001</v>
      </c>
      <c r="X15">
        <v>0.56370380900958272</v>
      </c>
    </row>
    <row r="16" spans="1:24" x14ac:dyDescent="0.25">
      <c r="A16" t="s">
        <v>47</v>
      </c>
      <c r="B16">
        <v>2</v>
      </c>
      <c r="C16" t="s">
        <v>29</v>
      </c>
      <c r="D16" t="s">
        <v>49</v>
      </c>
      <c r="E16">
        <v>12.7215277777777</v>
      </c>
      <c r="F16">
        <v>3.4853500761034793E-2</v>
      </c>
      <c r="G16">
        <v>0.21734500000000001</v>
      </c>
      <c r="H16">
        <v>8.1940761712349194E-2</v>
      </c>
      <c r="I16">
        <v>21.883333333333301</v>
      </c>
      <c r="J16">
        <v>5.0000000000000001E-3</v>
      </c>
      <c r="K16">
        <v>1</v>
      </c>
      <c r="L16">
        <v>0</v>
      </c>
      <c r="M16">
        <v>0</v>
      </c>
      <c r="N16">
        <v>1000</v>
      </c>
      <c r="O16">
        <v>0.18933589983291399</v>
      </c>
      <c r="P16">
        <v>1.49523386325979E-2</v>
      </c>
      <c r="Q16">
        <v>4.1544527455095768</v>
      </c>
      <c r="R16">
        <v>0.34397317583787801</v>
      </c>
      <c r="S16">
        <v>8.6802561034888495E-2</v>
      </c>
      <c r="T16">
        <f t="shared" si="0"/>
        <v>0.21734500000000001</v>
      </c>
      <c r="U16">
        <v>5.3704682955372602E-3</v>
      </c>
      <c r="V16">
        <v>0.3125</v>
      </c>
      <c r="W16">
        <v>0.8327</v>
      </c>
      <c r="X16">
        <v>0.56370380900958272</v>
      </c>
    </row>
    <row r="17" spans="1:24" x14ac:dyDescent="0.25">
      <c r="A17" t="s">
        <v>47</v>
      </c>
      <c r="B17">
        <v>2</v>
      </c>
      <c r="C17" t="s">
        <v>34</v>
      </c>
      <c r="D17" t="s">
        <v>49</v>
      </c>
      <c r="E17">
        <v>12.7215277777777</v>
      </c>
      <c r="F17">
        <v>3.4853500761034793E-2</v>
      </c>
      <c r="G17">
        <v>0.13182666666666601</v>
      </c>
      <c r="H17">
        <v>9.8072050792601798E-2</v>
      </c>
      <c r="I17">
        <v>22.033333333333299</v>
      </c>
      <c r="J17">
        <v>5.0000000000000001E-3</v>
      </c>
      <c r="K17">
        <v>1</v>
      </c>
      <c r="L17">
        <v>0</v>
      </c>
      <c r="M17">
        <v>0</v>
      </c>
      <c r="N17">
        <v>1000</v>
      </c>
      <c r="O17">
        <v>0.18933589983291399</v>
      </c>
      <c r="P17">
        <v>1.49523386325979E-2</v>
      </c>
      <c r="Q17">
        <v>4.1544527455095768</v>
      </c>
      <c r="R17">
        <v>0.34397317583787801</v>
      </c>
      <c r="S17">
        <v>8.6802561034888495E-2</v>
      </c>
      <c r="T17">
        <f t="shared" si="0"/>
        <v>0.13182666666666601</v>
      </c>
      <c r="U17">
        <v>5.3704682955372602E-3</v>
      </c>
      <c r="V17">
        <v>0.3125</v>
      </c>
      <c r="W17">
        <v>0.8327</v>
      </c>
      <c r="X17">
        <v>0.56370380900958272</v>
      </c>
    </row>
    <row r="18" spans="1:24" x14ac:dyDescent="0.25">
      <c r="A18" t="s">
        <v>47</v>
      </c>
      <c r="B18">
        <v>4</v>
      </c>
      <c r="C18" t="s">
        <v>29</v>
      </c>
      <c r="D18" t="s">
        <v>50</v>
      </c>
      <c r="E18">
        <v>12.9583333333333</v>
      </c>
      <c r="F18">
        <v>3.5502283105022743E-2</v>
      </c>
      <c r="G18">
        <v>0.26560011111111098</v>
      </c>
      <c r="H18">
        <v>9.3647453169379405E-2</v>
      </c>
      <c r="I18">
        <v>18.5</v>
      </c>
      <c r="J18">
        <v>5.0000000000000001E-3</v>
      </c>
      <c r="K18">
        <v>1</v>
      </c>
      <c r="L18">
        <v>0</v>
      </c>
      <c r="M18">
        <v>0</v>
      </c>
      <c r="N18">
        <v>1000</v>
      </c>
      <c r="O18">
        <v>0.15390817741973201</v>
      </c>
      <c r="P18">
        <v>1.9617302845701699E-2</v>
      </c>
      <c r="Q18">
        <v>3.8975680285658489</v>
      </c>
      <c r="R18">
        <v>0.78988702345664952</v>
      </c>
      <c r="S18">
        <v>7.0812255367552701E-2</v>
      </c>
      <c r="T18">
        <f t="shared" si="0"/>
        <v>0.26560011111111098</v>
      </c>
      <c r="U18">
        <v>6.4440036911691603E-3</v>
      </c>
      <c r="V18">
        <v>0.35</v>
      </c>
      <c r="W18">
        <v>0.84515000000000096</v>
      </c>
      <c r="X18">
        <v>0.56370380900958272</v>
      </c>
    </row>
    <row r="19" spans="1:24" x14ac:dyDescent="0.25">
      <c r="A19" t="s">
        <v>47</v>
      </c>
      <c r="B19">
        <v>4</v>
      </c>
      <c r="C19" t="s">
        <v>34</v>
      </c>
      <c r="D19" t="s">
        <v>50</v>
      </c>
      <c r="E19">
        <v>12.9583333333333</v>
      </c>
      <c r="F19">
        <v>3.5502283105022743E-2</v>
      </c>
      <c r="G19">
        <v>0.19173777777777701</v>
      </c>
      <c r="H19">
        <v>0.17064035283951501</v>
      </c>
      <c r="I19">
        <v>18.5</v>
      </c>
      <c r="J19">
        <v>5.0000000000000001E-3</v>
      </c>
      <c r="K19">
        <v>1</v>
      </c>
      <c r="L19">
        <v>0</v>
      </c>
      <c r="M19">
        <v>0</v>
      </c>
      <c r="N19">
        <v>1000</v>
      </c>
      <c r="O19">
        <v>0.15390817741973201</v>
      </c>
      <c r="P19">
        <v>1.9617302845701699E-2</v>
      </c>
      <c r="Q19">
        <v>3.8975680285658489</v>
      </c>
      <c r="R19">
        <v>0.78988702345664952</v>
      </c>
      <c r="S19">
        <v>7.0812255367552701E-2</v>
      </c>
      <c r="T19">
        <f t="shared" si="0"/>
        <v>0.19173777777777701</v>
      </c>
      <c r="U19">
        <v>6.4440036911691603E-3</v>
      </c>
      <c r="V19">
        <v>0.35</v>
      </c>
      <c r="W19">
        <v>0.84515000000000096</v>
      </c>
      <c r="X19">
        <v>0.56370380900958272</v>
      </c>
    </row>
    <row r="20" spans="1:24" x14ac:dyDescent="0.25">
      <c r="A20" t="s">
        <v>51</v>
      </c>
      <c r="B20">
        <v>2</v>
      </c>
      <c r="C20" t="s">
        <v>29</v>
      </c>
      <c r="D20" t="s">
        <v>52</v>
      </c>
      <c r="E20">
        <v>11.8541666666666</v>
      </c>
      <c r="F20">
        <v>3.2477168949771505E-2</v>
      </c>
      <c r="G20">
        <v>5.4716333333333297E-2</v>
      </c>
      <c r="H20">
        <v>1.9346238731770701E-2</v>
      </c>
      <c r="I20">
        <v>20.9</v>
      </c>
      <c r="J20">
        <v>5.0000000000000001E-3</v>
      </c>
      <c r="K20">
        <v>1</v>
      </c>
      <c r="L20">
        <v>0</v>
      </c>
      <c r="M20">
        <v>0</v>
      </c>
      <c r="N20">
        <v>1000</v>
      </c>
      <c r="O20">
        <v>0.14368950938824801</v>
      </c>
      <c r="P20">
        <v>1.9235110086295599E-2</v>
      </c>
      <c r="Q20">
        <v>4.8764386117153666</v>
      </c>
      <c r="R20">
        <v>2.0455037414314323</v>
      </c>
      <c r="S20">
        <v>0.13769728204517101</v>
      </c>
      <c r="T20">
        <f t="shared" si="0"/>
        <v>5.4716333333333297E-2</v>
      </c>
      <c r="U20">
        <v>2.6392867811864298E-2</v>
      </c>
      <c r="V20">
        <v>0.1875</v>
      </c>
      <c r="W20">
        <v>0.96204999999999996</v>
      </c>
      <c r="X20">
        <v>0.56370380900958272</v>
      </c>
    </row>
    <row r="21" spans="1:24" x14ac:dyDescent="0.25">
      <c r="A21" t="s">
        <v>51</v>
      </c>
      <c r="B21">
        <v>2</v>
      </c>
      <c r="C21" t="s">
        <v>34</v>
      </c>
      <c r="D21" t="s">
        <v>52</v>
      </c>
      <c r="E21">
        <v>12.0375</v>
      </c>
      <c r="F21">
        <v>3.2979452054794522E-2</v>
      </c>
      <c r="G21">
        <v>3.1295040000000003E-2</v>
      </c>
      <c r="H21">
        <v>1.35637109637444E-2</v>
      </c>
      <c r="I21">
        <v>20.94</v>
      </c>
      <c r="J21">
        <v>5.0000000000000001E-3</v>
      </c>
      <c r="K21">
        <v>1</v>
      </c>
      <c r="L21">
        <v>0</v>
      </c>
      <c r="M21">
        <v>0</v>
      </c>
      <c r="N21">
        <v>1000</v>
      </c>
      <c r="O21">
        <v>0.14368950938824801</v>
      </c>
      <c r="P21">
        <v>1.9235110086295599E-2</v>
      </c>
      <c r="Q21">
        <v>4.8764386117153666</v>
      </c>
      <c r="R21">
        <v>2.0455037414314323</v>
      </c>
      <c r="S21">
        <v>0.13769728204517101</v>
      </c>
      <c r="T21">
        <f t="shared" si="0"/>
        <v>3.1295040000000003E-2</v>
      </c>
      <c r="U21">
        <v>2.6392867811864298E-2</v>
      </c>
      <c r="V21">
        <v>0.1875</v>
      </c>
      <c r="W21">
        <v>0.96204999999999996</v>
      </c>
      <c r="X21">
        <v>0.56370380900958272</v>
      </c>
    </row>
    <row r="22" spans="1:24" x14ac:dyDescent="0.25">
      <c r="A22" t="s">
        <v>53</v>
      </c>
      <c r="B22">
        <v>0</v>
      </c>
      <c r="C22" t="s">
        <v>29</v>
      </c>
      <c r="D22" t="s">
        <v>54</v>
      </c>
      <c r="E22">
        <v>12.1197916666666</v>
      </c>
      <c r="F22">
        <v>3.3204908675798908E-2</v>
      </c>
      <c r="G22">
        <v>5.4714833333333303E-2</v>
      </c>
      <c r="H22">
        <v>2.6266694500254401E-2</v>
      </c>
      <c r="I22">
        <v>17.899999999999999</v>
      </c>
      <c r="J22">
        <v>5.0000000000000001E-3</v>
      </c>
      <c r="K22">
        <v>1</v>
      </c>
      <c r="L22">
        <v>0</v>
      </c>
      <c r="M22">
        <v>0</v>
      </c>
      <c r="N22">
        <v>1000</v>
      </c>
      <c r="O22">
        <v>0.30302184014062</v>
      </c>
      <c r="P22">
        <v>0.153130290058243</v>
      </c>
      <c r="Q22">
        <v>5.1033010153106515</v>
      </c>
      <c r="R22">
        <v>0.25327487557832956</v>
      </c>
      <c r="S22">
        <v>0.12636902230536501</v>
      </c>
      <c r="T22">
        <f t="shared" si="0"/>
        <v>5.4714833333333303E-2</v>
      </c>
      <c r="U22">
        <v>8.7690613348932796E-3</v>
      </c>
      <c r="V22">
        <v>0.15</v>
      </c>
      <c r="W22">
        <v>0.93550000000000044</v>
      </c>
      <c r="X22">
        <v>0.56370380900958272</v>
      </c>
    </row>
    <row r="23" spans="1:24" x14ac:dyDescent="0.25">
      <c r="A23" t="s">
        <v>53</v>
      </c>
      <c r="B23">
        <v>0</v>
      </c>
      <c r="C23" t="s">
        <v>34</v>
      </c>
      <c r="D23" t="s">
        <v>54</v>
      </c>
      <c r="E23">
        <v>12.1197916666666</v>
      </c>
      <c r="F23">
        <v>3.3204908675798908E-2</v>
      </c>
      <c r="G23">
        <v>2.6090916666666599E-2</v>
      </c>
      <c r="H23">
        <v>1.2001582633956899E-2</v>
      </c>
      <c r="I23">
        <v>17.899999999999999</v>
      </c>
      <c r="J23">
        <v>5.0000000000000001E-3</v>
      </c>
      <c r="K23">
        <v>1</v>
      </c>
      <c r="L23">
        <v>0</v>
      </c>
      <c r="M23">
        <v>0</v>
      </c>
      <c r="N23">
        <v>1000</v>
      </c>
      <c r="O23">
        <v>0.30302184014062</v>
      </c>
      <c r="P23">
        <v>0.153130290058243</v>
      </c>
      <c r="Q23">
        <v>5.1033010153106515</v>
      </c>
      <c r="R23">
        <v>0.25327487557832956</v>
      </c>
      <c r="S23">
        <v>0.12636902230536501</v>
      </c>
      <c r="T23">
        <f t="shared" si="0"/>
        <v>2.6090916666666599E-2</v>
      </c>
      <c r="U23">
        <v>8.7690613348932796E-3</v>
      </c>
      <c r="V23">
        <v>0.15</v>
      </c>
      <c r="W23">
        <v>0.93550000000000044</v>
      </c>
      <c r="X23">
        <v>0.56370380900958272</v>
      </c>
    </row>
    <row r="24" spans="1:24" x14ac:dyDescent="0.25">
      <c r="A24" t="s">
        <v>53</v>
      </c>
      <c r="B24">
        <v>2</v>
      </c>
      <c r="C24" t="s">
        <v>29</v>
      </c>
      <c r="D24" t="s">
        <v>56</v>
      </c>
      <c r="E24">
        <v>11.7708333333333</v>
      </c>
      <c r="F24">
        <v>3.2248858447488496E-2</v>
      </c>
      <c r="G24">
        <v>6.5570000000000003E-2</v>
      </c>
      <c r="H24">
        <v>3.1894877958694202E-2</v>
      </c>
      <c r="I24">
        <v>22</v>
      </c>
      <c r="J24">
        <v>5.0000000000000001E-3</v>
      </c>
      <c r="K24">
        <v>1</v>
      </c>
      <c r="L24">
        <v>0</v>
      </c>
      <c r="M24">
        <v>0</v>
      </c>
      <c r="N24">
        <v>1000</v>
      </c>
      <c r="O24">
        <v>0.18842595944789201</v>
      </c>
      <c r="P24">
        <v>6.9673932908379602E-2</v>
      </c>
      <c r="Q24">
        <v>5.2015466728380426</v>
      </c>
      <c r="R24">
        <v>0.49392553647726184</v>
      </c>
      <c r="S24">
        <v>0.12152131348389</v>
      </c>
      <c r="T24">
        <f t="shared" si="0"/>
        <v>6.5570000000000003E-2</v>
      </c>
      <c r="U24">
        <v>1.4063252994677099E-2</v>
      </c>
      <c r="V24">
        <v>0.1</v>
      </c>
      <c r="W24">
        <v>0.93744999999999978</v>
      </c>
      <c r="X24">
        <v>0.56370380900958272</v>
      </c>
    </row>
    <row r="25" spans="1:24" x14ac:dyDescent="0.25">
      <c r="A25" t="s">
        <v>53</v>
      </c>
      <c r="B25">
        <v>2</v>
      </c>
      <c r="C25" t="s">
        <v>34</v>
      </c>
      <c r="D25" t="s">
        <v>56</v>
      </c>
      <c r="E25">
        <v>11.7708333333333</v>
      </c>
      <c r="F25">
        <v>3.2248858447488496E-2</v>
      </c>
      <c r="G25">
        <v>1.88066666666666E-2</v>
      </c>
      <c r="H25">
        <v>6.0025483477158803E-3</v>
      </c>
      <c r="I25">
        <v>22.066666666666599</v>
      </c>
      <c r="J25">
        <v>5.0000000000000001E-3</v>
      </c>
      <c r="K25">
        <v>1</v>
      </c>
      <c r="L25">
        <v>0</v>
      </c>
      <c r="M25">
        <v>0</v>
      </c>
      <c r="N25">
        <v>1000</v>
      </c>
      <c r="O25">
        <v>0.18842595944789201</v>
      </c>
      <c r="P25">
        <v>6.9673932908379602E-2</v>
      </c>
      <c r="Q25">
        <v>5.2015466728380426</v>
      </c>
      <c r="R25">
        <v>0.49392553647726184</v>
      </c>
      <c r="S25">
        <v>0.12152131348389</v>
      </c>
      <c r="T25">
        <f t="shared" si="0"/>
        <v>1.88066666666666E-2</v>
      </c>
      <c r="U25">
        <v>1.4063252994677099E-2</v>
      </c>
      <c r="V25">
        <v>0.1</v>
      </c>
      <c r="W25">
        <v>0.93744999999999978</v>
      </c>
      <c r="X25">
        <v>0.56370380900958272</v>
      </c>
    </row>
    <row r="26" spans="1:24" x14ac:dyDescent="0.25">
      <c r="A26" t="s">
        <v>53</v>
      </c>
      <c r="B26">
        <v>4</v>
      </c>
      <c r="C26" t="s">
        <v>29</v>
      </c>
      <c r="D26" t="s">
        <v>57</v>
      </c>
      <c r="E26">
        <v>12.1197916666666</v>
      </c>
      <c r="F26">
        <v>3.3204908675798908E-2</v>
      </c>
      <c r="G26">
        <v>6.0130666666666603E-2</v>
      </c>
      <c r="H26">
        <v>1.80524161230231E-2</v>
      </c>
      <c r="I26">
        <v>17.899999999999999</v>
      </c>
      <c r="J26">
        <v>5.0000000000000001E-3</v>
      </c>
      <c r="K26">
        <v>1</v>
      </c>
      <c r="L26">
        <v>0</v>
      </c>
      <c r="M26">
        <v>0</v>
      </c>
      <c r="N26">
        <v>1000</v>
      </c>
      <c r="O26">
        <v>0.18059922159706801</v>
      </c>
      <c r="P26">
        <v>9.1992407245965205E-2</v>
      </c>
      <c r="Q26">
        <v>5.0044323171897167</v>
      </c>
      <c r="R26">
        <v>0.23563250103273525</v>
      </c>
      <c r="S26">
        <v>9.29082874792765E-2</v>
      </c>
      <c r="T26">
        <f t="shared" si="0"/>
        <v>6.0130666666666603E-2</v>
      </c>
      <c r="U26">
        <v>1.48384997574793E-2</v>
      </c>
      <c r="V26">
        <v>8.7499999999999994E-2</v>
      </c>
      <c r="W26">
        <v>0.84010000000000096</v>
      </c>
      <c r="X26">
        <v>0.56370380900958272</v>
      </c>
    </row>
    <row r="27" spans="1:24" x14ac:dyDescent="0.25">
      <c r="A27" t="s">
        <v>53</v>
      </c>
      <c r="B27">
        <v>4</v>
      </c>
      <c r="C27" t="s">
        <v>34</v>
      </c>
      <c r="D27" t="s">
        <v>57</v>
      </c>
      <c r="E27">
        <v>12.1197916666666</v>
      </c>
      <c r="F27">
        <v>3.3204908675798908E-2</v>
      </c>
      <c r="G27">
        <v>2.2963916666666601E-2</v>
      </c>
      <c r="H27">
        <v>5.7500183945687301E-3</v>
      </c>
      <c r="I27">
        <v>17.899999999999999</v>
      </c>
      <c r="J27">
        <v>5.0000000000000001E-3</v>
      </c>
      <c r="K27">
        <v>1</v>
      </c>
      <c r="L27">
        <v>0</v>
      </c>
      <c r="M27">
        <v>0</v>
      </c>
      <c r="N27">
        <v>1000</v>
      </c>
      <c r="O27">
        <v>0.18059922159706801</v>
      </c>
      <c r="P27">
        <v>9.1992407245965205E-2</v>
      </c>
      <c r="Q27">
        <v>5.0044323171897167</v>
      </c>
      <c r="R27">
        <v>0.23563250103273525</v>
      </c>
      <c r="S27">
        <v>9.29082874792765E-2</v>
      </c>
      <c r="T27">
        <f t="shared" si="0"/>
        <v>2.2963916666666601E-2</v>
      </c>
      <c r="U27">
        <v>1.48384997574793E-2</v>
      </c>
      <c r="V27">
        <v>8.7499999999999994E-2</v>
      </c>
      <c r="W27">
        <v>0.84010000000000096</v>
      </c>
      <c r="X27">
        <v>0.56370380900958272</v>
      </c>
    </row>
    <row r="28" spans="1:24" x14ac:dyDescent="0.25">
      <c r="A28" t="s">
        <v>53</v>
      </c>
      <c r="B28" t="s">
        <v>58</v>
      </c>
      <c r="C28" t="s">
        <v>29</v>
      </c>
      <c r="D28" t="s">
        <v>59</v>
      </c>
      <c r="E28">
        <v>11.2552083333333</v>
      </c>
      <c r="F28">
        <v>3.0836187214611781E-2</v>
      </c>
      <c r="G28">
        <v>0.42969616666666599</v>
      </c>
      <c r="H28">
        <v>0.275736950199581</v>
      </c>
      <c r="I28">
        <v>19.05</v>
      </c>
      <c r="J28">
        <v>5.0000000000000001E-3</v>
      </c>
      <c r="K28">
        <v>1</v>
      </c>
      <c r="L28">
        <v>0</v>
      </c>
      <c r="M28">
        <v>0</v>
      </c>
      <c r="N28">
        <v>1000</v>
      </c>
      <c r="O28">
        <v>7.1362740775622199E-2</v>
      </c>
      <c r="P28">
        <v>5.1506192285910796E-3</v>
      </c>
      <c r="Q28">
        <v>2.7447889669064125</v>
      </c>
      <c r="R28">
        <v>6.6023639261902259E-2</v>
      </c>
      <c r="S28">
        <v>0.124212205514316</v>
      </c>
      <c r="T28">
        <f t="shared" si="0"/>
        <v>0.42969616666666599</v>
      </c>
      <c r="U28">
        <v>6.66940694295698E-3</v>
      </c>
      <c r="V28">
        <v>7.4999999999999997E-2</v>
      </c>
      <c r="W28">
        <v>0.69933333333333403</v>
      </c>
      <c r="X28">
        <v>0.56370380900958272</v>
      </c>
    </row>
    <row r="29" spans="1:24" x14ac:dyDescent="0.25">
      <c r="A29" t="s">
        <v>53</v>
      </c>
      <c r="B29" t="s">
        <v>58</v>
      </c>
      <c r="C29" t="s">
        <v>34</v>
      </c>
      <c r="D29" t="s">
        <v>59</v>
      </c>
      <c r="E29">
        <v>11.2552083333333</v>
      </c>
      <c r="F29">
        <v>3.0836187214611781E-2</v>
      </c>
      <c r="G29">
        <v>0.32922950000000001</v>
      </c>
      <c r="H29">
        <v>0.29898559301996402</v>
      </c>
      <c r="I29">
        <v>19.05</v>
      </c>
      <c r="J29">
        <v>5.0000000000000001E-3</v>
      </c>
      <c r="K29">
        <v>1</v>
      </c>
      <c r="L29">
        <v>0</v>
      </c>
      <c r="M29">
        <v>0</v>
      </c>
      <c r="N29">
        <v>1000</v>
      </c>
      <c r="O29">
        <v>7.1362740775622199E-2</v>
      </c>
      <c r="P29">
        <v>5.1506192285910796E-3</v>
      </c>
      <c r="Q29">
        <v>2.7447889669064125</v>
      </c>
      <c r="R29">
        <v>6.6023639261902259E-2</v>
      </c>
      <c r="S29">
        <v>0.124212205514316</v>
      </c>
      <c r="T29">
        <f t="shared" si="0"/>
        <v>0.32922950000000001</v>
      </c>
      <c r="U29">
        <v>6.66940694295698E-3</v>
      </c>
      <c r="V29">
        <v>7.4999999999999997E-2</v>
      </c>
      <c r="W29">
        <v>0.69933333333333403</v>
      </c>
      <c r="X29">
        <v>0.56370380900958272</v>
      </c>
    </row>
    <row r="30" spans="1:24" x14ac:dyDescent="0.25">
      <c r="A30" t="s">
        <v>53</v>
      </c>
      <c r="B30" t="s">
        <v>60</v>
      </c>
      <c r="C30" t="s">
        <v>29</v>
      </c>
      <c r="D30" t="s">
        <v>61</v>
      </c>
      <c r="E30">
        <v>11.2552083333333</v>
      </c>
      <c r="F30">
        <v>3.0836187214611781E-2</v>
      </c>
      <c r="G30">
        <v>0.71520966666666597</v>
      </c>
      <c r="H30">
        <v>0.24447438187071099</v>
      </c>
      <c r="I30">
        <v>19.05</v>
      </c>
      <c r="J30">
        <v>5.0000000000000001E-3</v>
      </c>
      <c r="K30">
        <v>1</v>
      </c>
      <c r="L30">
        <v>0</v>
      </c>
      <c r="M30">
        <v>0</v>
      </c>
      <c r="N30">
        <v>1000</v>
      </c>
      <c r="O30">
        <v>5.2967151213186701E-2</v>
      </c>
      <c r="P30">
        <v>3.9581906959328204E-3</v>
      </c>
      <c r="Q30">
        <v>2.9003816330416745</v>
      </c>
      <c r="R30">
        <v>0.16721214181535066</v>
      </c>
      <c r="S30">
        <v>0.19028631707386701</v>
      </c>
      <c r="T30">
        <f t="shared" si="0"/>
        <v>0.71520966666666597</v>
      </c>
      <c r="U30">
        <v>9.4505813832901908E-3</v>
      </c>
      <c r="V30">
        <v>7.4999999999999997E-2</v>
      </c>
      <c r="W30">
        <v>0.72933333333333406</v>
      </c>
      <c r="X30">
        <v>0.56370380900958272</v>
      </c>
    </row>
    <row r="31" spans="1:24" x14ac:dyDescent="0.25">
      <c r="A31" t="s">
        <v>53</v>
      </c>
      <c r="B31" t="s">
        <v>60</v>
      </c>
      <c r="C31" t="s">
        <v>34</v>
      </c>
      <c r="D31" t="s">
        <v>61</v>
      </c>
      <c r="E31">
        <v>11.2552083333333</v>
      </c>
      <c r="F31">
        <v>3.0836187214611781E-2</v>
      </c>
      <c r="G31">
        <v>0.33264783333333298</v>
      </c>
      <c r="H31">
        <v>0.23829296967591501</v>
      </c>
      <c r="I31">
        <v>19.05</v>
      </c>
      <c r="J31">
        <v>5.0000000000000001E-3</v>
      </c>
      <c r="K31">
        <v>1</v>
      </c>
      <c r="L31">
        <v>0</v>
      </c>
      <c r="M31">
        <v>0</v>
      </c>
      <c r="N31">
        <v>1000</v>
      </c>
      <c r="O31">
        <v>5.2967151213186701E-2</v>
      </c>
      <c r="P31">
        <v>3.9581906959328204E-3</v>
      </c>
      <c r="Q31">
        <v>2.9003816330416745</v>
      </c>
      <c r="R31">
        <v>0.16721214181535066</v>
      </c>
      <c r="S31">
        <v>0.19028631707386701</v>
      </c>
      <c r="T31">
        <f t="shared" si="0"/>
        <v>0.33264783333333298</v>
      </c>
      <c r="U31">
        <v>9.4505813832901908E-3</v>
      </c>
      <c r="V31">
        <v>7.4999999999999997E-2</v>
      </c>
      <c r="W31">
        <v>0.72933333333333406</v>
      </c>
      <c r="X31">
        <v>0.56370380900958272</v>
      </c>
    </row>
    <row r="32" spans="1:24" x14ac:dyDescent="0.25">
      <c r="A32" t="s">
        <v>62</v>
      </c>
      <c r="B32">
        <v>0</v>
      </c>
      <c r="C32" t="s">
        <v>29</v>
      </c>
      <c r="D32" t="s">
        <v>63</v>
      </c>
      <c r="E32">
        <v>12.1197916666666</v>
      </c>
      <c r="F32">
        <v>3.3204908675798908E-2</v>
      </c>
      <c r="G32">
        <v>0.22923774999999999</v>
      </c>
      <c r="H32">
        <v>0.14749388096036301</v>
      </c>
      <c r="I32">
        <v>17.899999999999999</v>
      </c>
      <c r="J32">
        <v>5.0000000000000001E-3</v>
      </c>
      <c r="K32">
        <v>1</v>
      </c>
      <c r="L32">
        <v>0</v>
      </c>
      <c r="M32">
        <v>0</v>
      </c>
      <c r="N32">
        <v>1000</v>
      </c>
      <c r="O32">
        <v>0.32709633171386598</v>
      </c>
      <c r="P32">
        <v>0.160768366063579</v>
      </c>
      <c r="Q32">
        <v>3.3177039145789058</v>
      </c>
      <c r="R32">
        <v>0.74306028322854656</v>
      </c>
      <c r="S32">
        <v>0.163217065738644</v>
      </c>
      <c r="T32">
        <f t="shared" si="0"/>
        <v>0.22923774999999999</v>
      </c>
      <c r="U32">
        <v>1.4093881736470901E-2</v>
      </c>
      <c r="V32">
        <v>0.1125</v>
      </c>
      <c r="W32">
        <v>0.98545000000000016</v>
      </c>
      <c r="X32">
        <v>0.56370380900958272</v>
      </c>
    </row>
    <row r="33" spans="1:24" x14ac:dyDescent="0.25">
      <c r="A33" t="s">
        <v>62</v>
      </c>
      <c r="B33">
        <v>0</v>
      </c>
      <c r="C33" t="s">
        <v>34</v>
      </c>
      <c r="D33" t="s">
        <v>63</v>
      </c>
      <c r="E33">
        <v>12.1197916666666</v>
      </c>
      <c r="F33">
        <v>3.3204908675798908E-2</v>
      </c>
      <c r="G33">
        <v>0.11172225</v>
      </c>
      <c r="H33">
        <v>8.7647463110229695E-2</v>
      </c>
      <c r="I33">
        <v>17.899999999999999</v>
      </c>
      <c r="J33">
        <v>5.0000000000000001E-3</v>
      </c>
      <c r="K33">
        <v>1</v>
      </c>
      <c r="L33">
        <v>0</v>
      </c>
      <c r="M33">
        <v>0</v>
      </c>
      <c r="N33">
        <v>1000</v>
      </c>
      <c r="O33">
        <v>0.32709633171386598</v>
      </c>
      <c r="P33">
        <v>0.160768366063579</v>
      </c>
      <c r="Q33">
        <v>3.3177039145789058</v>
      </c>
      <c r="R33">
        <v>0.74306028322854656</v>
      </c>
      <c r="S33">
        <v>0.163217065738644</v>
      </c>
      <c r="T33">
        <f t="shared" si="0"/>
        <v>0.11172225</v>
      </c>
      <c r="U33">
        <v>1.4093881736470901E-2</v>
      </c>
      <c r="V33">
        <v>0.1125</v>
      </c>
      <c r="W33">
        <v>0.98545000000000016</v>
      </c>
      <c r="X33">
        <v>0.56370380900958272</v>
      </c>
    </row>
    <row r="34" spans="1:24" x14ac:dyDescent="0.25">
      <c r="A34" t="s">
        <v>62</v>
      </c>
      <c r="B34">
        <v>2</v>
      </c>
      <c r="C34" t="s">
        <v>29</v>
      </c>
      <c r="D34" t="s">
        <v>64</v>
      </c>
      <c r="E34">
        <v>11.5895833333333</v>
      </c>
      <c r="F34">
        <v>3.175228310502274E-2</v>
      </c>
      <c r="G34">
        <v>0.40854600000000002</v>
      </c>
      <c r="H34">
        <v>0.191528954547347</v>
      </c>
      <c r="I34">
        <v>21.82</v>
      </c>
      <c r="J34">
        <v>5.0000000000000001E-3</v>
      </c>
      <c r="K34">
        <v>1</v>
      </c>
      <c r="L34">
        <v>0</v>
      </c>
      <c r="M34">
        <v>0</v>
      </c>
      <c r="N34">
        <v>1000</v>
      </c>
      <c r="O34">
        <v>0.20461676055729</v>
      </c>
      <c r="P34">
        <v>4.9906568969360299E-2</v>
      </c>
      <c r="Q34">
        <v>4.0605580367522771</v>
      </c>
      <c r="R34">
        <v>0.11259085752792974</v>
      </c>
      <c r="S34">
        <v>0.184991182957184</v>
      </c>
      <c r="T34">
        <f t="shared" si="0"/>
        <v>0.40854600000000002</v>
      </c>
      <c r="U34">
        <v>1.13375415833636E-2</v>
      </c>
      <c r="V34">
        <v>0.15</v>
      </c>
      <c r="W34">
        <v>0.97034999999999993</v>
      </c>
      <c r="X34">
        <v>0.56370380900958272</v>
      </c>
    </row>
    <row r="35" spans="1:24" x14ac:dyDescent="0.25">
      <c r="A35" t="s">
        <v>62</v>
      </c>
      <c r="B35">
        <v>2</v>
      </c>
      <c r="C35" t="s">
        <v>34</v>
      </c>
      <c r="D35" t="s">
        <v>64</v>
      </c>
      <c r="E35">
        <v>11.7708333333333</v>
      </c>
      <c r="F35">
        <v>3.2248858447488496E-2</v>
      </c>
      <c r="G35">
        <v>0.15793333333333301</v>
      </c>
      <c r="H35">
        <v>0.103897560638672</v>
      </c>
      <c r="I35">
        <v>22.066666666666599</v>
      </c>
      <c r="J35">
        <v>5.0000000000000001E-3</v>
      </c>
      <c r="K35">
        <v>1</v>
      </c>
      <c r="L35">
        <v>0</v>
      </c>
      <c r="M35">
        <v>0</v>
      </c>
      <c r="N35">
        <v>1000</v>
      </c>
      <c r="O35">
        <v>0.20461676055729</v>
      </c>
      <c r="P35">
        <v>4.9906568969360299E-2</v>
      </c>
      <c r="Q35">
        <v>4.0605580367522771</v>
      </c>
      <c r="R35">
        <v>0.11259085752792974</v>
      </c>
      <c r="S35">
        <v>0.184991182957184</v>
      </c>
      <c r="T35">
        <f t="shared" si="0"/>
        <v>0.15793333333333301</v>
      </c>
      <c r="U35">
        <v>1.13375415833636E-2</v>
      </c>
      <c r="V35">
        <v>0.15</v>
      </c>
      <c r="W35">
        <v>0.97034999999999993</v>
      </c>
      <c r="X35">
        <v>0.56370380900958272</v>
      </c>
    </row>
    <row r="36" spans="1:24" x14ac:dyDescent="0.25">
      <c r="A36" t="s">
        <v>62</v>
      </c>
      <c r="B36">
        <v>4</v>
      </c>
      <c r="C36" t="s">
        <v>29</v>
      </c>
      <c r="D36" t="s">
        <v>65</v>
      </c>
      <c r="E36">
        <v>12.2518939393939</v>
      </c>
      <c r="F36">
        <v>3.3566832710668223E-2</v>
      </c>
      <c r="G36">
        <v>0.14547490909090899</v>
      </c>
      <c r="H36">
        <v>8.70951850235758E-2</v>
      </c>
      <c r="I36">
        <v>17.899999999999999</v>
      </c>
      <c r="J36">
        <v>5.0000000000000001E-3</v>
      </c>
      <c r="K36">
        <v>1</v>
      </c>
      <c r="L36">
        <v>0</v>
      </c>
      <c r="M36">
        <v>0</v>
      </c>
      <c r="N36">
        <v>1000</v>
      </c>
      <c r="O36">
        <v>0.17104405728785901</v>
      </c>
      <c r="P36">
        <v>0.12847847027488801</v>
      </c>
      <c r="Q36">
        <v>3.776126819230984</v>
      </c>
      <c r="R36">
        <v>4.1539490839849071E-2</v>
      </c>
      <c r="S36">
        <v>0.13352646463204901</v>
      </c>
      <c r="T36">
        <f t="shared" si="0"/>
        <v>0.14547490909090899</v>
      </c>
      <c r="U36">
        <v>2.78908786219903E-3</v>
      </c>
      <c r="V36">
        <v>7.4999999999999997E-2</v>
      </c>
      <c r="W36">
        <v>0.75914999999999999</v>
      </c>
      <c r="X36">
        <v>0.56370380900958272</v>
      </c>
    </row>
    <row r="37" spans="1:24" x14ac:dyDescent="0.25">
      <c r="A37" t="s">
        <v>62</v>
      </c>
      <c r="B37">
        <v>4</v>
      </c>
      <c r="C37" t="s">
        <v>34</v>
      </c>
      <c r="D37" t="s">
        <v>65</v>
      </c>
      <c r="E37">
        <v>12.1197916666666</v>
      </c>
      <c r="F37">
        <v>3.3204908675798908E-2</v>
      </c>
      <c r="G37">
        <v>2.2903E-2</v>
      </c>
      <c r="H37">
        <v>1.08808549797756E-2</v>
      </c>
      <c r="I37">
        <v>17.899999999999999</v>
      </c>
      <c r="J37">
        <v>5.0000000000000001E-3</v>
      </c>
      <c r="K37">
        <v>1</v>
      </c>
      <c r="L37">
        <v>0</v>
      </c>
      <c r="M37">
        <v>0</v>
      </c>
      <c r="N37">
        <v>1000</v>
      </c>
      <c r="O37">
        <v>0.17104405728785901</v>
      </c>
      <c r="P37">
        <v>0.12847847027488801</v>
      </c>
      <c r="Q37">
        <v>3.776126819230984</v>
      </c>
      <c r="R37">
        <v>4.1539490839849071E-2</v>
      </c>
      <c r="S37">
        <v>0.13352646463204901</v>
      </c>
      <c r="T37">
        <f t="shared" si="0"/>
        <v>2.2903E-2</v>
      </c>
      <c r="U37">
        <v>2.78908786219903E-3</v>
      </c>
      <c r="V37">
        <v>7.4999999999999997E-2</v>
      </c>
      <c r="W37">
        <v>0.75914999999999999</v>
      </c>
      <c r="X37">
        <v>0.56370380900958272</v>
      </c>
    </row>
    <row r="38" spans="1:24" x14ac:dyDescent="0.25">
      <c r="A38" t="s">
        <v>66</v>
      </c>
      <c r="B38">
        <v>2</v>
      </c>
      <c r="C38" t="s">
        <v>29</v>
      </c>
      <c r="D38" t="s">
        <v>67</v>
      </c>
      <c r="E38">
        <v>12.8680555555555</v>
      </c>
      <c r="F38">
        <v>3.5254946727549315E-2</v>
      </c>
      <c r="G38">
        <v>0.89026836356883798</v>
      </c>
      <c r="H38">
        <v>0.53235413461535896</v>
      </c>
      <c r="I38">
        <v>21.6</v>
      </c>
      <c r="J38">
        <v>1.03E-2</v>
      </c>
      <c r="K38">
        <v>1</v>
      </c>
      <c r="L38">
        <v>0</v>
      </c>
      <c r="M38">
        <v>0</v>
      </c>
      <c r="N38">
        <v>1000</v>
      </c>
      <c r="O38">
        <v>9.8744225439590202E-2</v>
      </c>
      <c r="P38">
        <v>7.2381750227843798E-3</v>
      </c>
      <c r="Q38">
        <v>3.5806270613067741</v>
      </c>
      <c r="R38">
        <v>0.19089374327359604</v>
      </c>
      <c r="S38">
        <v>0.15529312339863599</v>
      </c>
      <c r="T38">
        <f t="shared" si="0"/>
        <v>0.89026836356883798</v>
      </c>
      <c r="U38">
        <v>1.42998448437739E-3</v>
      </c>
      <c r="V38">
        <v>0.1125</v>
      </c>
      <c r="W38">
        <v>0.94299999999999995</v>
      </c>
      <c r="X38">
        <v>0.56370380900958272</v>
      </c>
    </row>
    <row r="39" spans="1:24" x14ac:dyDescent="0.25">
      <c r="A39" t="s">
        <v>66</v>
      </c>
      <c r="B39">
        <v>2</v>
      </c>
      <c r="C39" t="s">
        <v>34</v>
      </c>
      <c r="D39" t="s">
        <v>67</v>
      </c>
      <c r="E39">
        <v>12.8638888888888</v>
      </c>
      <c r="F39">
        <v>3.524353120243507E-2</v>
      </c>
      <c r="G39">
        <v>0.43789400000000001</v>
      </c>
      <c r="H39">
        <v>0.24654983032441899</v>
      </c>
      <c r="I39">
        <v>21.7</v>
      </c>
      <c r="J39">
        <v>1.03E-2</v>
      </c>
      <c r="K39">
        <v>1</v>
      </c>
      <c r="L39">
        <v>0</v>
      </c>
      <c r="M39">
        <v>0</v>
      </c>
      <c r="N39">
        <v>1000</v>
      </c>
      <c r="O39">
        <v>9.8744225439590202E-2</v>
      </c>
      <c r="P39">
        <v>7.2381750227843798E-3</v>
      </c>
      <c r="Q39">
        <v>3.5806270613067741</v>
      </c>
      <c r="R39">
        <v>0.19089374327359604</v>
      </c>
      <c r="S39">
        <v>0.15529312339863599</v>
      </c>
      <c r="T39">
        <f t="shared" si="0"/>
        <v>0.43789400000000001</v>
      </c>
      <c r="U39">
        <v>1.42998448437739E-3</v>
      </c>
      <c r="V39">
        <v>0.1125</v>
      </c>
      <c r="W39">
        <v>0.94299999999999995</v>
      </c>
      <c r="X39">
        <v>0.56370380900958272</v>
      </c>
    </row>
    <row r="40" spans="1:24" x14ac:dyDescent="0.25">
      <c r="A40" t="s">
        <v>68</v>
      </c>
      <c r="B40">
        <v>3</v>
      </c>
      <c r="C40" t="s">
        <v>29</v>
      </c>
      <c r="D40" t="s">
        <v>69</v>
      </c>
      <c r="E40">
        <v>12.876388888888799</v>
      </c>
      <c r="F40">
        <v>3.5277777777777533E-2</v>
      </c>
      <c r="G40">
        <v>0.11901766666666599</v>
      </c>
      <c r="H40">
        <v>9.6459006859563504E-2</v>
      </c>
      <c r="I40">
        <v>21.6</v>
      </c>
      <c r="J40">
        <v>1.03E-2</v>
      </c>
      <c r="K40">
        <v>1</v>
      </c>
      <c r="L40">
        <v>0</v>
      </c>
      <c r="M40">
        <v>0</v>
      </c>
      <c r="N40">
        <v>1000</v>
      </c>
      <c r="O40">
        <v>0.24224264282813901</v>
      </c>
      <c r="P40">
        <v>4.2811459725728501E-2</v>
      </c>
      <c r="Q40">
        <v>4.4005962750184242</v>
      </c>
      <c r="R40">
        <v>1.0383022381795834</v>
      </c>
      <c r="S40">
        <v>0.15695668619810199</v>
      </c>
      <c r="T40">
        <f t="shared" si="0"/>
        <v>0.11901766666666599</v>
      </c>
      <c r="U40">
        <v>4.3052799773330701E-2</v>
      </c>
      <c r="V40">
        <v>0.16250000000000001</v>
      </c>
      <c r="W40">
        <v>0.97160000000000024</v>
      </c>
      <c r="X40">
        <v>0.56370380900958272</v>
      </c>
    </row>
    <row r="41" spans="1:24" x14ac:dyDescent="0.25">
      <c r="A41" t="s">
        <v>68</v>
      </c>
      <c r="B41">
        <v>3</v>
      </c>
      <c r="C41" t="s">
        <v>34</v>
      </c>
      <c r="D41" t="s">
        <v>69</v>
      </c>
      <c r="E41">
        <v>12.8722222222222</v>
      </c>
      <c r="F41">
        <v>3.5266362252663566E-2</v>
      </c>
      <c r="G41">
        <v>4.3287730423837101E-2</v>
      </c>
      <c r="H41">
        <v>7.2523917906564704E-3</v>
      </c>
      <c r="I41">
        <v>21.7</v>
      </c>
      <c r="J41">
        <v>1.03E-2</v>
      </c>
      <c r="K41">
        <v>1</v>
      </c>
      <c r="L41">
        <v>0</v>
      </c>
      <c r="M41">
        <v>0</v>
      </c>
      <c r="N41">
        <v>1000</v>
      </c>
      <c r="O41">
        <v>0.24224264282813901</v>
      </c>
      <c r="P41">
        <v>4.2811459725728501E-2</v>
      </c>
      <c r="Q41">
        <v>4.4005962750184242</v>
      </c>
      <c r="R41">
        <v>1.0383022381795834</v>
      </c>
      <c r="S41">
        <v>0.15695668619810199</v>
      </c>
      <c r="T41">
        <f t="shared" si="0"/>
        <v>4.3287730423837101E-2</v>
      </c>
      <c r="U41">
        <v>4.3052799773330701E-2</v>
      </c>
      <c r="V41">
        <v>0.16250000000000001</v>
      </c>
      <c r="W41">
        <v>0.97160000000000024</v>
      </c>
      <c r="X41">
        <v>0.56370380900958272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df.IC.finalSRP.soil.0t10 (2)</vt:lpstr>
      <vt:lpstr>df.IC.finalSRP.soil.0t10</vt:lpstr>
      <vt:lpstr>parameters_calcs</vt:lpstr>
      <vt:lpstr>parameters_calib_power</vt:lpstr>
      <vt:lpstr>parameters_calib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2021-10-06T15:01:37Z</dcterms:created>
  <dcterms:modified xsi:type="dcterms:W3CDTF">2021-10-22T20:58:19Z</dcterms:modified>
</cp:coreProperties>
</file>