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.Wiegman\Documents\GitHub\wetlandP_2p1_stable\wetlandP_v2.1\inputs\lcbp_sites\"/>
    </mc:Choice>
  </mc:AlternateContent>
  <xr:revisionPtr revIDLastSave="0" documentId="13_ncr:1_{C9BBBE55-EBA3-4A0A-A71C-C6026BC2423F}" xr6:coauthVersionLast="47" xr6:coauthVersionMax="47" xr10:uidLastSave="{00000000-0000-0000-0000-000000000000}"/>
  <bookViews>
    <workbookView xWindow="-108" yWindow="-108" windowWidth="23256" windowHeight="12576" firstSheet="4" activeTab="8" xr2:uid="{3C79720D-AFC6-482D-A6F1-74F999E6E535}"/>
  </bookViews>
  <sheets>
    <sheet name="stocks" sheetId="7" r:id="rId1"/>
    <sheet name="water_quality" sheetId="10" r:id="rId2"/>
    <sheet name="site" sheetId="3" r:id="rId3"/>
    <sheet name="siteplot" sheetId="1" r:id="rId4"/>
    <sheet name="Sheet1" sheetId="6" r:id="rId5"/>
    <sheet name="parameters_siteplot_all" sheetId="9" r:id="rId6"/>
    <sheet name="parameters_siteplot" sheetId="5" r:id="rId7"/>
    <sheet name="pars_lcbp_siphon_verif" sheetId="18" r:id="rId8"/>
    <sheet name="pars_lcbp_siphon" sheetId="12" r:id="rId9"/>
    <sheet name="pars_lcbp_stream" sheetId="15" r:id="rId10"/>
    <sheet name="pars_lcbp_stream_2xConc" sheetId="13" r:id="rId11"/>
    <sheet name="pars_lcbp_stream_0p5xConc" sheetId="14" r:id="rId12"/>
    <sheet name="pars_lcbp_stream_2xHRT" sheetId="16" r:id="rId13"/>
    <sheet name="pars_lcbp_stream_0p5xHRT" sheetId="17" r:id="rId14"/>
    <sheet name="HRT" sheetId="11" r:id="rId15"/>
    <sheet name="graphs" sheetId="2" r:id="rId16"/>
  </sheets>
  <definedNames>
    <definedName name="_xlnm._FilterDatabase" localSheetId="6" hidden="1">parameters_siteplot!$A$2:$J$17</definedName>
    <definedName name="_xlnm._FilterDatabase" localSheetId="5" hidden="1">parameters_siteplot_all!$A$2:$J$17</definedName>
    <definedName name="_xlchart.v1.0" hidden="1">site!$A$2:$A$132</definedName>
    <definedName name="_xlchart.v1.1" hidden="1">site!$D$2:$D$132</definedName>
    <definedName name="_xlchart.v1.2" hidden="1">site!$E$1</definedName>
    <definedName name="solver_adj" localSheetId="2" hidden="1">site!$W$22:$X$24</definedName>
    <definedName name="solver_adj" localSheetId="3" hidden="1">siteplot!$T$13:$V$13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15" hidden="1">1</definedName>
    <definedName name="solver_eng" localSheetId="6" hidden="1">1</definedName>
    <definedName name="solver_eng" localSheetId="5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site!$V$26</definedName>
    <definedName name="solver_lhs2" localSheetId="2" hidden="1">site!$V$26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15" hidden="1">1</definedName>
    <definedName name="solver_neg" localSheetId="6" hidden="1">1</definedName>
    <definedName name="solver_neg" localSheetId="5" hidden="1">1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15" hidden="1">0</definedName>
    <definedName name="solver_num" localSheetId="6" hidden="1">0</definedName>
    <definedName name="solver_num" localSheetId="5" hidden="1">0</definedName>
    <definedName name="solver_num" localSheetId="2" hidden="1">0</definedName>
    <definedName name="solver_num" localSheetId="3" hidden="1">0</definedName>
    <definedName name="solver_nwt" localSheetId="2" hidden="1">1</definedName>
    <definedName name="solver_nwt" localSheetId="3" hidden="1">1</definedName>
    <definedName name="solver_opt" localSheetId="15" hidden="1">graphs!$A$1</definedName>
    <definedName name="solver_opt" localSheetId="6" hidden="1">parameters_siteplot!$H$1</definedName>
    <definedName name="solver_opt" localSheetId="5" hidden="1">parameters_siteplot_all!$H$1</definedName>
    <definedName name="solver_opt" localSheetId="2" hidden="1">site!$Y$26</definedName>
    <definedName name="solver_opt" localSheetId="3" hidden="1">siteplot!$W$13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2" localSheetId="2" hidden="1">3</definedName>
    <definedName name="solver_rhs1" localSheetId="2" hidden="1">0.003</definedName>
    <definedName name="solver_rhs2" localSheetId="2" hidden="1">0.0005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15" hidden="1">1</definedName>
    <definedName name="solver_typ" localSheetId="6" hidden="1">1</definedName>
    <definedName name="solver_typ" localSheetId="5" hidden="1">1</definedName>
    <definedName name="solver_typ" localSheetId="2" hidden="1">2</definedName>
    <definedName name="solver_typ" localSheetId="3" hidden="1">2</definedName>
    <definedName name="solver_val" localSheetId="15" hidden="1">0</definedName>
    <definedName name="solver_val" localSheetId="6" hidden="1">0</definedName>
    <definedName name="solver_val" localSheetId="5" hidden="1">0</definedName>
    <definedName name="solver_val" localSheetId="2" hidden="1">0</definedName>
    <definedName name="solver_val" localSheetId="3" hidden="1">0</definedName>
    <definedName name="solver_ver" localSheetId="15" hidden="1">3</definedName>
    <definedName name="solver_ver" localSheetId="6" hidden="1">3</definedName>
    <definedName name="solver_ver" localSheetId="5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" i="18" l="1"/>
  <c r="AH5" i="18"/>
  <c r="AH6" i="18"/>
  <c r="AH7" i="18"/>
  <c r="AH8" i="18"/>
  <c r="AH9" i="18"/>
  <c r="AH10" i="18"/>
  <c r="AH11" i="18"/>
  <c r="AH3" i="18"/>
  <c r="AE8" i="9"/>
  <c r="AE4" i="9"/>
  <c r="AE5" i="9"/>
  <c r="AE9" i="9"/>
  <c r="AE12" i="9"/>
  <c r="AE14" i="9"/>
  <c r="AD4" i="9"/>
  <c r="AD5" i="9"/>
  <c r="AD6" i="9"/>
  <c r="AE6" i="9" s="1"/>
  <c r="AD7" i="9"/>
  <c r="AE7" i="9" s="1"/>
  <c r="AD8" i="9"/>
  <c r="AD9" i="9"/>
  <c r="AD10" i="9"/>
  <c r="AE10" i="9" s="1"/>
  <c r="AD11" i="9"/>
  <c r="AE11" i="9" s="1"/>
  <c r="AD12" i="9"/>
  <c r="AD13" i="9"/>
  <c r="AE13" i="9" s="1"/>
  <c r="AD14" i="9"/>
  <c r="AD15" i="9"/>
  <c r="AE15" i="9" s="1"/>
  <c r="AD16" i="9"/>
  <c r="AE16" i="9" s="1"/>
  <c r="AD17" i="9"/>
  <c r="AE17" i="9" s="1"/>
  <c r="AD3" i="9"/>
  <c r="AE3" i="9" s="1"/>
  <c r="M2" i="11"/>
  <c r="N2" i="11"/>
  <c r="N12" i="11" s="1"/>
  <c r="L2" i="11"/>
  <c r="M3" i="11"/>
  <c r="N3" i="11"/>
  <c r="L3" i="11"/>
  <c r="H3" i="11"/>
  <c r="H13" i="11" s="1"/>
  <c r="I3" i="11"/>
  <c r="I13" i="11" s="1"/>
  <c r="G3" i="11"/>
  <c r="G13" i="11" s="1"/>
  <c r="G2" i="11"/>
  <c r="H2" i="11"/>
  <c r="I2" i="11"/>
  <c r="B16" i="11"/>
  <c r="C12" i="11"/>
  <c r="D9" i="11"/>
  <c r="C11" i="11"/>
  <c r="D16" i="11"/>
  <c r="B12" i="11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R3" i="5"/>
  <c r="AN17" i="5"/>
  <c r="AN16" i="5"/>
  <c r="AN15" i="5"/>
  <c r="AN14" i="5"/>
  <c r="AN13" i="5"/>
  <c r="AN12" i="5"/>
  <c r="AN11" i="5"/>
  <c r="AN10" i="5"/>
  <c r="AN9" i="5"/>
  <c r="AN8" i="5"/>
  <c r="AN7" i="5"/>
  <c r="AN6" i="5"/>
  <c r="AN5" i="5"/>
  <c r="AN4" i="5"/>
  <c r="AN3" i="5"/>
  <c r="AQ3" i="9"/>
  <c r="AQ4" i="9"/>
  <c r="AQ5" i="9"/>
  <c r="AQ6" i="9"/>
  <c r="AQ7" i="9"/>
  <c r="AQ8" i="9"/>
  <c r="AQ9" i="9"/>
  <c r="AQ10" i="9"/>
  <c r="AQ11" i="9"/>
  <c r="AQ12" i="9"/>
  <c r="AQ13" i="9"/>
  <c r="AQ14" i="9"/>
  <c r="AQ15" i="9"/>
  <c r="AQ16" i="9"/>
  <c r="AQ17" i="9"/>
  <c r="R10" i="5"/>
  <c r="G3" i="5"/>
  <c r="J17" i="9"/>
  <c r="I17" i="9"/>
  <c r="H17" i="9"/>
  <c r="J16" i="9"/>
  <c r="I16" i="9"/>
  <c r="H16" i="9"/>
  <c r="J15" i="9"/>
  <c r="I15" i="9"/>
  <c r="H15" i="9"/>
  <c r="J14" i="9"/>
  <c r="I14" i="9"/>
  <c r="H14" i="9"/>
  <c r="J13" i="9"/>
  <c r="I13" i="9"/>
  <c r="H13" i="9"/>
  <c r="J12" i="9"/>
  <c r="I12" i="9"/>
  <c r="H12" i="9"/>
  <c r="J11" i="9"/>
  <c r="I11" i="9"/>
  <c r="H11" i="9"/>
  <c r="J10" i="9"/>
  <c r="I10" i="9"/>
  <c r="H10" i="9"/>
  <c r="J9" i="9"/>
  <c r="I9" i="9"/>
  <c r="H9" i="9"/>
  <c r="J8" i="9"/>
  <c r="I8" i="9"/>
  <c r="H8" i="9"/>
  <c r="I7" i="9"/>
  <c r="H7" i="9"/>
  <c r="I6" i="9"/>
  <c r="H6" i="9"/>
  <c r="I5" i="9"/>
  <c r="H5" i="9"/>
  <c r="I4" i="9"/>
  <c r="H4" i="9"/>
  <c r="I3" i="9"/>
  <c r="H3" i="9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3" i="5"/>
  <c r="J9" i="5"/>
  <c r="H3" i="5"/>
  <c r="H4" i="5"/>
  <c r="H5" i="5"/>
  <c r="H6" i="5"/>
  <c r="H7" i="5"/>
  <c r="AE22" i="3" a="1"/>
  <c r="AE22" i="3" s="1"/>
  <c r="N2" i="3"/>
  <c r="M2" i="3"/>
  <c r="L2" i="3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2" i="7"/>
  <c r="R4" i="5"/>
  <c r="R5" i="5"/>
  <c r="R6" i="5"/>
  <c r="R7" i="5"/>
  <c r="R8" i="5"/>
  <c r="R9" i="5"/>
  <c r="R11" i="5"/>
  <c r="R12" i="5"/>
  <c r="R13" i="5"/>
  <c r="R14" i="5"/>
  <c r="R15" i="5"/>
  <c r="R16" i="5"/>
  <c r="R17" i="5"/>
  <c r="M9" i="11" l="1"/>
  <c r="L12" i="11"/>
  <c r="I11" i="11"/>
  <c r="N11" i="11"/>
  <c r="M13" i="11"/>
  <c r="M12" i="11"/>
  <c r="M15" i="11"/>
  <c r="L15" i="11"/>
  <c r="L11" i="11"/>
  <c r="M10" i="11"/>
  <c r="L13" i="11"/>
  <c r="N13" i="11"/>
  <c r="M14" i="11"/>
  <c r="N14" i="11"/>
  <c r="N9" i="11"/>
  <c r="N10" i="11"/>
  <c r="M11" i="11"/>
  <c r="N15" i="11"/>
  <c r="M16" i="11"/>
  <c r="N16" i="11"/>
  <c r="L14" i="11"/>
  <c r="L9" i="11"/>
  <c r="L16" i="11"/>
  <c r="L10" i="11"/>
  <c r="G16" i="11"/>
  <c r="G14" i="11"/>
  <c r="H14" i="11"/>
  <c r="G9" i="11"/>
  <c r="G12" i="11"/>
  <c r="G10" i="11"/>
  <c r="H11" i="11"/>
  <c r="H15" i="11"/>
  <c r="H9" i="11"/>
  <c r="I15" i="11"/>
  <c r="I14" i="11"/>
  <c r="I9" i="11"/>
  <c r="H16" i="11"/>
  <c r="I16" i="11"/>
  <c r="H12" i="11"/>
  <c r="I10" i="11"/>
  <c r="I12" i="11"/>
  <c r="H10" i="11"/>
  <c r="G15" i="11"/>
  <c r="G11" i="11"/>
  <c r="C9" i="11"/>
  <c r="B11" i="11"/>
  <c r="C10" i="11"/>
  <c r="C16" i="11"/>
  <c r="D12" i="11"/>
  <c r="D10" i="11"/>
  <c r="D14" i="11"/>
  <c r="D15" i="11"/>
  <c r="C15" i="11"/>
  <c r="C14" i="11"/>
  <c r="D13" i="11"/>
  <c r="C13" i="11"/>
  <c r="D11" i="11"/>
  <c r="B15" i="11"/>
  <c r="B9" i="11"/>
  <c r="B13" i="11"/>
  <c r="B14" i="11"/>
  <c r="B10" i="11"/>
  <c r="M132" i="3"/>
  <c r="M131" i="3"/>
  <c r="M130" i="3"/>
  <c r="M128" i="3"/>
  <c r="M126" i="3"/>
  <c r="M125" i="3"/>
  <c r="M124" i="3"/>
  <c r="M123" i="3"/>
  <c r="M122" i="3"/>
  <c r="M121" i="3"/>
  <c r="M120" i="3"/>
  <c r="M119" i="3"/>
  <c r="M117" i="3"/>
  <c r="M116" i="3"/>
  <c r="M115" i="3"/>
  <c r="M114" i="3"/>
  <c r="M113" i="3"/>
  <c r="M112" i="3"/>
  <c r="M111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0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AL17" i="9" l="1"/>
  <c r="X17" i="9"/>
  <c r="W17" i="9"/>
  <c r="R17" i="9"/>
  <c r="AL16" i="9"/>
  <c r="X16" i="9"/>
  <c r="W16" i="9"/>
  <c r="R16" i="9"/>
  <c r="AL15" i="9"/>
  <c r="X15" i="9"/>
  <c r="W15" i="9"/>
  <c r="R15" i="9"/>
  <c r="AL14" i="9"/>
  <c r="X14" i="9"/>
  <c r="W14" i="9"/>
  <c r="R14" i="9"/>
  <c r="AL13" i="9"/>
  <c r="X13" i="9"/>
  <c r="W13" i="9"/>
  <c r="R13" i="9"/>
  <c r="AL12" i="9"/>
  <c r="X12" i="9"/>
  <c r="W12" i="9"/>
  <c r="R12" i="9"/>
  <c r="AL11" i="9"/>
  <c r="X11" i="9"/>
  <c r="W11" i="9"/>
  <c r="R11" i="9"/>
  <c r="AL10" i="9"/>
  <c r="X10" i="9"/>
  <c r="W10" i="9"/>
  <c r="R10" i="9"/>
  <c r="AL9" i="9"/>
  <c r="X9" i="9"/>
  <c r="W9" i="9"/>
  <c r="R9" i="9"/>
  <c r="AL8" i="9"/>
  <c r="X8" i="9"/>
  <c r="W8" i="9"/>
  <c r="R8" i="9"/>
  <c r="AL7" i="9"/>
  <c r="X7" i="9"/>
  <c r="W7" i="9"/>
  <c r="R7" i="9"/>
  <c r="AL6" i="9"/>
  <c r="X6" i="9"/>
  <c r="W6" i="9"/>
  <c r="R6" i="9"/>
  <c r="AL5" i="9"/>
  <c r="X5" i="9"/>
  <c r="W5" i="9"/>
  <c r="R5" i="9"/>
  <c r="AL4" i="9"/>
  <c r="X4" i="9"/>
  <c r="W4" i="9"/>
  <c r="R4" i="9"/>
  <c r="AL3" i="9"/>
  <c r="X3" i="9"/>
  <c r="W3" i="9"/>
  <c r="R3" i="9"/>
  <c r="O2" i="3" l="1"/>
  <c r="AH3" i="5"/>
  <c r="AH4" i="5" l="1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E17" i="7"/>
  <c r="F17" i="7"/>
  <c r="D17" i="7"/>
  <c r="AA22" i="3" l="1"/>
  <c r="Q15" i="3" s="1"/>
  <c r="AJ40" i="3"/>
  <c r="AK40" i="3"/>
  <c r="AI35" i="3"/>
  <c r="AL35" i="3"/>
  <c r="AK35" i="3"/>
  <c r="AJ35" i="3"/>
  <c r="AH35" i="3"/>
  <c r="H10" i="5"/>
  <c r="H15" i="5"/>
  <c r="AP38" i="3"/>
  <c r="AO38" i="3"/>
  <c r="AN38" i="3"/>
  <c r="AM38" i="3"/>
  <c r="AL39" i="3"/>
  <c r="AI39" i="3"/>
  <c r="AH39" i="3"/>
  <c r="AP37" i="3"/>
  <c r="AO37" i="3"/>
  <c r="AN37" i="3"/>
  <c r="AM37" i="3"/>
  <c r="AL38" i="3"/>
  <c r="AI38" i="3"/>
  <c r="AH38" i="3"/>
  <c r="AP36" i="3"/>
  <c r="AO36" i="3"/>
  <c r="AN36" i="3"/>
  <c r="AM36" i="3"/>
  <c r="AL37" i="3"/>
  <c r="AI37" i="3"/>
  <c r="AH37" i="3"/>
  <c r="AC5" i="3"/>
  <c r="AB7" i="3"/>
  <c r="AC7" i="3" s="1"/>
  <c r="AB6" i="3"/>
  <c r="AC6" i="3" s="1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3" i="5"/>
  <c r="AQ3" i="7"/>
  <c r="AQ4" i="7"/>
  <c r="AQ5" i="7"/>
  <c r="AQ6" i="7"/>
  <c r="AQ7" i="7"/>
  <c r="AQ8" i="7"/>
  <c r="AQ9" i="7"/>
  <c r="AQ10" i="7"/>
  <c r="AQ11" i="7"/>
  <c r="AQ12" i="7"/>
  <c r="AQ13" i="7"/>
  <c r="AQ14" i="7"/>
  <c r="AQ15" i="7"/>
  <c r="AQ16" i="7"/>
  <c r="AQ2" i="7"/>
  <c r="AR2" i="7"/>
  <c r="BN2" i="7"/>
  <c r="AR3" i="7"/>
  <c r="BN3" i="7"/>
  <c r="AR4" i="7"/>
  <c r="BN4" i="7"/>
  <c r="AR5" i="7"/>
  <c r="BN5" i="7"/>
  <c r="AR6" i="7"/>
  <c r="BN6" i="7"/>
  <c r="AR7" i="7"/>
  <c r="BN7" i="7"/>
  <c r="AR8" i="7"/>
  <c r="BN8" i="7"/>
  <c r="AR9" i="7"/>
  <c r="BN9" i="7"/>
  <c r="AR10" i="7"/>
  <c r="BN10" i="7"/>
  <c r="AR11" i="7"/>
  <c r="BN11" i="7"/>
  <c r="AR12" i="7"/>
  <c r="BN12" i="7"/>
  <c r="AR13" i="7"/>
  <c r="BN13" i="7"/>
  <c r="AR14" i="7"/>
  <c r="BN14" i="7"/>
  <c r="AR15" i="7"/>
  <c r="BN15" i="7"/>
  <c r="AR16" i="7"/>
  <c r="BN16" i="7"/>
  <c r="C2" i="6"/>
  <c r="AI40" i="3" l="1"/>
  <c r="Q52" i="3"/>
  <c r="Q46" i="3"/>
  <c r="Q43" i="3"/>
  <c r="Q59" i="3"/>
  <c r="Q36" i="3"/>
  <c r="Q30" i="3"/>
  <c r="Q27" i="3"/>
  <c r="Q14" i="3"/>
  <c r="Q20" i="3"/>
  <c r="Q11" i="3"/>
  <c r="Q45" i="3"/>
  <c r="Q29" i="3"/>
  <c r="Q13" i="3"/>
  <c r="Q60" i="3"/>
  <c r="Q44" i="3"/>
  <c r="Q28" i="3"/>
  <c r="Q12" i="3"/>
  <c r="Q58" i="3"/>
  <c r="Q42" i="3"/>
  <c r="Q26" i="3"/>
  <c r="Q10" i="3"/>
  <c r="Q57" i="3"/>
  <c r="Q41" i="3"/>
  <c r="Q25" i="3"/>
  <c r="Q9" i="3"/>
  <c r="Q56" i="3"/>
  <c r="Q40" i="3"/>
  <c r="Q24" i="3"/>
  <c r="Q8" i="3"/>
  <c r="Q55" i="3"/>
  <c r="Q39" i="3"/>
  <c r="Q23" i="3"/>
  <c r="Q7" i="3"/>
  <c r="Q54" i="3"/>
  <c r="Q38" i="3"/>
  <c r="Q22" i="3"/>
  <c r="Q6" i="3"/>
  <c r="Q53" i="3"/>
  <c r="Q37" i="3"/>
  <c r="Q21" i="3"/>
  <c r="Q5" i="3"/>
  <c r="Q51" i="3"/>
  <c r="Q35" i="3"/>
  <c r="Q19" i="3"/>
  <c r="Q4" i="3"/>
  <c r="Q50" i="3"/>
  <c r="Q34" i="3"/>
  <c r="Q18" i="3"/>
  <c r="Q3" i="3"/>
  <c r="Q49" i="3"/>
  <c r="Q33" i="3"/>
  <c r="Q17" i="3"/>
  <c r="Q2" i="3"/>
  <c r="Q48" i="3"/>
  <c r="Q32" i="3"/>
  <c r="Q16" i="3"/>
  <c r="Q47" i="3"/>
  <c r="Q31" i="3"/>
  <c r="AL40" i="3"/>
  <c r="H9" i="5"/>
  <c r="H17" i="5"/>
  <c r="H14" i="5"/>
  <c r="H13" i="5"/>
  <c r="H8" i="5"/>
  <c r="H12" i="5"/>
  <c r="H11" i="5"/>
  <c r="H16" i="5"/>
  <c r="AB22" i="3" l="1"/>
  <c r="AA23" i="3"/>
  <c r="AA24" i="3"/>
  <c r="Y38" i="3"/>
  <c r="U38" i="3"/>
  <c r="Y37" i="3"/>
  <c r="U37" i="3"/>
  <c r="Y36" i="3"/>
  <c r="U36" i="3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3" i="5"/>
  <c r="Q111" i="3" l="1"/>
  <c r="Q127" i="3"/>
  <c r="Q112" i="3"/>
  <c r="Q128" i="3"/>
  <c r="Q132" i="3"/>
  <c r="Q110" i="3"/>
  <c r="Q113" i="3"/>
  <c r="Q129" i="3"/>
  <c r="Q126" i="3"/>
  <c r="Q114" i="3"/>
  <c r="Q130" i="3"/>
  <c r="Q100" i="3"/>
  <c r="Q99" i="3"/>
  <c r="Q115" i="3"/>
  <c r="Q131" i="3"/>
  <c r="Q116" i="3"/>
  <c r="Q101" i="3"/>
  <c r="Q117" i="3"/>
  <c r="Q102" i="3"/>
  <c r="Q118" i="3"/>
  <c r="Q103" i="3"/>
  <c r="Q119" i="3"/>
  <c r="Q104" i="3"/>
  <c r="Q120" i="3"/>
  <c r="Q105" i="3"/>
  <c r="Q121" i="3"/>
  <c r="Q107" i="3"/>
  <c r="Q106" i="3"/>
  <c r="Q122" i="3"/>
  <c r="Q123" i="3"/>
  <c r="Q108" i="3"/>
  <c r="Q124" i="3"/>
  <c r="Q109" i="3"/>
  <c r="Q125" i="3"/>
  <c r="Q63" i="3"/>
  <c r="Q79" i="3"/>
  <c r="Q95" i="3"/>
  <c r="Q64" i="3"/>
  <c r="Q80" i="3"/>
  <c r="Q96" i="3"/>
  <c r="Q68" i="3"/>
  <c r="Q65" i="3"/>
  <c r="Q81" i="3"/>
  <c r="Q97" i="3"/>
  <c r="Q84" i="3"/>
  <c r="Q66" i="3"/>
  <c r="Q82" i="3"/>
  <c r="Q98" i="3"/>
  <c r="Q62" i="3"/>
  <c r="Q67" i="3"/>
  <c r="Q83" i="3"/>
  <c r="Q69" i="3"/>
  <c r="Q85" i="3"/>
  <c r="Q70" i="3"/>
  <c r="Q86" i="3"/>
  <c r="Q75" i="3"/>
  <c r="Q71" i="3"/>
  <c r="Q87" i="3"/>
  <c r="Q72" i="3"/>
  <c r="Q88" i="3"/>
  <c r="Q94" i="3"/>
  <c r="Q73" i="3"/>
  <c r="Q89" i="3"/>
  <c r="Q74" i="3"/>
  <c r="Q90" i="3"/>
  <c r="Q91" i="3"/>
  <c r="Q76" i="3"/>
  <c r="Q92" i="3"/>
  <c r="Q61" i="3"/>
  <c r="Q77" i="3"/>
  <c r="Q93" i="3"/>
  <c r="Q78" i="3"/>
  <c r="AG23" i="3" a="1"/>
  <c r="AG23" i="3" s="1"/>
  <c r="G12" i="5" s="1"/>
  <c r="AG24" i="3" a="1"/>
  <c r="AG24" i="3" s="1"/>
  <c r="G13" i="5" s="1"/>
  <c r="AG22" i="3" a="1"/>
  <c r="AG22" i="3" s="1"/>
  <c r="E6" i="5"/>
  <c r="AE23" i="3" a="1"/>
  <c r="AE23" i="3" s="1"/>
  <c r="E8" i="5" s="1"/>
  <c r="AE24" i="3" a="1"/>
  <c r="AE24" i="3" s="1"/>
  <c r="E13" i="5" s="1"/>
  <c r="AD22" i="3" a="1"/>
  <c r="AD22" i="3" s="1"/>
  <c r="D7" i="5" s="1"/>
  <c r="AD23" i="3" a="1"/>
  <c r="AD23" i="3" s="1"/>
  <c r="D8" i="5" s="1"/>
  <c r="AD24" i="3" a="1"/>
  <c r="AD24" i="3" s="1"/>
  <c r="D13" i="5" s="1"/>
  <c r="AH22" i="3" a="1"/>
  <c r="AH22" i="3" s="1"/>
  <c r="AH23" i="3" a="1"/>
  <c r="AH23" i="3" s="1"/>
  <c r="AH24" i="3" a="1"/>
  <c r="AH24" i="3" s="1"/>
  <c r="U24" i="3"/>
  <c r="U23" i="3"/>
  <c r="U22" i="3"/>
  <c r="D2" i="3"/>
  <c r="AE7" i="3" l="1"/>
  <c r="AF7" i="3" s="1"/>
  <c r="AG7" i="3" s="1"/>
  <c r="AE6" i="3"/>
  <c r="AF6" i="3" s="1"/>
  <c r="AG6" i="3" s="1"/>
  <c r="AE5" i="3"/>
  <c r="AF5" i="3" s="1"/>
  <c r="AG5" i="3" s="1"/>
  <c r="U26" i="3"/>
  <c r="G4" i="5"/>
  <c r="AB23" i="3"/>
  <c r="AB24" i="3"/>
  <c r="D5" i="5"/>
  <c r="E3" i="5"/>
  <c r="D4" i="5"/>
  <c r="G10" i="5"/>
  <c r="E17" i="5"/>
  <c r="D6" i="5"/>
  <c r="E4" i="5"/>
  <c r="G11" i="5"/>
  <c r="D3" i="5"/>
  <c r="E16" i="5"/>
  <c r="G17" i="5"/>
  <c r="G9" i="5"/>
  <c r="E5" i="5"/>
  <c r="D17" i="5"/>
  <c r="E15" i="5"/>
  <c r="D16" i="5"/>
  <c r="E14" i="5"/>
  <c r="G16" i="5"/>
  <c r="G8" i="5"/>
  <c r="D15" i="5"/>
  <c r="D14" i="5"/>
  <c r="E12" i="5"/>
  <c r="G15" i="5"/>
  <c r="G7" i="5"/>
  <c r="E11" i="5"/>
  <c r="D12" i="5"/>
  <c r="E10" i="5"/>
  <c r="G14" i="5"/>
  <c r="G6" i="5"/>
  <c r="D11" i="5"/>
  <c r="E9" i="5"/>
  <c r="D10" i="5"/>
  <c r="G5" i="5"/>
  <c r="D9" i="5"/>
  <c r="E7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M2" i="1"/>
  <c r="L2" i="1"/>
  <c r="K2" i="1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AF23" i="3" l="1" a="1"/>
  <c r="AF23" i="3" s="1"/>
  <c r="AF22" i="3" a="1"/>
  <c r="AF22" i="3" s="1"/>
  <c r="F3" i="5" s="1"/>
  <c r="AF24" i="3" a="1"/>
  <c r="AF24" i="3" s="1"/>
  <c r="N2" i="1"/>
  <c r="O2" i="1" s="1"/>
  <c r="N31" i="1"/>
  <c r="O31" i="1" s="1"/>
  <c r="N14" i="1"/>
  <c r="O14" i="1" s="1"/>
  <c r="N119" i="1"/>
  <c r="O119" i="1" s="1"/>
  <c r="N87" i="1"/>
  <c r="O87" i="1" s="1"/>
  <c r="N71" i="1"/>
  <c r="O71" i="1" s="1"/>
  <c r="N55" i="1"/>
  <c r="O55" i="1" s="1"/>
  <c r="N7" i="1"/>
  <c r="O7" i="1" s="1"/>
  <c r="N112" i="1"/>
  <c r="O112" i="1" s="1"/>
  <c r="N96" i="1"/>
  <c r="O96" i="1" s="1"/>
  <c r="N32" i="1"/>
  <c r="O32" i="1" s="1"/>
  <c r="N50" i="1"/>
  <c r="O50" i="1" s="1"/>
  <c r="N101" i="1"/>
  <c r="O101" i="1" s="1"/>
  <c r="N130" i="1"/>
  <c r="O130" i="1" s="1"/>
  <c r="N114" i="1"/>
  <c r="O114" i="1" s="1"/>
  <c r="N98" i="1"/>
  <c r="O98" i="1" s="1"/>
  <c r="N82" i="1"/>
  <c r="O82" i="1" s="1"/>
  <c r="N66" i="1"/>
  <c r="O66" i="1" s="1"/>
  <c r="N18" i="1"/>
  <c r="O18" i="1" s="1"/>
  <c r="N124" i="1"/>
  <c r="O124" i="1" s="1"/>
  <c r="N108" i="1"/>
  <c r="O108" i="1" s="1"/>
  <c r="N92" i="1"/>
  <c r="O92" i="1" s="1"/>
  <c r="N76" i="1"/>
  <c r="O76" i="1" s="1"/>
  <c r="N60" i="1"/>
  <c r="O60" i="1" s="1"/>
  <c r="N44" i="1"/>
  <c r="O44" i="1" s="1"/>
  <c r="N28" i="1"/>
  <c r="O28" i="1" s="1"/>
  <c r="N12" i="1"/>
  <c r="O12" i="1" s="1"/>
  <c r="N129" i="1"/>
  <c r="O129" i="1" s="1"/>
  <c r="N97" i="1"/>
  <c r="O97" i="1" s="1"/>
  <c r="N81" i="1"/>
  <c r="O81" i="1" s="1"/>
  <c r="N17" i="1"/>
  <c r="O17" i="1" s="1"/>
  <c r="N123" i="1"/>
  <c r="O123" i="1" s="1"/>
  <c r="N107" i="1"/>
  <c r="O107" i="1" s="1"/>
  <c r="N43" i="1"/>
  <c r="O43" i="1" s="1"/>
  <c r="N53" i="1"/>
  <c r="O53" i="1" s="1"/>
  <c r="N42" i="1"/>
  <c r="O42" i="1" s="1"/>
  <c r="N26" i="1"/>
  <c r="O26" i="1" s="1"/>
  <c r="N121" i="1"/>
  <c r="O121" i="1" s="1"/>
  <c r="N105" i="1"/>
  <c r="O105" i="1" s="1"/>
  <c r="N89" i="1"/>
  <c r="O89" i="1" s="1"/>
  <c r="N73" i="1"/>
  <c r="O73" i="1" s="1"/>
  <c r="N57" i="1"/>
  <c r="O57" i="1" s="1"/>
  <c r="N41" i="1"/>
  <c r="O41" i="1" s="1"/>
  <c r="N25" i="1"/>
  <c r="O25" i="1" s="1"/>
  <c r="N9" i="1"/>
  <c r="O9" i="1" s="1"/>
  <c r="N125" i="1"/>
  <c r="O125" i="1" s="1"/>
  <c r="N77" i="1"/>
  <c r="O77" i="1" s="1"/>
  <c r="N45" i="1"/>
  <c r="O45" i="1" s="1"/>
  <c r="N61" i="1"/>
  <c r="O61" i="1" s="1"/>
  <c r="N91" i="1"/>
  <c r="O91" i="1" s="1"/>
  <c r="N75" i="1"/>
  <c r="O75" i="1" s="1"/>
  <c r="N59" i="1"/>
  <c r="O59" i="1" s="1"/>
  <c r="N27" i="1"/>
  <c r="O27" i="1" s="1"/>
  <c r="N11" i="1"/>
  <c r="O11" i="1" s="1"/>
  <c r="N128" i="1"/>
  <c r="O128" i="1" s="1"/>
  <c r="N80" i="1"/>
  <c r="O80" i="1" s="1"/>
  <c r="N64" i="1"/>
  <c r="O64" i="1" s="1"/>
  <c r="N48" i="1"/>
  <c r="O48" i="1" s="1"/>
  <c r="N16" i="1"/>
  <c r="O16" i="1" s="1"/>
  <c r="N133" i="1"/>
  <c r="O133" i="1" s="1"/>
  <c r="N117" i="1"/>
  <c r="O117" i="1" s="1"/>
  <c r="N85" i="1"/>
  <c r="O85" i="1" s="1"/>
  <c r="N69" i="1"/>
  <c r="O69" i="1" s="1"/>
  <c r="N37" i="1"/>
  <c r="O37" i="1" s="1"/>
  <c r="N21" i="1"/>
  <c r="O21" i="1" s="1"/>
  <c r="N5" i="1"/>
  <c r="O5" i="1" s="1"/>
  <c r="N122" i="1"/>
  <c r="O122" i="1" s="1"/>
  <c r="N111" i="1"/>
  <c r="O111" i="1" s="1"/>
  <c r="N106" i="1"/>
  <c r="O106" i="1" s="1"/>
  <c r="N90" i="1"/>
  <c r="O90" i="1" s="1"/>
  <c r="N74" i="1"/>
  <c r="O74" i="1" s="1"/>
  <c r="N58" i="1"/>
  <c r="O58" i="1" s="1"/>
  <c r="N15" i="1"/>
  <c r="O15" i="1" s="1"/>
  <c r="N10" i="1"/>
  <c r="O10" i="1" s="1"/>
  <c r="N127" i="1"/>
  <c r="O127" i="1" s="1"/>
  <c r="N95" i="1"/>
  <c r="O95" i="1" s="1"/>
  <c r="N79" i="1"/>
  <c r="O79" i="1" s="1"/>
  <c r="N63" i="1"/>
  <c r="O63" i="1" s="1"/>
  <c r="N47" i="1"/>
  <c r="O47" i="1" s="1"/>
  <c r="N132" i="1"/>
  <c r="O132" i="1" s="1"/>
  <c r="N116" i="1"/>
  <c r="O116" i="1" s="1"/>
  <c r="N100" i="1"/>
  <c r="O100" i="1" s="1"/>
  <c r="N84" i="1"/>
  <c r="O84" i="1" s="1"/>
  <c r="N68" i="1"/>
  <c r="O68" i="1" s="1"/>
  <c r="N52" i="1"/>
  <c r="O52" i="1" s="1"/>
  <c r="N36" i="1"/>
  <c r="O36" i="1" s="1"/>
  <c r="N20" i="1"/>
  <c r="O20" i="1" s="1"/>
  <c r="N4" i="1"/>
  <c r="O4" i="1" s="1"/>
  <c r="N94" i="1"/>
  <c r="O94" i="1" s="1"/>
  <c r="N78" i="1"/>
  <c r="O78" i="1" s="1"/>
  <c r="N62" i="1"/>
  <c r="O62" i="1" s="1"/>
  <c r="N46" i="1"/>
  <c r="O46" i="1" s="1"/>
  <c r="N30" i="1"/>
  <c r="O30" i="1" s="1"/>
  <c r="N126" i="1"/>
  <c r="O126" i="1" s="1"/>
  <c r="N131" i="1"/>
  <c r="O131" i="1" s="1"/>
  <c r="N115" i="1"/>
  <c r="O115" i="1" s="1"/>
  <c r="N99" i="1"/>
  <c r="O99" i="1" s="1"/>
  <c r="N88" i="1"/>
  <c r="O88" i="1" s="1"/>
  <c r="N83" i="1"/>
  <c r="O83" i="1" s="1"/>
  <c r="N67" i="1"/>
  <c r="O67" i="1" s="1"/>
  <c r="N51" i="1"/>
  <c r="O51" i="1" s="1"/>
  <c r="N35" i="1"/>
  <c r="O35" i="1" s="1"/>
  <c r="N19" i="1"/>
  <c r="O19" i="1" s="1"/>
  <c r="N8" i="1"/>
  <c r="O8" i="1" s="1"/>
  <c r="N3" i="1"/>
  <c r="O3" i="1" s="1"/>
  <c r="N120" i="1"/>
  <c r="O120" i="1" s="1"/>
  <c r="N104" i="1"/>
  <c r="O104" i="1" s="1"/>
  <c r="N72" i="1"/>
  <c r="O72" i="1" s="1"/>
  <c r="N56" i="1"/>
  <c r="O56" i="1" s="1"/>
  <c r="N40" i="1"/>
  <c r="O40" i="1" s="1"/>
  <c r="N24" i="1"/>
  <c r="O24" i="1" s="1"/>
  <c r="N109" i="1"/>
  <c r="O109" i="1" s="1"/>
  <c r="N93" i="1"/>
  <c r="O93" i="1" s="1"/>
  <c r="N29" i="1"/>
  <c r="O29" i="1" s="1"/>
  <c r="N13" i="1"/>
  <c r="O13" i="1" s="1"/>
  <c r="N110" i="1"/>
  <c r="O110" i="1" s="1"/>
  <c r="N34" i="1"/>
  <c r="O34" i="1" s="1"/>
  <c r="N103" i="1"/>
  <c r="O103" i="1" s="1"/>
  <c r="N39" i="1"/>
  <c r="O39" i="1" s="1"/>
  <c r="N23" i="1"/>
  <c r="O23" i="1" s="1"/>
  <c r="N113" i="1"/>
  <c r="O113" i="1" s="1"/>
  <c r="N65" i="1"/>
  <c r="O65" i="1" s="1"/>
  <c r="N54" i="1"/>
  <c r="O54" i="1" s="1"/>
  <c r="N49" i="1"/>
  <c r="O49" i="1" s="1"/>
  <c r="N33" i="1"/>
  <c r="O33" i="1" s="1"/>
  <c r="N6" i="1"/>
  <c r="O6" i="1" s="1"/>
  <c r="N118" i="1"/>
  <c r="O118" i="1" s="1"/>
  <c r="N102" i="1"/>
  <c r="O102" i="1" s="1"/>
  <c r="N86" i="1"/>
  <c r="O86" i="1" s="1"/>
  <c r="N70" i="1"/>
  <c r="O70" i="1" s="1"/>
  <c r="N38" i="1"/>
  <c r="O38" i="1" s="1"/>
  <c r="N22" i="1"/>
  <c r="O22" i="1" s="1"/>
  <c r="F13" i="5" l="1"/>
  <c r="F14" i="5"/>
  <c r="F15" i="5"/>
  <c r="F16" i="5"/>
  <c r="F17" i="5"/>
  <c r="F5" i="5"/>
  <c r="F6" i="5"/>
  <c r="F7" i="5"/>
  <c r="F4" i="5"/>
  <c r="F8" i="5"/>
  <c r="F12" i="5"/>
  <c r="F9" i="5"/>
  <c r="F10" i="5"/>
  <c r="F11" i="5"/>
  <c r="W14" i="1"/>
  <c r="W17" i="1"/>
  <c r="W23" i="1"/>
  <c r="W22" i="1"/>
  <c r="W15" i="1"/>
  <c r="W16" i="1"/>
  <c r="W18" i="1"/>
  <c r="W13" i="1"/>
  <c r="W24" i="1"/>
  <c r="M72" i="3" l="1"/>
  <c r="M88" i="3"/>
  <c r="M129" i="3"/>
  <c r="M127" i="3"/>
  <c r="M118" i="3"/>
  <c r="M110" i="3"/>
  <c r="N130" i="3"/>
  <c r="N113" i="3"/>
  <c r="N125" i="3"/>
  <c r="J13" i="5"/>
  <c r="N99" i="3"/>
  <c r="N108" i="3"/>
  <c r="N131" i="3"/>
  <c r="N102" i="3"/>
  <c r="N103" i="3"/>
  <c r="N117" i="3"/>
  <c r="J16" i="5"/>
  <c r="N107" i="3"/>
  <c r="N122" i="3"/>
  <c r="J17" i="5"/>
  <c r="J14" i="5"/>
  <c r="N114" i="3"/>
  <c r="N126" i="3"/>
  <c r="N123" i="3"/>
  <c r="N105" i="3"/>
  <c r="N121" i="3"/>
  <c r="N129" i="3"/>
  <c r="N124" i="3"/>
  <c r="N106" i="3"/>
  <c r="N116" i="3"/>
  <c r="N104" i="3"/>
  <c r="N119" i="3"/>
  <c r="N127" i="3"/>
  <c r="N115" i="3"/>
  <c r="N132" i="3"/>
  <c r="N128" i="3"/>
  <c r="J15" i="5"/>
  <c r="N111" i="3"/>
  <c r="N110" i="3"/>
  <c r="N112" i="3"/>
  <c r="N101" i="3"/>
  <c r="N120" i="3"/>
  <c r="N100" i="3"/>
  <c r="N109" i="3"/>
  <c r="N118" i="3"/>
  <c r="N83" i="3"/>
  <c r="N84" i="3"/>
  <c r="N62" i="3"/>
  <c r="N72" i="3"/>
  <c r="N93" i="3"/>
  <c r="N67" i="3"/>
  <c r="N70" i="3"/>
  <c r="N79" i="3"/>
  <c r="N90" i="3"/>
  <c r="N89" i="3"/>
  <c r="N64" i="3"/>
  <c r="N63" i="3"/>
  <c r="J11" i="5"/>
  <c r="N68" i="3"/>
  <c r="N76" i="3"/>
  <c r="N81" i="3"/>
  <c r="N86" i="3"/>
  <c r="N75" i="3"/>
  <c r="N82" i="3"/>
  <c r="N91" i="3"/>
  <c r="N96" i="3"/>
  <c r="J8" i="5"/>
  <c r="N94" i="3"/>
  <c r="N69" i="3"/>
  <c r="N74" i="3"/>
  <c r="N71" i="3"/>
  <c r="N80" i="3"/>
  <c r="N87" i="3"/>
  <c r="N78" i="3"/>
  <c r="N73" i="3"/>
  <c r="N77" i="3"/>
  <c r="N97" i="3"/>
  <c r="N61" i="3"/>
  <c r="J10" i="5"/>
  <c r="N65" i="3"/>
  <c r="N88" i="3"/>
  <c r="N85" i="3"/>
  <c r="N66" i="3"/>
  <c r="N92" i="3"/>
  <c r="N95" i="3"/>
  <c r="N98" i="3"/>
  <c r="J12" i="5"/>
  <c r="O118" i="3" l="1"/>
  <c r="P118" i="3" s="1"/>
  <c r="O65" i="3"/>
  <c r="P65" i="3" s="1"/>
  <c r="O101" i="3"/>
  <c r="P101" i="3" s="1"/>
  <c r="O87" i="3"/>
  <c r="P87" i="3" s="1"/>
  <c r="O105" i="3"/>
  <c r="P105" i="3" s="1"/>
  <c r="O66" i="3"/>
  <c r="P66" i="3" s="1"/>
  <c r="O82" i="3"/>
  <c r="P82" i="3" s="1"/>
  <c r="O102" i="3"/>
  <c r="P102" i="3" s="1"/>
  <c r="O94" i="3"/>
  <c r="P94" i="3" s="1"/>
  <c r="O126" i="3"/>
  <c r="P126" i="3" s="1"/>
  <c r="O84" i="3"/>
  <c r="P84" i="3" s="1"/>
  <c r="O125" i="3"/>
  <c r="P125" i="3" s="1"/>
  <c r="O61" i="3"/>
  <c r="P61" i="3" s="1"/>
  <c r="O104" i="3"/>
  <c r="P104" i="3" s="1"/>
  <c r="O75" i="3"/>
  <c r="P75" i="3" s="1"/>
  <c r="O103" i="3"/>
  <c r="P103" i="3" s="1"/>
  <c r="O89" i="3"/>
  <c r="P89" i="3" s="1"/>
  <c r="O83" i="3"/>
  <c r="P83" i="3" s="1"/>
  <c r="O86" i="3"/>
  <c r="P86" i="3" s="1"/>
  <c r="O132" i="3"/>
  <c r="P132" i="3" s="1"/>
  <c r="O130" i="3"/>
  <c r="P130" i="3" s="1"/>
  <c r="O111" i="3"/>
  <c r="P111" i="3" s="1"/>
  <c r="O112" i="3"/>
  <c r="P112" i="3" s="1"/>
  <c r="O72" i="3"/>
  <c r="P72" i="3" s="1"/>
  <c r="O76" i="3"/>
  <c r="P76" i="3" s="1"/>
  <c r="O110" i="3"/>
  <c r="P110" i="3" s="1"/>
  <c r="O107" i="3"/>
  <c r="P107" i="3" s="1"/>
  <c r="O77" i="3"/>
  <c r="P77" i="3" s="1"/>
  <c r="O71" i="3"/>
  <c r="P71" i="3" s="1"/>
  <c r="O93" i="3"/>
  <c r="P93" i="3" s="1"/>
  <c r="O120" i="3"/>
  <c r="P120" i="3" s="1"/>
  <c r="O70" i="3"/>
  <c r="P70" i="3" s="1"/>
  <c r="O73" i="3"/>
  <c r="P73" i="3" s="1"/>
  <c r="O91" i="3"/>
  <c r="P91" i="3" s="1"/>
  <c r="O113" i="3"/>
  <c r="P113" i="3" s="1"/>
  <c r="O99" i="3"/>
  <c r="P99" i="3" s="1"/>
  <c r="O85" i="3"/>
  <c r="P85" i="3" s="1"/>
  <c r="O68" i="3"/>
  <c r="P68" i="3" s="1"/>
  <c r="O129" i="3"/>
  <c r="P129" i="3" s="1"/>
  <c r="O100" i="3"/>
  <c r="P100" i="3" s="1"/>
  <c r="O122" i="3"/>
  <c r="P122" i="3" s="1"/>
  <c r="O123" i="3"/>
  <c r="P123" i="3" s="1"/>
  <c r="O106" i="3"/>
  <c r="P106" i="3" s="1"/>
  <c r="O121" i="3"/>
  <c r="P121" i="3" s="1"/>
  <c r="O67" i="3"/>
  <c r="P67" i="3" s="1"/>
  <c r="O127" i="3"/>
  <c r="P127" i="3" s="1"/>
  <c r="O78" i="3"/>
  <c r="P78" i="3" s="1"/>
  <c r="O97" i="3"/>
  <c r="P97" i="3" s="1"/>
  <c r="O116" i="3"/>
  <c r="P116" i="3" s="1"/>
  <c r="O119" i="3"/>
  <c r="P119" i="3" s="1"/>
  <c r="O62" i="3"/>
  <c r="P62" i="3" s="1"/>
  <c r="O92" i="3"/>
  <c r="P92" i="3" s="1"/>
  <c r="O124" i="3"/>
  <c r="P124" i="3" s="1"/>
  <c r="O108" i="3"/>
  <c r="P108" i="3" s="1"/>
  <c r="O114" i="3"/>
  <c r="P114" i="3" s="1"/>
  <c r="O79" i="3"/>
  <c r="P79" i="3" s="1"/>
  <c r="O80" i="3"/>
  <c r="P80" i="3" s="1"/>
  <c r="O69" i="3"/>
  <c r="P69" i="3" s="1"/>
  <c r="O63" i="3"/>
  <c r="P63" i="3" s="1"/>
  <c r="O95" i="3"/>
  <c r="P95" i="3" s="1"/>
  <c r="O109" i="3"/>
  <c r="P109" i="3" s="1"/>
  <c r="O98" i="3"/>
  <c r="P98" i="3" s="1"/>
  <c r="O131" i="3"/>
  <c r="P131" i="3" s="1"/>
  <c r="O81" i="3"/>
  <c r="P81" i="3" s="1"/>
  <c r="O117" i="3"/>
  <c r="P117" i="3" s="1"/>
  <c r="O88" i="3"/>
  <c r="P88" i="3" s="1"/>
  <c r="O74" i="3"/>
  <c r="P74" i="3" s="1"/>
  <c r="O128" i="3"/>
  <c r="P128" i="3" s="1"/>
  <c r="O64" i="3"/>
  <c r="P64" i="3" s="1"/>
  <c r="O96" i="3"/>
  <c r="P96" i="3" s="1"/>
  <c r="O90" i="3"/>
  <c r="P90" i="3" s="1"/>
  <c r="O115" i="3"/>
  <c r="P115" i="3" s="1"/>
  <c r="Y24" i="3" l="1"/>
  <c r="Z24" i="3" s="1"/>
  <c r="Y23" i="3"/>
  <c r="AC23" i="3" s="1"/>
  <c r="X16" i="3"/>
  <c r="X17" i="3"/>
  <c r="X15" i="3"/>
  <c r="X18" i="3"/>
  <c r="Z23" i="3" l="1"/>
  <c r="AC24" i="3"/>
  <c r="L51" i="3"/>
  <c r="L17" i="3"/>
  <c r="L21" i="3"/>
  <c r="L53" i="3"/>
  <c r="L3" i="3"/>
  <c r="L34" i="3"/>
  <c r="L29" i="3"/>
  <c r="L56" i="3"/>
  <c r="L25" i="3"/>
  <c r="L6" i="3"/>
  <c r="L22" i="3"/>
  <c r="L12" i="3"/>
  <c r="L19" i="3"/>
  <c r="L10" i="3"/>
  <c r="L7" i="3"/>
  <c r="L58" i="3"/>
  <c r="L36" i="3"/>
  <c r="L20" i="3"/>
  <c r="L26" i="3"/>
  <c r="L46" i="3"/>
  <c r="V37" i="3"/>
  <c r="L41" i="3"/>
  <c r="W26" i="3"/>
  <c r="W37" i="3" s="1"/>
  <c r="L37" i="3"/>
  <c r="L57" i="3"/>
  <c r="L49" i="3"/>
  <c r="L32" i="3"/>
  <c r="L28" i="3"/>
  <c r="L14" i="3"/>
  <c r="L23" i="3"/>
  <c r="L9" i="3"/>
  <c r="L15" i="3"/>
  <c r="L33" i="3"/>
  <c r="L59" i="3"/>
  <c r="L11" i="3"/>
  <c r="L42" i="3"/>
  <c r="L45" i="3"/>
  <c r="L48" i="3"/>
  <c r="L55" i="3"/>
  <c r="L31" i="3"/>
  <c r="L27" i="3"/>
  <c r="L50" i="3"/>
  <c r="L24" i="3"/>
  <c r="L8" i="3"/>
  <c r="L39" i="3"/>
  <c r="L5" i="3"/>
  <c r="L30" i="3"/>
  <c r="L13" i="3"/>
  <c r="L40" i="3"/>
  <c r="L54" i="3"/>
  <c r="L35" i="3"/>
  <c r="L43" i="3"/>
  <c r="L4" i="3"/>
  <c r="L18" i="3"/>
  <c r="L44" i="3"/>
  <c r="L47" i="3"/>
  <c r="L52" i="3"/>
  <c r="M49" i="3"/>
  <c r="W27" i="3"/>
  <c r="M51" i="3"/>
  <c r="L38" i="3"/>
  <c r="L60" i="3"/>
  <c r="L16" i="3"/>
  <c r="N59" i="3"/>
  <c r="N47" i="3"/>
  <c r="N11" i="3"/>
  <c r="X26" i="3"/>
  <c r="N37" i="3"/>
  <c r="N32" i="3"/>
  <c r="N5" i="3"/>
  <c r="N53" i="3"/>
  <c r="N33" i="3"/>
  <c r="N39" i="3"/>
  <c r="N15" i="3"/>
  <c r="N38" i="3"/>
  <c r="N25" i="3"/>
  <c r="N43" i="3"/>
  <c r="N45" i="3"/>
  <c r="N7" i="3"/>
  <c r="N46" i="3"/>
  <c r="N18" i="3"/>
  <c r="X27" i="3"/>
  <c r="N30" i="3"/>
  <c r="N49" i="3"/>
  <c r="N3" i="3"/>
  <c r="N34" i="3"/>
  <c r="N42" i="3"/>
  <c r="N44" i="3"/>
  <c r="N51" i="3"/>
  <c r="N19" i="3"/>
  <c r="N28" i="3"/>
  <c r="N13" i="3"/>
  <c r="N9" i="3"/>
  <c r="N17" i="3"/>
  <c r="N12" i="3"/>
  <c r="N24" i="3"/>
  <c r="N52" i="3"/>
  <c r="N57" i="3"/>
  <c r="N48" i="3"/>
  <c r="N60" i="3"/>
  <c r="N22" i="3"/>
  <c r="N20" i="3"/>
  <c r="N58" i="3"/>
  <c r="N23" i="3"/>
  <c r="N54" i="3"/>
  <c r="N8" i="3"/>
  <c r="N27" i="3"/>
  <c r="N50" i="3"/>
  <c r="N14" i="3"/>
  <c r="N35" i="3"/>
  <c r="N10" i="3"/>
  <c r="N31" i="3"/>
  <c r="N4" i="3"/>
  <c r="N21" i="3"/>
  <c r="N55" i="3"/>
  <c r="N29" i="3"/>
  <c r="N26" i="3"/>
  <c r="N16" i="3"/>
  <c r="N41" i="3"/>
  <c r="N56" i="3"/>
  <c r="N6" i="3"/>
  <c r="N36" i="3"/>
  <c r="N40" i="3"/>
  <c r="O48" i="3" l="1"/>
  <c r="P48" i="3" s="1"/>
  <c r="O16" i="3"/>
  <c r="P16" i="3" s="1"/>
  <c r="W36" i="3"/>
  <c r="O12" i="3"/>
  <c r="P12" i="3" s="1"/>
  <c r="O20" i="3"/>
  <c r="P20" i="3" s="1"/>
  <c r="O39" i="3"/>
  <c r="P39" i="3" s="1"/>
  <c r="O25" i="3"/>
  <c r="P25" i="3" s="1"/>
  <c r="O47" i="3"/>
  <c r="P47" i="3" s="1"/>
  <c r="O44" i="3"/>
  <c r="P44" i="3" s="1"/>
  <c r="V38" i="3"/>
  <c r="O23" i="3"/>
  <c r="P23" i="3" s="1"/>
  <c r="O7" i="3"/>
  <c r="P7" i="3" s="1"/>
  <c r="O26" i="3"/>
  <c r="P26" i="3" s="1"/>
  <c r="O59" i="3"/>
  <c r="P59" i="3" s="1"/>
  <c r="O46" i="3"/>
  <c r="P46" i="3" s="1"/>
  <c r="O17" i="3"/>
  <c r="P17" i="3" s="1"/>
  <c r="O32" i="3"/>
  <c r="P32" i="3" s="1"/>
  <c r="O27" i="3"/>
  <c r="P27" i="3" s="1"/>
  <c r="O49" i="3"/>
  <c r="P49" i="3" s="1"/>
  <c r="O10" i="3"/>
  <c r="P10" i="3" s="1"/>
  <c r="O14" i="3"/>
  <c r="P14" i="3" s="1"/>
  <c r="O45" i="3"/>
  <c r="P45" i="3" s="1"/>
  <c r="O31" i="3"/>
  <c r="P31" i="3" s="1"/>
  <c r="O3" i="3"/>
  <c r="P3" i="3" s="1"/>
  <c r="O55" i="3"/>
  <c r="P55" i="3" s="1"/>
  <c r="O37" i="3"/>
  <c r="P37" i="3" s="1"/>
  <c r="O38" i="3"/>
  <c r="P38" i="3" s="1"/>
  <c r="O22" i="3"/>
  <c r="P22" i="3" s="1"/>
  <c r="O6" i="3"/>
  <c r="P6" i="3" s="1"/>
  <c r="O4" i="3"/>
  <c r="P4" i="3" s="1"/>
  <c r="O43" i="3"/>
  <c r="P43" i="3" s="1"/>
  <c r="O42" i="3"/>
  <c r="P42" i="3" s="1"/>
  <c r="W38" i="3"/>
  <c r="O35" i="3"/>
  <c r="P35" i="3" s="1"/>
  <c r="O11" i="3"/>
  <c r="P11" i="3" s="1"/>
  <c r="O41" i="3"/>
  <c r="P41" i="3" s="1"/>
  <c r="O56" i="3"/>
  <c r="P56" i="3" s="1"/>
  <c r="O30" i="3"/>
  <c r="P30" i="3" s="1"/>
  <c r="O40" i="3"/>
  <c r="P40" i="3" s="1"/>
  <c r="O34" i="3"/>
  <c r="P34" i="3" s="1"/>
  <c r="O50" i="3"/>
  <c r="P50" i="3" s="1"/>
  <c r="O15" i="3"/>
  <c r="P15" i="3" s="1"/>
  <c r="O24" i="3"/>
  <c r="P24" i="3" s="1"/>
  <c r="O54" i="3"/>
  <c r="P54" i="3" s="1"/>
  <c r="O29" i="3"/>
  <c r="P29" i="3" s="1"/>
  <c r="O33" i="3"/>
  <c r="P33" i="3" s="1"/>
  <c r="P2" i="3"/>
  <c r="O60" i="3"/>
  <c r="P60" i="3" s="1"/>
  <c r="O13" i="3"/>
  <c r="P13" i="3" s="1"/>
  <c r="O19" i="3"/>
  <c r="P19" i="3" s="1"/>
  <c r="O9" i="3"/>
  <c r="P9" i="3" s="1"/>
  <c r="O53" i="3"/>
  <c r="P53" i="3" s="1"/>
  <c r="O18" i="3"/>
  <c r="P18" i="3" s="1"/>
  <c r="O5" i="3"/>
  <c r="P5" i="3" s="1"/>
  <c r="O21" i="3"/>
  <c r="P21" i="3" s="1"/>
  <c r="O57" i="3"/>
  <c r="P57" i="3" s="1"/>
  <c r="O8" i="3"/>
  <c r="P8" i="3" s="1"/>
  <c r="O36" i="3"/>
  <c r="P36" i="3" s="1"/>
  <c r="O51" i="3"/>
  <c r="P51" i="3" s="1"/>
  <c r="O52" i="3"/>
  <c r="P52" i="3" s="1"/>
  <c r="O28" i="3"/>
  <c r="P28" i="3" s="1"/>
  <c r="O58" i="3"/>
  <c r="P58" i="3" s="1"/>
  <c r="V36" i="3"/>
  <c r="Y22" i="3" l="1"/>
  <c r="Y26" i="3" s="1"/>
  <c r="X13" i="3"/>
  <c r="X14" i="3"/>
  <c r="AC22" i="3" l="1"/>
  <c r="Z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<sst xmlns="http://schemas.openxmlformats.org/spreadsheetml/2006/main" count="2366" uniqueCount="517">
  <si>
    <t>site</t>
  </si>
  <si>
    <t>site.plot</t>
  </si>
  <si>
    <t>nrsp/tss</t>
  </si>
  <si>
    <t>tss</t>
  </si>
  <si>
    <t>iss</t>
  </si>
  <si>
    <t>oss</t>
  </si>
  <si>
    <t>srp</t>
  </si>
  <si>
    <t>tp</t>
  </si>
  <si>
    <t>nsrp</t>
  </si>
  <si>
    <t>frac_srp</t>
  </si>
  <si>
    <t>rop</t>
  </si>
  <si>
    <t>lop</t>
  </si>
  <si>
    <t>pip</t>
  </si>
  <si>
    <t>nsrp_pred</t>
  </si>
  <si>
    <t>sqresid</t>
  </si>
  <si>
    <t>LC</t>
  </si>
  <si>
    <t>LC.IN E</t>
  </si>
  <si>
    <t>k_OSS2ROP</t>
  </si>
  <si>
    <t>rsq</t>
  </si>
  <si>
    <t>k_SRP2LOP</t>
  </si>
  <si>
    <t>k_ISS2PIP</t>
  </si>
  <si>
    <t>LC.IN N</t>
  </si>
  <si>
    <t>OCD.BR</t>
  </si>
  <si>
    <t>OCD.DP</t>
  </si>
  <si>
    <t>OCSP.DS</t>
  </si>
  <si>
    <t>OCSP.BR</t>
  </si>
  <si>
    <t>OCD</t>
  </si>
  <si>
    <t>OCD.DS</t>
  </si>
  <si>
    <t>OCSP</t>
  </si>
  <si>
    <t>rop = k_OSS2ROP*OSS</t>
  </si>
  <si>
    <t>lop = k_SRP2LOP*SRP</t>
  </si>
  <si>
    <t>pip = k_ISS2PIP*ISS</t>
  </si>
  <si>
    <t xml:space="preserve"> </t>
  </si>
  <si>
    <t>frac_iss</t>
  </si>
  <si>
    <t>LC.0</t>
  </si>
  <si>
    <t>OCD.0</t>
  </si>
  <si>
    <t>OCSP.0</t>
  </si>
  <si>
    <t>LC.1</t>
  </si>
  <si>
    <t>OCD.1</t>
  </si>
  <si>
    <t>OCSP.1</t>
  </si>
  <si>
    <t>LC.2</t>
  </si>
  <si>
    <t>OCD.2</t>
  </si>
  <si>
    <t>OCSP.2</t>
  </si>
  <si>
    <t>LC.3</t>
  </si>
  <si>
    <t>OCD.3</t>
  </si>
  <si>
    <t>OCSP.3</t>
  </si>
  <si>
    <t>LC.4</t>
  </si>
  <si>
    <t>OCD.4</t>
  </si>
  <si>
    <t>OCSP.4</t>
  </si>
  <si>
    <t>k_TP</t>
  </si>
  <si>
    <t>k_TSS</t>
  </si>
  <si>
    <t>plot</t>
  </si>
  <si>
    <t>g P/g dw</t>
  </si>
  <si>
    <t>g LOP/ g SRP</t>
  </si>
  <si>
    <t>k_f_ISS</t>
  </si>
  <si>
    <t>k_f_SRP</t>
  </si>
  <si>
    <t>n</t>
  </si>
  <si>
    <t>k_TSS2</t>
  </si>
  <si>
    <t>k_TP3</t>
  </si>
  <si>
    <t>k_f_ISS2</t>
  </si>
  <si>
    <t>k_f_SRP3</t>
  </si>
  <si>
    <t xml:space="preserve"> g ROP/ gOSS</t>
  </si>
  <si>
    <t>agl_tp_gm2_mean</t>
  </si>
  <si>
    <t>BGB.0t10cm.gm2-090219_mean</t>
  </si>
  <si>
    <t>BGB.0t10cm.gm2-090219_sd</t>
  </si>
  <si>
    <t>AGB.gm2-090219_mean</t>
  </si>
  <si>
    <t>rootM_sd</t>
  </si>
  <si>
    <t>bgb_tp_gm2_mean</t>
  </si>
  <si>
    <t>bgb_tp_gm2_sd</t>
  </si>
  <si>
    <t>agb_tp_gm2_mean</t>
  </si>
  <si>
    <t>agb_tp_gm2_sd</t>
  </si>
  <si>
    <t>roots g P / g dw</t>
  </si>
  <si>
    <t>shoots g P / g dw</t>
  </si>
  <si>
    <t>AGB.gm2-090219_sd</t>
  </si>
  <si>
    <t>shootM_sd</t>
  </si>
  <si>
    <t>k_LOI</t>
  </si>
  <si>
    <t>k_PSR</t>
  </si>
  <si>
    <t>k_f_fines</t>
  </si>
  <si>
    <t>sand</t>
  </si>
  <si>
    <t>silt</t>
  </si>
  <si>
    <t>clay</t>
  </si>
  <si>
    <t>%</t>
  </si>
  <si>
    <t>k_Ex_max</t>
  </si>
  <si>
    <t>r2</t>
  </si>
  <si>
    <t>mean_nsrp</t>
  </si>
  <si>
    <t>sse/n</t>
  </si>
  <si>
    <t>sse</t>
  </si>
  <si>
    <t>sst</t>
  </si>
  <si>
    <t>mean_resid</t>
  </si>
  <si>
    <t>k_f_OSS</t>
  </si>
  <si>
    <t>median TP inflow concentration  mg P/L</t>
  </si>
  <si>
    <t>median inflow TSS concentration mg/L</t>
  </si>
  <si>
    <t>fraction of OSS in TSS mg P/L</t>
  </si>
  <si>
    <t>fraction of SRP in TP SRP/TP</t>
  </si>
  <si>
    <t>k_rootM</t>
  </si>
  <si>
    <t>k_shootM</t>
  </si>
  <si>
    <t>NA</t>
  </si>
  <si>
    <t>NaN</t>
  </si>
  <si>
    <t>z</t>
  </si>
  <si>
    <t>.OC</t>
  </si>
  <si>
    <t>.OM</t>
  </si>
  <si>
    <t>.IM</t>
  </si>
  <si>
    <t>.TM</t>
  </si>
  <si>
    <t>.POXC</t>
  </si>
  <si>
    <t>.OP.HCl</t>
  </si>
  <si>
    <t>.IP.HCl</t>
  </si>
  <si>
    <t>.TP.HCl</t>
  </si>
  <si>
    <t>.Fe</t>
  </si>
  <si>
    <t>.Al</t>
  </si>
  <si>
    <t>.Mg</t>
  </si>
  <si>
    <t>.Ca</t>
  </si>
  <si>
    <t>.P</t>
  </si>
  <si>
    <t>.IP.fr</t>
  </si>
  <si>
    <t>.OP.fr</t>
  </si>
  <si>
    <t>.TP.fr</t>
  </si>
  <si>
    <t>.frac4</t>
  </si>
  <si>
    <t>.frac3</t>
  </si>
  <si>
    <t>.frac2b</t>
  </si>
  <si>
    <t>.frac2a</t>
  </si>
  <si>
    <t>.frac1</t>
  </si>
  <si>
    <t>.Ox.SPSC</t>
  </si>
  <si>
    <t>.Ox.PSR</t>
  </si>
  <si>
    <t>Ex_max</t>
  </si>
  <si>
    <t>.Ox.P</t>
  </si>
  <si>
    <t>.Ox.Mn</t>
  </si>
  <si>
    <t>.Ox.Al</t>
  </si>
  <si>
    <t>.Ox.Fe</t>
  </si>
  <si>
    <t>.WEPw</t>
  </si>
  <si>
    <t>ind</t>
  </si>
  <si>
    <t>Hw_P99</t>
  </si>
  <si>
    <t>Org. P Deposition (g/m2)</t>
  </si>
  <si>
    <t>Inorg. P Deposition (g/m2)</t>
  </si>
  <si>
    <t>Total P Deposition (g/m2)</t>
  </si>
  <si>
    <t>Org. Sed. Deposition (g/m2)</t>
  </si>
  <si>
    <t>Inorg. Deposition (g/m2)</t>
  </si>
  <si>
    <t>Total Deposition (g/m2)</t>
  </si>
  <si>
    <t>agl_tp_gm2_sd</t>
  </si>
  <si>
    <t>Litter_P_mgkg_inorganic_sd</t>
  </si>
  <si>
    <t>Litter_P_mgkg_total_sd</t>
  </si>
  <si>
    <t>agb_tp_mgkg_sd</t>
  </si>
  <si>
    <t>bgb_tp_mgkg_sd</t>
  </si>
  <si>
    <t>bgb_loi_sd</t>
  </si>
  <si>
    <t>AGL.gm2_101520_sd</t>
  </si>
  <si>
    <t>AGL.gm2-101419_sd</t>
  </si>
  <si>
    <t>rep_sd</t>
  </si>
  <si>
    <t>Litter_P_mgkg_inorganic_mean</t>
  </si>
  <si>
    <t>Litter_P_mgkg_total_mean</t>
  </si>
  <si>
    <t>agb_tp_mgkg_mean</t>
  </si>
  <si>
    <t>bgb_tp_mgkg_mean</t>
  </si>
  <si>
    <t>bgb_loi_mean</t>
  </si>
  <si>
    <t>AGL.gm2_101520_mean</t>
  </si>
  <si>
    <t>AGL.gm2-101419_mean</t>
  </si>
  <si>
    <t>rep_mean</t>
  </si>
  <si>
    <t>Ex_max g/kg</t>
  </si>
  <si>
    <t>k_clay</t>
  </si>
  <si>
    <t>k_BM2P</t>
  </si>
  <si>
    <t>g/g</t>
  </si>
  <si>
    <t>g/g silt + clay</t>
  </si>
  <si>
    <t>oxalate PSR molar ratio</t>
  </si>
  <si>
    <t>LOI</t>
  </si>
  <si>
    <t>obs_TM_a</t>
  </si>
  <si>
    <t>obs_IM_a</t>
  </si>
  <si>
    <t>obs_OM_a</t>
  </si>
  <si>
    <t>obs_TP_a</t>
  </si>
  <si>
    <t>obs_IP_a</t>
  </si>
  <si>
    <t>obs_OP_a</t>
  </si>
  <si>
    <t>litter_g/m2</t>
  </si>
  <si>
    <t>litter_P_g/m2</t>
  </si>
  <si>
    <t>notes</t>
  </si>
  <si>
    <t>k_BM2P_shoot</t>
  </si>
  <si>
    <t>k_BM2P_root</t>
  </si>
  <si>
    <t>AIC</t>
  </si>
  <si>
    <t>SSE</t>
  </si>
  <si>
    <t>k</t>
  </si>
  <si>
    <t>aic</t>
  </si>
  <si>
    <t>aicc</t>
  </si>
  <si>
    <t>df</t>
  </si>
  <si>
    <t>ssm</t>
  </si>
  <si>
    <r>
      <t>1 – [(1-R</t>
    </r>
    <r>
      <rPr>
        <b/>
        <sz val="9"/>
        <color rgb="FF000000"/>
        <rFont val="Inherit"/>
      </rPr>
      <t>2</t>
    </r>
    <r>
      <rPr>
        <b/>
        <sz val="12"/>
        <color rgb="FF000000"/>
        <rFont val="Helvetica"/>
      </rPr>
      <t>)*(n-1)/(n-k-1)]</t>
    </r>
  </si>
  <si>
    <t>adj. r2</t>
  </si>
  <si>
    <t>Mean</t>
  </si>
  <si>
    <t>All sites</t>
  </si>
  <si>
    <t>simyears</t>
  </si>
  <si>
    <t>simdays</t>
  </si>
  <si>
    <t>sample.idn</t>
  </si>
  <si>
    <t>sample.n</t>
  </si>
  <si>
    <t>position</t>
  </si>
  <si>
    <t>deployment id</t>
  </si>
  <si>
    <t>date.collect</t>
  </si>
  <si>
    <t>time.collect</t>
  </si>
  <si>
    <t>datetime</t>
  </si>
  <si>
    <t>method</t>
  </si>
  <si>
    <t>HWRS(inch)</t>
  </si>
  <si>
    <t>HWRS (cm)</t>
  </si>
  <si>
    <t>label.SRP</t>
  </si>
  <si>
    <t>label.TP</t>
  </si>
  <si>
    <t>id.string.b</t>
  </si>
  <si>
    <t>id.string</t>
  </si>
  <si>
    <t>id.string.tp</t>
  </si>
  <si>
    <t>frac_oss</t>
  </si>
  <si>
    <t>lon_x</t>
  </si>
  <si>
    <t>lat_y</t>
  </si>
  <si>
    <t>SIPH</t>
  </si>
  <si>
    <t>SIPH LC 0.5 4/30/21</t>
  </si>
  <si>
    <t>SIPH LC 0.6 4/30/21</t>
  </si>
  <si>
    <t>SIPH LC 0.5 4/18/21</t>
  </si>
  <si>
    <t>SIPH LC 0.6 4/18/21</t>
  </si>
  <si>
    <t>2</t>
  </si>
  <si>
    <t>0</t>
  </si>
  <si>
    <t>SIPH LC.0.5 (SRP:f.45um) 10/9/19 14:30 [2]</t>
  </si>
  <si>
    <t>SIPH LC.0.5 TP:unfilt) 10/9/19 14:30 [2]</t>
  </si>
  <si>
    <t>SIPH LC.0.5 10/9/19</t>
  </si>
  <si>
    <t>SIPH 2.5</t>
  </si>
  <si>
    <t>SIPH LC.0.6 (SRP:f.45um) 10/9/19 14:30 [2]</t>
  </si>
  <si>
    <t>SIPH LC.0.6 TP:unfilt) 10/9/19 14:30 [2]</t>
  </si>
  <si>
    <t>SIPH LC.0.6 10/9/19</t>
  </si>
  <si>
    <t>SIPH 2.6</t>
  </si>
  <si>
    <t>4</t>
  </si>
  <si>
    <t>SIPH LC.0.5 (SRP:f.45um) 10/18/19 09:56 [4]</t>
  </si>
  <si>
    <t>SIPH LC.0.5 TP:unfilt) 10/18/19 09:56 [4]</t>
  </si>
  <si>
    <t>SIPH LC.0.5 10/18/19</t>
  </si>
  <si>
    <t>SIPH 4.5</t>
  </si>
  <si>
    <t>SIPH LC.0.6 (SRP:f.45um) 10/18/19 09:56 [4]</t>
  </si>
  <si>
    <t>SIPH LC.0.6 TP:unfilt) 10/18/19 09:56 [4]</t>
  </si>
  <si>
    <t>SIPH LC.0.6 10/18/19</t>
  </si>
  <si>
    <t>SIPH 4.6</t>
  </si>
  <si>
    <t>SIPH LC.1.5 (SRP:f.45um) 4/30/21 12:00 [5]</t>
  </si>
  <si>
    <t>SIPH LC.1.5 TP:unfilt) 4/30/21 12:00 [5]</t>
  </si>
  <si>
    <t>SIPH LC 1.5 4/30/21</t>
  </si>
  <si>
    <t>SIPH LC.1.6 (SRP:f.45um) 4/30/21 12:00 [6]</t>
  </si>
  <si>
    <t>SIPH LC.1.6 TP:unfilt) 4/30/21 12:00 [6]</t>
  </si>
  <si>
    <t>SIPH LC 1.6 4/30/21</t>
  </si>
  <si>
    <t>S1</t>
  </si>
  <si>
    <t>1</t>
  </si>
  <si>
    <t>SIPH LC.1.5 (SRP:f.45um) 10/8/19 10:00 [1]</t>
  </si>
  <si>
    <t>SIPH LC.1.5 TP:unfilt) 10/8/19 10:00 [1]</t>
  </si>
  <si>
    <t>SIPH LC.1.5 10/8/19</t>
  </si>
  <si>
    <t>SIPH 1.5</t>
  </si>
  <si>
    <t>SIPH LC.1.6 (SRP:f.45um) 10/8/19 10:00 [1]</t>
  </si>
  <si>
    <t>SIPH LC.1.6 TP:unfilt) 10/8/19 10:00 [1]</t>
  </si>
  <si>
    <t>SIPH LC.1.6 10/8/19</t>
  </si>
  <si>
    <t>SIPH 1.6</t>
  </si>
  <si>
    <t>3</t>
  </si>
  <si>
    <t>SIPH LC.1.5 (SRP:f.45um) 10/18/19 09:40 [3]</t>
  </si>
  <si>
    <t>SIPH LC.1.5 TP:unfilt) 10/18/19 09:40 [3]</t>
  </si>
  <si>
    <t>SIPH LC.1.5 10/18/19</t>
  </si>
  <si>
    <t>SIPH 3.5</t>
  </si>
  <si>
    <t>SIPH LC.1.6 (SRP:f.45um) 10/18/19 09:40 [3]</t>
  </si>
  <si>
    <t>SIPH LC.1.6 TP:unfilt) 10/18/19 09:40 [3]</t>
  </si>
  <si>
    <t>SIPH LC.1.6 10/18/19</t>
  </si>
  <si>
    <t>SIPH 3.6</t>
  </si>
  <si>
    <t>10</t>
  </si>
  <si>
    <t>SIPH LC.2.5 (SRP:f.45um) 10/18/19 18:30 [10]</t>
  </si>
  <si>
    <t>SIPH LC.2.5 TP:unfilt) 10/18/19 18:30 [10]</t>
  </si>
  <si>
    <t>SIPH LC.2.5 10/18/19</t>
  </si>
  <si>
    <t>SIPH 10.5</t>
  </si>
  <si>
    <t>SIPH LC.2.6 (SRP:f.45um) 10/18/19 18:30 [10]</t>
  </si>
  <si>
    <t>SIPH LC.2.6 TP:unfilt) 10/18/19 18:30 [10]</t>
  </si>
  <si>
    <t>SIPH LC.2.6 10/18/19</t>
  </si>
  <si>
    <t>SIPH 10.6</t>
  </si>
  <si>
    <t>5</t>
  </si>
  <si>
    <t>SIPH LC.3.5 (SRP:f.45um) 10/18/19 10:05 [5]</t>
  </si>
  <si>
    <t>SIPH LC.3.5 TP:unfilt) 10/18/19 10:05 [5]</t>
  </si>
  <si>
    <t>SIPH LC.3.5 10/18/19</t>
  </si>
  <si>
    <t>SIPH 5.5</t>
  </si>
  <si>
    <t>SIPH LC.3.6 (SRP:f.45um) 10/18/19 10:05 [5]</t>
  </si>
  <si>
    <t>SIPH LC.3.6 TP:unfilt) 10/18/19 10:05 [5]</t>
  </si>
  <si>
    <t>SIPH LC.3.6 10/18/19</t>
  </si>
  <si>
    <t>SIPH 5.6</t>
  </si>
  <si>
    <t xml:space="preserve">                        </t>
  </si>
  <si>
    <t>12/24/20</t>
  </si>
  <si>
    <t>SIPH OCD.0.5 (SRP:f.45um) 12/26/20 13:00 [                        ]</t>
  </si>
  <si>
    <t>SIPH OCD.0.5 TP:unfilt) 12/26/20 13:00 [                        ]</t>
  </si>
  <si>
    <t>SIPH 12/24/20 OCD 0.5</t>
  </si>
  <si>
    <t>SIPH OCD 0.5 12/26/20</t>
  </si>
  <si>
    <t>SIPH 12/24/20 OCD 0.6</t>
  </si>
  <si>
    <t>SIPH OCD 0.6 12/26/20</t>
  </si>
  <si>
    <t>SIPH OCD 0.5 3/27/21</t>
  </si>
  <si>
    <t>SIPH OCD 0.6 3/27/21</t>
  </si>
  <si>
    <t>9</t>
  </si>
  <si>
    <t>SIPH OCD.0.5 (SRP:f.45um) 10/18/19 15:30 [9]</t>
  </si>
  <si>
    <t>SIPH OCD.0.5 TP:unfilt) 10/18/19 15:30 [9]</t>
  </si>
  <si>
    <t>SIPH OCD.0.5 10/18/19</t>
  </si>
  <si>
    <t>SIPH 9.5</t>
  </si>
  <si>
    <t>SIPH OCD.0.6 (SRP:f.45um) 10/18/19 15:30 [9]</t>
  </si>
  <si>
    <t>SIPH OCD.0.6 TP:unfilt) 10/18/19 15:30 [9]</t>
  </si>
  <si>
    <t>SIPH OCD.0.6 10/18/19</t>
  </si>
  <si>
    <t>SIPH 9.6</t>
  </si>
  <si>
    <t>SIPH OCD.1.5 (SRP:f.45um) 3/27/21 15:00 [10]</t>
  </si>
  <si>
    <t>SIPH OCD.1.5 TP:unfilt) 3/27/21 15:00 [10]</t>
  </si>
  <si>
    <t>SIPH OCD 1.5 3/27/21</t>
  </si>
  <si>
    <t>SIPH OCD.1.6 (SRP:f.45um) 3/27/21 15:00 [11]</t>
  </si>
  <si>
    <t>SIPH OCD.1.6 TP:unfilt) 3/27/21 15:00 [11]</t>
  </si>
  <si>
    <t>SIPH OCD 1.6 3/27/21</t>
  </si>
  <si>
    <t>11</t>
  </si>
  <si>
    <t>SIPH OCD.1.5 (SRP:f.45um) 10/19/19 16:38 [11]</t>
  </si>
  <si>
    <t>SIPH OCD.1.5 TP:unfilt) 10/19/19 16:38 [11]</t>
  </si>
  <si>
    <t>SIPH OCD.1.5 10/19/19</t>
  </si>
  <si>
    <t>SIPH 11.5</t>
  </si>
  <si>
    <t>SIPH OCD.1.6 (SRP:f.45um) 10/19/19 16:38 [11]</t>
  </si>
  <si>
    <t>SIPH OCD.1.6 TP:unfilt) 10/19/19 16:38 [11]</t>
  </si>
  <si>
    <t>SIPH OCD.1.6 10/19/19</t>
  </si>
  <si>
    <t>SIPH 11.6</t>
  </si>
  <si>
    <t>guess</t>
  </si>
  <si>
    <t>SIPH OCD.2.5 (SRP:f.45um) 12/27/20 13:00 [12]</t>
  </si>
  <si>
    <t>SIPH OCD.2.5 TP:unfilt) 12/27/20 13:00 [12]</t>
  </si>
  <si>
    <t>SIPH 12/24/20 OCD 2.5</t>
  </si>
  <si>
    <t>SIPH OCD 2.5 12/27/20</t>
  </si>
  <si>
    <t>SIPH OCD.2.6 (SRP:f.45um) 12/27/20 13:00 [13]</t>
  </si>
  <si>
    <t>SIPH OCD.2.6 TP:unfilt) 12/27/20 13:00 [13]</t>
  </si>
  <si>
    <t>SIPH 12/24/20 OCD 2.6</t>
  </si>
  <si>
    <t>SIPH OCD 2.6 12/27/20</t>
  </si>
  <si>
    <t>SIPH OCD.2.5 (SRP:f.45um) 3/27/21 15:30 [14]</t>
  </si>
  <si>
    <t>SIPH OCD.2.5 TP:unfilt) 3/27/21 15:30 [14]</t>
  </si>
  <si>
    <t>SIPH OCD 2.5 3/27/21</t>
  </si>
  <si>
    <t>SIPH OCD.2.6 (SRP:f.45um) 3/27/21 15:30 [15]</t>
  </si>
  <si>
    <t>SIPH OCD.2.6 TP:unfilt) 3/27/21 15:30 [15]</t>
  </si>
  <si>
    <t>SIPH OCD 2.6 3/27/21</t>
  </si>
  <si>
    <t>13</t>
  </si>
  <si>
    <t>SIPH OCD.2.5 (SRP:f.45um) 10/19/19 18:00 [13]</t>
  </si>
  <si>
    <t>SIPH OCD.2.5 TP:unfilt) 10/19/19 18:00 [13]</t>
  </si>
  <si>
    <t>SIPH OCD.2.5 10/19/19</t>
  </si>
  <si>
    <t>SIPH 13.5</t>
  </si>
  <si>
    <t>SIPH OCD.2.6 (SRP:f.45um) 10/19/19 18:00 [13]</t>
  </si>
  <si>
    <t>SIPH OCD.2.6 TP:unfilt) 10/19/19 18:00 [13]</t>
  </si>
  <si>
    <t>SIPH OCD.2.6 10/19/19</t>
  </si>
  <si>
    <t>SIPH 13.6</t>
  </si>
  <si>
    <t>SIPH OCD.3.5 (SRP:f.45um) 12/28/20 13:45 [14]</t>
  </si>
  <si>
    <t>SIPH OCD.3.5 TP:unfilt) 12/28/20 13:45 [14]</t>
  </si>
  <si>
    <t>SIPH 12/24/20 OCD 3.5</t>
  </si>
  <si>
    <t>SIPH OCD 3.5 12/28/20</t>
  </si>
  <si>
    <t>SIPH OCD.3.6 (SRP:f.45um) 12/28/20 13:45 [15]</t>
  </si>
  <si>
    <t>SIPH OCD.3.6 TP:unfilt) 12/28/20 13:45 [15]</t>
  </si>
  <si>
    <t>SIPH 12/24/20 OCD 3.6</t>
  </si>
  <si>
    <t>SIPH OCD 3.6 12/28/20</t>
  </si>
  <si>
    <t>SIPH OCD.3.5 (SRP:f.45um) 3/28/21 14:00 [16]</t>
  </si>
  <si>
    <t>SIPH OCD.3.5 TP:unfilt) 3/28/21 14:00 [16]</t>
  </si>
  <si>
    <t>SIPH OCD 3.5 3/28/21</t>
  </si>
  <si>
    <t>SIPH OCD.3.6 (SRP:f.45um) 3/28/21 14:00 [17]</t>
  </si>
  <si>
    <t>SIPH OCD.3.6 TP:unfilt) 3/28/21 14:00 [17]</t>
  </si>
  <si>
    <t>SIPH OCD 3.6 3/28/21</t>
  </si>
  <si>
    <t>SIPH OCD.4.5 (SRP:f.45um) 12/27/20 13:15 [18]</t>
  </si>
  <si>
    <t>SIPH OCD.4.5 TP:unfilt) 12/27/20 13:15 [18]</t>
  </si>
  <si>
    <t>SIPH 12/24/20 OCD 4.5</t>
  </si>
  <si>
    <t>SIPH OCD 4.5 12/27/20</t>
  </si>
  <si>
    <t>SIPH OCD.4.6 (SRP:f.45um) 12/27/20 13:15 [19]</t>
  </si>
  <si>
    <t>SIPH OCD.4.6 TP:unfilt) 12/27/20 13:15 [19]</t>
  </si>
  <si>
    <t>SIPH 12/24/20 OCD 4.6</t>
  </si>
  <si>
    <t>SIPH OCD 4.6 12/27/20</t>
  </si>
  <si>
    <t>SIPH OCD.4.5 (SRP:f.45um) 3/27/21 14:00 [20]</t>
  </si>
  <si>
    <t>SIPH OCD.4.5 TP:unfilt) 3/27/21 14:00 [20]</t>
  </si>
  <si>
    <t>SIPH OCD 4.5 3/27/21</t>
  </si>
  <si>
    <t>SIPH OCD.4.6 (SRP:f.45um) 3/27/21 14:00 [21]</t>
  </si>
  <si>
    <t>SIPH OCD.4.6 TP:unfilt) 3/27/21 14:00 [21]</t>
  </si>
  <si>
    <t>SIPH OCD 4.6 3/27/21</t>
  </si>
  <si>
    <t>12</t>
  </si>
  <si>
    <t>SIPH OCD.4.5 (SRP:f.45um) 10/19/19 17:45 [12]</t>
  </si>
  <si>
    <t>SIPH OCD.4.5 TP:unfilt) 10/19/19 17:45 [12]</t>
  </si>
  <si>
    <t>SIPH OCD.4.5 10/19/19</t>
  </si>
  <si>
    <t>SIPH 12.5</t>
  </si>
  <si>
    <t>SIPH OCD.4.6 (SRP:f.45um) 10/19/19 17:45 [12]</t>
  </si>
  <si>
    <t>SIPH OCD.4.6 TP:unfilt) 10/19/19 17:45 [12]</t>
  </si>
  <si>
    <t>SIPH OCD.4.6 10/19/19</t>
  </si>
  <si>
    <t>SIPH 12.6</t>
  </si>
  <si>
    <t>DP</t>
  </si>
  <si>
    <t>SIPH OCD.DP.1 (SRP:f.45um) 12/27/20 14:00 [13]</t>
  </si>
  <si>
    <t>SIPH OCD.DP.1 TP:unfilt) 12/27/20 14:00 [13]</t>
  </si>
  <si>
    <t>SIPH 12/24/20 OCD DP.1</t>
  </si>
  <si>
    <t>SIPH OCD DP.1 12/27/20</t>
  </si>
  <si>
    <t>SIPH OCD.DP.3 (SRP:f.45um) 12/27/20 14:00 [14]</t>
  </si>
  <si>
    <t>SIPH OCD.DP.3 TP:unfilt) 12/27/20 14:00 [14]</t>
  </si>
  <si>
    <t>SIPH 12/24/20 OCD DP.3</t>
  </si>
  <si>
    <t>SIPH OCD DP.3 12/27/20</t>
  </si>
  <si>
    <t>SIPH OCD.DP.4 (SRP:f.45um) 12/27/20 14:00 [15]</t>
  </si>
  <si>
    <t>SIPH OCD.DP.4 TP:unfilt) 12/27/20 14:00 [15]</t>
  </si>
  <si>
    <t>SIPH 12/24/20 OCD DP.4</t>
  </si>
  <si>
    <t>SIPH OCD DP.4 12/27/20</t>
  </si>
  <si>
    <t>SIPH OCD.DP.5 (SRP:f.45um) 12/27/20 14:00 [16]</t>
  </si>
  <si>
    <t>SIPH OCD.DP.5 TP:unfilt) 12/27/20 14:00 [16]</t>
  </si>
  <si>
    <t>SIPH 12/24/20 OCD DP.5</t>
  </si>
  <si>
    <t>SIPH OCD DP.5 12/27/20</t>
  </si>
  <si>
    <t>SIPH OCD.DP.6 (SRP:f.45um) 12/27/20 14:00 [17]</t>
  </si>
  <si>
    <t>SIPH OCD.DP.6 TP:unfilt) 12/27/20 14:00 [17]</t>
  </si>
  <si>
    <t>SIPH 12/24/20 OCD DP.6</t>
  </si>
  <si>
    <t>SIPH OCD DP.6 12/27/20</t>
  </si>
  <si>
    <t>SIPH OCD.DP.8 (SRP:f.45um) 3/27/21 14:30 [18]</t>
  </si>
  <si>
    <t>SIPH OCD.DP.8 TP:unfilt) 3/27/21 14:30 [18]</t>
  </si>
  <si>
    <t>SIPH OCD DP.8 3/27/21</t>
  </si>
  <si>
    <t>SIPH OCD.DP.9 (SRP:f.45um) 3/27/21 14:30 [19]</t>
  </si>
  <si>
    <t>SIPH OCD.DP.9 TP:unfilt) 3/27/21 14:30 [19]</t>
  </si>
  <si>
    <t>SIPH OCD DP.9 3/27/21</t>
  </si>
  <si>
    <t>SIPH OCD.DP.5 (SRP:f.45um) 3/28/21 14:00 [20]</t>
  </si>
  <si>
    <t>SIPH OCD.DP.5 TP:unfilt) 3/28/21 14:00 [20]</t>
  </si>
  <si>
    <t>SIPH OCD DP.5 3/28/21</t>
  </si>
  <si>
    <t>SIPH OCD.DP.6 (SRP:f.45um) 3/28/21 14:00 [21]</t>
  </si>
  <si>
    <t>SIPH OCD.DP.6 TP:unfilt) 3/28/21 14:00 [21]</t>
  </si>
  <si>
    <t>SIPH OCD DP.6 3/28/21</t>
  </si>
  <si>
    <t>DS</t>
  </si>
  <si>
    <t>SIPH OCD.DS.1 (SRP:f.45um) 12/27/20 13:30 [22]</t>
  </si>
  <si>
    <t>SIPH OCD.DS.1 TP:unfilt) 12/27/20 13:30 [22]</t>
  </si>
  <si>
    <t>SIPH 12/24/20 OCD DS.1</t>
  </si>
  <si>
    <t>SIPH OCD DS.1 12/27/20</t>
  </si>
  <si>
    <t>SIPH OCD.DS.3 (SRP:f.45um) 12/27/20 13:30 [23]</t>
  </si>
  <si>
    <t>SIPH OCD.DS.3 TP:unfilt) 12/27/20 13:30 [23]</t>
  </si>
  <si>
    <t>SIPH 12/24/20 OCD DS.3</t>
  </si>
  <si>
    <t>SIPH OCD DS.3 12/27/20</t>
  </si>
  <si>
    <t>SIPH OCD.DS.5 (SRP:f.45um) 12/27/20 14:00 [24]</t>
  </si>
  <si>
    <t>SIPH OCD.DS.5 TP:unfilt) 12/27/20 14:00 [24]</t>
  </si>
  <si>
    <t>SIPH 12/24/20 OCD DS.5</t>
  </si>
  <si>
    <t>SIPH OCD DS.5 12/27/20</t>
  </si>
  <si>
    <t>SIPH OCD.DS.5 (SRP:f.45um) 3/27/21 15:00 [25]</t>
  </si>
  <si>
    <t>SIPH OCD.DS.5 TP:unfilt) 3/27/21 15:00 [25]</t>
  </si>
  <si>
    <t>SIPH OCD DS.5 3/27/21</t>
  </si>
  <si>
    <t>???? Look in notes</t>
  </si>
  <si>
    <t>SIPH OCSP.0.5 (SRP:f.45um) 12/26/20 11:45 [26]</t>
  </si>
  <si>
    <t>SIPH OCSP.0.5 TP:unfilt) 12/26/20 11:45 [26]</t>
  </si>
  <si>
    <t>SIPH 12/24/20 OCSP 0.5</t>
  </si>
  <si>
    <t>SIPH OCSP 0.5 12/26/20</t>
  </si>
  <si>
    <t>SIPH OCSP.0.6 (SRP:f.45um) 12/26/20 11:45 [27]</t>
  </si>
  <si>
    <t>SIPH OCSP.0.6 TP:unfilt) 12/26/20 11:45 [27]</t>
  </si>
  <si>
    <t>SIPH 12/24/20 OCSP 0.6</t>
  </si>
  <si>
    <t>SIPH OCSP 0.6 12/26/20</t>
  </si>
  <si>
    <t>SIPH OCSP.0.5 (SRP:f.45um) 3/26/21 13:30 [28]</t>
  </si>
  <si>
    <t>SIPH OCSP.0.5 TP:unfilt) 3/26/21 13:30 [28]</t>
  </si>
  <si>
    <t>SIPH OCSP 0.5 3/26/21</t>
  </si>
  <si>
    <t>SIPH OCSP.0.6 (SRP:f.45um) 3/26/21 13:30 [29]</t>
  </si>
  <si>
    <t>SIPH OCSP.0.6 TP:unfilt) 3/26/21 13:30 [29]</t>
  </si>
  <si>
    <t>SIPH OCSP 0.6 3/26/21</t>
  </si>
  <si>
    <t>8</t>
  </si>
  <si>
    <t>SIPH OCSP.0.5 (SRP:f.45um) 10/18/19 14:10 [8]</t>
  </si>
  <si>
    <t>SIPH OCSP.0.5 TP:unfilt) 10/18/19 14:10 [8]</t>
  </si>
  <si>
    <t>SIPH OCSP.0.5 10/18/19</t>
  </si>
  <si>
    <t>SIPH 8.5</t>
  </si>
  <si>
    <t>SIPH OCSP.0.6 (SRP:f.45um) 10/18/19 14:10 [8]</t>
  </si>
  <si>
    <t>SIPH OCSP.0.6 TP:unfilt) 10/18/19 14:10 [8]</t>
  </si>
  <si>
    <t>SIPH OCSP.0.6 10/18/19</t>
  </si>
  <si>
    <t>SIPH 8.6</t>
  </si>
  <si>
    <t>SIPH OCSP.1.5 (SRP:f.45um) 12/26/20 11:45 []</t>
  </si>
  <si>
    <t>SIPH OCSP.1.5 TP:unfilt) 12/26/20 11:45 []</t>
  </si>
  <si>
    <t>SIPH 12/24/20 OCSP 1.5</t>
  </si>
  <si>
    <t>SIPH OCSP 1.5 12/26/20</t>
  </si>
  <si>
    <t>SIPH OCSP.1.6 (SRP:f.45um) 12/26/20 11:45 []</t>
  </si>
  <si>
    <t>SIPH OCSP.1.6 TP:unfilt) 12/26/20 11:45 []</t>
  </si>
  <si>
    <t>SIPH 12/24/20 OCSP 1.6</t>
  </si>
  <si>
    <t>SIPH OCSP 1.6 12/26/20</t>
  </si>
  <si>
    <t>SIPH OCSP.1.5 (SRP:f.45um) 3/26/21 14:00 [1]</t>
  </si>
  <si>
    <t>SIPH OCSP.1.5 TP:unfilt) 3/26/21 14:00 [1]</t>
  </si>
  <si>
    <t>SIPH OCSP 1.5 3/26/21</t>
  </si>
  <si>
    <t>SIPH OCSP.1.6 (SRP:f.45um) 3/26/21 14:00 [2]</t>
  </si>
  <si>
    <t>SIPH OCSP.1.6 TP:unfilt) 3/26/21 14:00 [2]</t>
  </si>
  <si>
    <t>SIPH OCSP 1.6 3/26/21</t>
  </si>
  <si>
    <t>7</t>
  </si>
  <si>
    <t>SIPH OCSP.1.5 (SRP:f.45um) 10/18/19 13:58 [7]</t>
  </si>
  <si>
    <t>SIPH OCSP.1.5 TP:unfilt) 10/18/19 13:58 [7]</t>
  </si>
  <si>
    <t>SIPH OCSP.1.5 10/18/19</t>
  </si>
  <si>
    <t>SIPH 7.5</t>
  </si>
  <si>
    <t>SIPH OCSP.1.6 (SRP:f.45um) 10/18/19 13:58 [7]</t>
  </si>
  <si>
    <t>SIPH OCSP.1.6 TP:unfilt) 10/18/19 13:58 [7]</t>
  </si>
  <si>
    <t>SIPH OCSP.1.6 10/18/19</t>
  </si>
  <si>
    <t>SIPH 7.6</t>
  </si>
  <si>
    <t>6</t>
  </si>
  <si>
    <t>SIPH OCSP.2.5 (SRP:f.45um) 10/18/19 13:30 [6]</t>
  </si>
  <si>
    <t>SIPH OCSP.2.5 TP:unfilt) 10/18/19 13:30 [6]</t>
  </si>
  <si>
    <t>SIPH OCSP.2.5 10/18/19</t>
  </si>
  <si>
    <t>SIPH 6.5</t>
  </si>
  <si>
    <t>SIPH OCSP.2.6 (SRP:f.45um) 10/18/19 13:30 [6]</t>
  </si>
  <si>
    <t>SIPH OCSP.2.6 TP:unfilt) 10/18/19 13:30 [6]</t>
  </si>
  <si>
    <t>SIPH OCSP.2.6 10/18/19</t>
  </si>
  <si>
    <t>SIPH 6.6</t>
  </si>
  <si>
    <t>SIPH OCSP.2.5 (SRP:f.45um) 12/26/20 11:30 []</t>
  </si>
  <si>
    <t>SIPH OCSP.2.5 TP:unfilt) 12/26/20 11:30 []</t>
  </si>
  <si>
    <t>SIPH 12/24/20 OCSP 2.5</t>
  </si>
  <si>
    <t>SIPH OCSP 2.5 12/26/20</t>
  </si>
  <si>
    <t>SIPH OCSP.2.6 (SRP:f.45um) 12/26/20 11:30 []</t>
  </si>
  <si>
    <t>SIPH OCSP.2.6 TP:unfilt) 12/26/20 11:30 []</t>
  </si>
  <si>
    <t>SIPH 12/24/20 OCSP 2.6</t>
  </si>
  <si>
    <t>SIPH OCSP 2.6 12/26/20</t>
  </si>
  <si>
    <t>SIPH OCSP.3.5 (SRP:f.45um) 4/4/21 14:00 [1]</t>
  </si>
  <si>
    <t>SIPH OCSP.3.5 TP:unfilt) 4/4/21 14:00 [1]</t>
  </si>
  <si>
    <t>SIPH OCSP 3.5 4/4/21</t>
  </si>
  <si>
    <t>SIPH OCSP.3.6 (SRP:f.45um) 4/4/21 14:00 [2]</t>
  </si>
  <si>
    <t>SIPH OCSP.3.6 TP:unfilt) 4/4/21 14:00 [2]</t>
  </si>
  <si>
    <t>SIPH OCSP 3.6 4/4/21</t>
  </si>
  <si>
    <t>k_SRP2PIP</t>
  </si>
  <si>
    <t>wieghted average of root and shoot biomass</t>
  </si>
  <si>
    <t>k_BM2P_rootshoot</t>
  </si>
  <si>
    <t>average of litter and roots</t>
  </si>
  <si>
    <t>weighted average of roots and shoots</t>
  </si>
  <si>
    <t>g PIP/ g SRP</t>
  </si>
  <si>
    <t>k_BM2P_litter</t>
  </si>
  <si>
    <t>Hydraulic residence time</t>
  </si>
  <si>
    <t>k_HRT</t>
  </si>
  <si>
    <t>k_HRT_a</t>
  </si>
  <si>
    <t>k_HRT_b</t>
  </si>
  <si>
    <t>Z_a</t>
  </si>
  <si>
    <t>a</t>
  </si>
  <si>
    <t>b</t>
  </si>
  <si>
    <t>beta parameter of HRT power model with depth</t>
  </si>
  <si>
    <t>alpha parameter of HRT power model with depth</t>
  </si>
  <si>
    <t>Z_a_actual</t>
  </si>
  <si>
    <t>elevation  (m)</t>
  </si>
  <si>
    <t>actual elevation</t>
  </si>
  <si>
    <t>k_bioturb</t>
  </si>
  <si>
    <t>k_DIP_E</t>
  </si>
  <si>
    <t>k_DIP_E_O2</t>
  </si>
  <si>
    <t>k_DIP_E_N2</t>
  </si>
  <si>
    <t>H_w_r0</t>
  </si>
  <si>
    <t>Swamp Rd</t>
  </si>
  <si>
    <t>Union St</t>
  </si>
  <si>
    <t>Prindle Rd</t>
  </si>
  <si>
    <t>IO_sed_IM</t>
  </si>
  <si>
    <t>IO_sed_OM</t>
  </si>
  <si>
    <t>IO_use_k_DIP_E</t>
  </si>
  <si>
    <t>IO_Q_net</t>
  </si>
  <si>
    <t>IO_HRT_power_model</t>
  </si>
  <si>
    <t>obs_IM_adj_ashcontent</t>
  </si>
  <si>
    <t>obs_IM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</si>
</sst>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hh:mm"/>
    <numFmt numFmtId="166" formatCode="#,##0.0"/>
    <numFmt numFmtId="167" formatCode="m/d/yyyy\ h:mm:ss"/>
  </numFmts>
  <fonts count="12">
    <font>
      <sz val="11"/>
      <color theme="1"/>
      <name val="Arial Nova"/>
      <family val="2"/>
    </font>
    <font>
      <b/>
      <sz val="11"/>
      <color theme="0"/>
      <name val="Arial Nova"/>
      <family val="2"/>
    </font>
    <font>
      <sz val="8"/>
      <name val="Arial Nova"/>
      <family val="2"/>
    </font>
    <font>
      <sz val="9"/>
      <color rgb="FF232629"/>
      <name val="MathJax_Math-italic"/>
    </font>
    <font>
      <b/>
      <sz val="12"/>
      <color rgb="FF000000"/>
      <name val="Helvetica"/>
    </font>
    <font>
      <b/>
      <sz val="9"/>
      <color rgb="FF000000"/>
      <name val="Inherit"/>
    </font>
    <font>
      <b/>
      <sz val="10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0"/>
      <color theme="1"/>
      <name val="Roboto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rgb="FFE5E5E5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1" fillId="2" borderId="0" xfId="0" applyFont="1" applyFill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2" borderId="4" xfId="0" applyFont="1" applyFill="1" applyBorder="1"/>
    <xf numFmtId="0" fontId="0" fillId="3" borderId="4" xfId="0" applyFill="1" applyBorder="1"/>
    <xf numFmtId="0" fontId="0" fillId="3" borderId="1" xfId="0" applyFill="1" applyBorder="1"/>
    <xf numFmtId="0" fontId="0" fillId="0" borderId="4" xfId="0" applyBorder="1"/>
    <xf numFmtId="0" fontId="0" fillId="0" borderId="1" xfId="0" applyBorder="1"/>
    <xf numFmtId="0" fontId="0" fillId="3" borderId="0" xfId="0" applyFill="1"/>
    <xf numFmtId="0" fontId="3" fillId="0" borderId="0" xfId="0" applyFont="1"/>
    <xf numFmtId="0" fontId="4" fillId="0" borderId="0" xfId="0" applyFont="1"/>
    <xf numFmtId="49" fontId="6" fillId="0" borderId="0" xfId="0" applyNumberFormat="1" applyFont="1"/>
    <xf numFmtId="0" fontId="7" fillId="0" borderId="0" xfId="0" applyFont="1"/>
    <xf numFmtId="0" fontId="7" fillId="4" borderId="0" xfId="0" applyFont="1" applyFill="1"/>
    <xf numFmtId="49" fontId="7" fillId="4" borderId="0" xfId="0" applyNumberFormat="1" applyFont="1" applyFill="1"/>
    <xf numFmtId="165" fontId="6" fillId="4" borderId="0" xfId="0" applyNumberFormat="1" applyFont="1" applyFill="1"/>
    <xf numFmtId="4" fontId="6" fillId="0" borderId="0" xfId="0" applyNumberFormat="1" applyFont="1"/>
    <xf numFmtId="4" fontId="7" fillId="4" borderId="0" xfId="0" applyNumberFormat="1" applyFont="1" applyFill="1"/>
    <xf numFmtId="166" fontId="7" fillId="0" borderId="0" xfId="0" applyNumberFormat="1" applyFont="1"/>
    <xf numFmtId="49" fontId="8" fillId="0" borderId="0" xfId="0" applyNumberFormat="1" applyFont="1"/>
    <xf numFmtId="14" fontId="8" fillId="0" borderId="0" xfId="0" applyNumberFormat="1" applyFont="1"/>
    <xf numFmtId="0" fontId="8" fillId="4" borderId="0" xfId="0" applyFont="1" applyFill="1"/>
    <xf numFmtId="49" fontId="8" fillId="4" borderId="0" xfId="0" applyNumberFormat="1" applyFont="1" applyFill="1"/>
    <xf numFmtId="14" fontId="8" fillId="4" borderId="0" xfId="0" applyNumberFormat="1" applyFont="1" applyFill="1"/>
    <xf numFmtId="165" fontId="8" fillId="4" borderId="0" xfId="0" applyNumberFormat="1" applyFont="1" applyFill="1"/>
    <xf numFmtId="167" fontId="8" fillId="0" borderId="0" xfId="0" applyNumberFormat="1" applyFont="1"/>
    <xf numFmtId="4" fontId="8" fillId="0" borderId="0" xfId="0" applyNumberFormat="1" applyFont="1"/>
    <xf numFmtId="4" fontId="8" fillId="4" borderId="0" xfId="0" applyNumberFormat="1" applyFont="1" applyFill="1"/>
    <xf numFmtId="0" fontId="8" fillId="0" borderId="0" xfId="0" applyFont="1"/>
    <xf numFmtId="166" fontId="9" fillId="5" borderId="0" xfId="0" applyNumberFormat="1" applyFont="1" applyFill="1" applyAlignment="1">
      <alignment horizontal="left"/>
    </xf>
    <xf numFmtId="0" fontId="10" fillId="4" borderId="0" xfId="0" applyFont="1" applyFill="1"/>
    <xf numFmtId="0" fontId="11" fillId="0" borderId="0" xfId="0" applyFont="1"/>
    <xf numFmtId="20" fontId="8" fillId="4" borderId="0" xfId="0" applyNumberFormat="1" applyFont="1" applyFill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ov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ov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  <color rgb="FFFF00FF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HRT!$B$8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HRT!$B$9:$B$16</c:f>
              <c:numCache>
                <c:formatCode>General</c:formatCode>
                <c:ptCount val="8"/>
                <c:pt idx="0">
                  <c:v>25401.732224397601</c:v>
                </c:pt>
                <c:pt idx="1">
                  <c:v>1028.189828387734</c:v>
                </c:pt>
                <c:pt idx="2">
                  <c:v>90.879999999999981</c:v>
                </c:pt>
                <c:pt idx="3">
                  <c:v>8.032733034279179</c:v>
                </c:pt>
                <c:pt idx="4">
                  <c:v>1.9433182394056736</c:v>
                </c:pt>
                <c:pt idx="5">
                  <c:v>0.71</c:v>
                </c:pt>
                <c:pt idx="6">
                  <c:v>0.17176668813590681</c:v>
                </c:pt>
                <c:pt idx="7">
                  <c:v>6.2755726830306099E-2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6-44EA-AB32-64103B3DC2DE}"/>
            </c:ext>
          </c:extLst>
        </c:ser>
        <c:ser>
          <c:idx val="1"/>
          <c:order val="1"/>
          <c:tx>
            <c:strRef>
              <c:f>HRT!$C$8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HRT!$C$9:$C$16</c:f>
              <c:numCache>
                <c:formatCode>General</c:formatCode>
                <c:ptCount val="8"/>
                <c:pt idx="0">
                  <c:v>279985.78201569547</c:v>
                </c:pt>
                <c:pt idx="1">
                  <c:v>10340.747811056672</c:v>
                </c:pt>
                <c:pt idx="2">
                  <c:v>852.79365874979851</c:v>
                </c:pt>
                <c:pt idx="3">
                  <c:v>70.329248686082465</c:v>
                </c:pt>
                <c:pt idx="4">
                  <c:v>16.338321787579762</c:v>
                </c:pt>
                <c:pt idx="5">
                  <c:v>5.8</c:v>
                </c:pt>
                <c:pt idx="6">
                  <c:v>1.3474090529665397</c:v>
                </c:pt>
                <c:pt idx="7">
                  <c:v>0.47832161765517422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A6-44EA-AB32-64103B3DC2DE}"/>
            </c:ext>
          </c:extLst>
        </c:ser>
        <c:ser>
          <c:idx val="2"/>
          <c:order val="2"/>
          <c:tx>
            <c:strRef>
              <c:f>HRT!$D$8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HRT!$D$9:$D$16</c:f>
              <c:numCache>
                <c:formatCode>General</c:formatCode>
                <c:ptCount val="8"/>
                <c:pt idx="0">
                  <c:v>1080.8406629818953</c:v>
                </c:pt>
                <c:pt idx="1">
                  <c:v>131.37104520838233</c:v>
                </c:pt>
                <c:pt idx="2">
                  <c:v>26.676611570582995</c:v>
                </c:pt>
                <c:pt idx="3">
                  <c:v>5.4170354187176315</c:v>
                </c:pt>
                <c:pt idx="4">
                  <c:v>2.1318261214689533</c:v>
                </c:pt>
                <c:pt idx="5">
                  <c:v>1.1000000000000001</c:v>
                </c:pt>
                <c:pt idx="6">
                  <c:v>0.43289521894449418</c:v>
                </c:pt>
                <c:pt idx="7">
                  <c:v>0.22336940899796484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A6-44EA-AB32-64103B3D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902713872257404"/>
          <c:y val="4.6874453193350825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HRT!$G$8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HRT!$G$9:$G$16</c:f>
              <c:numCache>
                <c:formatCode>General</c:formatCode>
                <c:ptCount val="8"/>
                <c:pt idx="0">
                  <c:v>50803.464448795203</c:v>
                </c:pt>
                <c:pt idx="1">
                  <c:v>2056.379656775468</c:v>
                </c:pt>
                <c:pt idx="2">
                  <c:v>181.75999999999996</c:v>
                </c:pt>
                <c:pt idx="3">
                  <c:v>16.065466068558358</c:v>
                </c:pt>
                <c:pt idx="4">
                  <c:v>3.8866364788113472</c:v>
                </c:pt>
                <c:pt idx="5">
                  <c:v>1.42</c:v>
                </c:pt>
                <c:pt idx="6">
                  <c:v>0.34353337627181363</c:v>
                </c:pt>
                <c:pt idx="7">
                  <c:v>0.1255114536606122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7-4192-B0BC-2BC56F1B1EE7}"/>
            </c:ext>
          </c:extLst>
        </c:ser>
        <c:ser>
          <c:idx val="1"/>
          <c:order val="1"/>
          <c:tx>
            <c:strRef>
              <c:f>HRT!$H$8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HRT!$H$9:$H$16</c:f>
              <c:numCache>
                <c:formatCode>General</c:formatCode>
                <c:ptCount val="8"/>
                <c:pt idx="0">
                  <c:v>559971.56403139094</c:v>
                </c:pt>
                <c:pt idx="1">
                  <c:v>20681.495622113343</c:v>
                </c:pt>
                <c:pt idx="2">
                  <c:v>1705.587317499597</c:v>
                </c:pt>
                <c:pt idx="3">
                  <c:v>140.65849737216493</c:v>
                </c:pt>
                <c:pt idx="4">
                  <c:v>32.676643575159524</c:v>
                </c:pt>
                <c:pt idx="5">
                  <c:v>11.6</c:v>
                </c:pt>
                <c:pt idx="6">
                  <c:v>2.6948181059330794</c:v>
                </c:pt>
                <c:pt idx="7">
                  <c:v>0.95664323531034845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B7-4192-B0BC-2BC56F1B1EE7}"/>
            </c:ext>
          </c:extLst>
        </c:ser>
        <c:ser>
          <c:idx val="2"/>
          <c:order val="2"/>
          <c:tx>
            <c:strRef>
              <c:f>HRT!$I$8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HRT!$I$9:$I$16</c:f>
              <c:numCache>
                <c:formatCode>General</c:formatCode>
                <c:ptCount val="8"/>
                <c:pt idx="0">
                  <c:v>2161.6813259637906</c:v>
                </c:pt>
                <c:pt idx="1">
                  <c:v>262.74209041676465</c:v>
                </c:pt>
                <c:pt idx="2">
                  <c:v>53.353223141165991</c:v>
                </c:pt>
                <c:pt idx="3">
                  <c:v>10.834070837435263</c:v>
                </c:pt>
                <c:pt idx="4">
                  <c:v>4.2636522429379067</c:v>
                </c:pt>
                <c:pt idx="5">
                  <c:v>2.2000000000000002</c:v>
                </c:pt>
                <c:pt idx="6">
                  <c:v>0.86579043788898835</c:v>
                </c:pt>
                <c:pt idx="7">
                  <c:v>0.44673881799592968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B7-4192-B0BC-2BC56F1B1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495215909747226"/>
          <c:y val="5.6133712452610077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HRT!$L$8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rgbClr val="00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HRT!$L$9:$L$16</c:f>
              <c:numCache>
                <c:formatCode>General</c:formatCode>
                <c:ptCount val="8"/>
                <c:pt idx="0">
                  <c:v>67.147654239225474</c:v>
                </c:pt>
                <c:pt idx="1">
                  <c:v>13.509392826430906</c:v>
                </c:pt>
                <c:pt idx="2">
                  <c:v>4.0163665171395895</c:v>
                </c:pt>
                <c:pt idx="3">
                  <c:v>1.1940729096602745</c:v>
                </c:pt>
                <c:pt idx="4">
                  <c:v>0.58731506663332511</c:v>
                </c:pt>
                <c:pt idx="5">
                  <c:v>0.35499999999999998</c:v>
                </c:pt>
                <c:pt idx="6">
                  <c:v>0.17460981399716186</c:v>
                </c:pt>
                <c:pt idx="7">
                  <c:v>0.10554213145649148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1-4A23-B876-0C9BB4C50C9F}"/>
            </c:ext>
          </c:extLst>
        </c:ser>
        <c:ser>
          <c:idx val="1"/>
          <c:order val="1"/>
          <c:tx>
            <c:strRef>
              <c:f>HRT!$M$8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HRT!$M$9:$M$16</c:f>
              <c:numCache>
                <c:formatCode>General</c:formatCode>
                <c:ptCount val="8"/>
                <c:pt idx="0">
                  <c:v>637.16511511754811</c:v>
                </c:pt>
                <c:pt idx="1">
                  <c:v>122.45033411972453</c:v>
                </c:pt>
                <c:pt idx="2">
                  <c:v>35.164624343041233</c:v>
                </c:pt>
                <c:pt idx="3">
                  <c:v>10.09838653423504</c:v>
                </c:pt>
                <c:pt idx="4">
                  <c:v>4.8672956137870491</c:v>
                </c:pt>
                <c:pt idx="5">
                  <c:v>2.9</c:v>
                </c:pt>
                <c:pt idx="6">
                  <c:v>1.397763616210367</c:v>
                </c:pt>
                <c:pt idx="7">
                  <c:v>0.83280630737285044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01-4A23-B876-0C9BB4C50C9F}"/>
            </c:ext>
          </c:extLst>
        </c:ser>
        <c:ser>
          <c:idx val="2"/>
          <c:order val="2"/>
          <c:tx>
            <c:strRef>
              <c:f>HRT!$N$8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HRT!$N$9:$N$16</c:f>
              <c:numCache>
                <c:formatCode>General</c:formatCode>
                <c:ptCount val="8"/>
                <c:pt idx="0">
                  <c:v>17.240393914293872</c:v>
                </c:pt>
                <c:pt idx="1">
                  <c:v>6.0105771297193371</c:v>
                </c:pt>
                <c:pt idx="2">
                  <c:v>2.7085177093588158</c:v>
                </c:pt>
                <c:pt idx="3">
                  <c:v>1.2205264192746295</c:v>
                </c:pt>
                <c:pt idx="4">
                  <c:v>0.76567106736767987</c:v>
                </c:pt>
                <c:pt idx="5">
                  <c:v>0.55000000000000004</c:v>
                </c:pt>
                <c:pt idx="6">
                  <c:v>0.34503070183642481</c:v>
                </c:pt>
                <c:pt idx="7">
                  <c:v>0.24784387721797838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01-4A23-B876-0C9BB4C50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902713872257404"/>
          <c:y val="4.6874453193350853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site!$O$1</c:f>
              <c:strCache>
                <c:ptCount val="1"/>
                <c:pt idx="0">
                  <c:v>nsrp_pred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site!$J$2:$J$132</c:f>
              <c:numCache>
                <c:formatCode>General</c:formatCode>
                <c:ptCount val="123"/>
                <c:pt idx="0">
                  <c:v>7.2100000000000011E-2</c:v>
                </c:pt>
                <c:pt idx="1">
                  <c:v>6.6110000000000002E-2</c:v>
                </c:pt>
                <c:pt idx="2">
                  <c:v>6.6280000000000006E-2</c:v>
                </c:pt>
                <c:pt idx="3">
                  <c:v>4.0181249999999995E-2</c:v>
                </c:pt>
                <c:pt idx="4">
                  <c:v>6.0159999999999998E-2</c:v>
                </c:pt>
                <c:pt idx="5">
                  <c:v>5.5586249999999997E-2</c:v>
                </c:pt>
                <c:pt idx="6">
                  <c:v>3.6775624999999992E-2</c:v>
                </c:pt>
                <c:pt idx="7">
                  <c:v>3.422E-2</c:v>
                </c:pt>
                <c:pt idx="8">
                  <c:v>5.4579999999999997E-2</c:v>
                </c:pt>
                <c:pt idx="9">
                  <c:v>1.7140000000000006E-2</c:v>
                </c:pt>
                <c:pt idx="10">
                  <c:v>4.3584999999999999E-2</c:v>
                </c:pt>
                <c:pt idx="11">
                  <c:v>7.7787999999999996E-2</c:v>
                </c:pt>
                <c:pt idx="12">
                  <c:v>3.3023000000000004E-2</c:v>
                </c:pt>
                <c:pt idx="13">
                  <c:v>3.8209E-2</c:v>
                </c:pt>
                <c:pt idx="14">
                  <c:v>3.8050000000000028E-3</c:v>
                </c:pt>
                <c:pt idx="15">
                  <c:v>3.4124000000000008E-2</c:v>
                </c:pt>
                <c:pt idx="16">
                  <c:v>3.0826000000000006E-2</c:v>
                </c:pt>
                <c:pt idx="17">
                  <c:v>1.7850999999999999E-2</c:v>
                </c:pt>
                <c:pt idx="18">
                  <c:v>3.9073999999999998E-2</c:v>
                </c:pt>
                <c:pt idx="19">
                  <c:v>3.6243410000000004E-2</c:v>
                </c:pt>
                <c:pt idx="20">
                  <c:v>1.8149999999999999E-2</c:v>
                </c:pt>
                <c:pt idx="21">
                  <c:v>4.1879E-2</c:v>
                </c:pt>
                <c:pt idx="22">
                  <c:v>2.0345999999999996E-2</c:v>
                </c:pt>
                <c:pt idx="23">
                  <c:v>2.6565999999999999E-2</c:v>
                </c:pt>
                <c:pt idx="24">
                  <c:v>3.4391000000000005E-2</c:v>
                </c:pt>
                <c:pt idx="25">
                  <c:v>4.0563000000000002E-2</c:v>
                </c:pt>
                <c:pt idx="26">
                  <c:v>4.2568000000000002E-2</c:v>
                </c:pt>
                <c:pt idx="27">
                  <c:v>3.6681999999999999E-2</c:v>
                </c:pt>
                <c:pt idx="28">
                  <c:v>2.3587000000000004E-2</c:v>
                </c:pt>
                <c:pt idx="29">
                  <c:v>0.11147</c:v>
                </c:pt>
                <c:pt idx="30">
                  <c:v>5.4209999999999994E-2</c:v>
                </c:pt>
                <c:pt idx="31">
                  <c:v>4.3507500000000005E-2</c:v>
                </c:pt>
                <c:pt idx="32">
                  <c:v>5.7376875000000001E-2</c:v>
                </c:pt>
                <c:pt idx="33">
                  <c:v>3.8992499999999999E-2</c:v>
                </c:pt>
                <c:pt idx="34">
                  <c:v>4.7794375E-2</c:v>
                </c:pt>
                <c:pt idx="35">
                  <c:v>4.9589999999999995E-2</c:v>
                </c:pt>
                <c:pt idx="36">
                  <c:v>2.0599999999999959E-3</c:v>
                </c:pt>
                <c:pt idx="37">
                  <c:v>5.4030000000000002E-2</c:v>
                </c:pt>
                <c:pt idx="38">
                  <c:v>7.8969999999999999E-2</c:v>
                </c:pt>
                <c:pt idx="39">
                  <c:v>4.6585999999999995E-2</c:v>
                </c:pt>
                <c:pt idx="40">
                  <c:v>4.8839000000000007E-2</c:v>
                </c:pt>
                <c:pt idx="41">
                  <c:v>5.9810999999999996E-2</c:v>
                </c:pt>
                <c:pt idx="42">
                  <c:v>5.6646000000000002E-2</c:v>
                </c:pt>
                <c:pt idx="43">
                  <c:v>5.4467000000000002E-2</c:v>
                </c:pt>
                <c:pt idx="44">
                  <c:v>4.3449000000000002E-2</c:v>
                </c:pt>
                <c:pt idx="45">
                  <c:v>5.3248999999999991E-2</c:v>
                </c:pt>
                <c:pt idx="46">
                  <c:v>2.9920000000000009E-2</c:v>
                </c:pt>
                <c:pt idx="47">
                  <c:v>4.1377000000000004E-2</c:v>
                </c:pt>
                <c:pt idx="48">
                  <c:v>2.8407000000000005E-2</c:v>
                </c:pt>
                <c:pt idx="49">
                  <c:v>2.6282999999999994E-2</c:v>
                </c:pt>
                <c:pt idx="50">
                  <c:v>2.4251000000000005E-2</c:v>
                </c:pt>
                <c:pt idx="51">
                  <c:v>1.6122000000000004E-2</c:v>
                </c:pt>
                <c:pt idx="52">
                  <c:v>2.1221E-2</c:v>
                </c:pt>
                <c:pt idx="53">
                  <c:v>3.6950999999999998E-2</c:v>
                </c:pt>
                <c:pt idx="54">
                  <c:v>3.0892999999999997E-2</c:v>
                </c:pt>
                <c:pt idx="55">
                  <c:v>3.3410999999999996E-2</c:v>
                </c:pt>
                <c:pt idx="56">
                  <c:v>3.6282999999999996E-2</c:v>
                </c:pt>
                <c:pt idx="57">
                  <c:v>0.13212874999999999</c:v>
                </c:pt>
                <c:pt idx="58">
                  <c:v>9.2157500000000003E-2</c:v>
                </c:pt>
                <c:pt idx="59">
                  <c:v>1.3320000000000002E-2</c:v>
                </c:pt>
                <c:pt idx="60">
                  <c:v>3.6169999999999994E-2</c:v>
                </c:pt>
                <c:pt idx="61">
                  <c:v>7.3540000000000008E-2</c:v>
                </c:pt>
                <c:pt idx="62">
                  <c:v>6.4809999999999993E-2</c:v>
                </c:pt>
                <c:pt idx="63">
                  <c:v>4.2846999999999996E-2</c:v>
                </c:pt>
                <c:pt idx="64">
                  <c:v>9.8684000000000008E-2</c:v>
                </c:pt>
                <c:pt idx="65">
                  <c:v>4.4660000000000005E-2</c:v>
                </c:pt>
                <c:pt idx="66">
                  <c:v>2.1102999999999997E-2</c:v>
                </c:pt>
                <c:pt idx="67">
                  <c:v>1.0585999999999998E-2</c:v>
                </c:pt>
                <c:pt idx="68">
                  <c:v>2.8340780000000003E-2</c:v>
                </c:pt>
                <c:pt idx="69">
                  <c:v>0.14332297999999999</c:v>
                </c:pt>
                <c:pt idx="70">
                  <c:v>9.3443999999999999E-2</c:v>
                </c:pt>
                <c:pt idx="71">
                  <c:v>3.6251000000000005E-2</c:v>
                </c:pt>
                <c:pt idx="72">
                  <c:v>5.4190999999999996E-2</c:v>
                </c:pt>
                <c:pt idx="73">
                  <c:v>1.2646999999999999E-2</c:v>
                </c:pt>
                <c:pt idx="74">
                  <c:v>1.625999999999999E-3</c:v>
                </c:pt>
                <c:pt idx="75">
                  <c:v>1.5800999999999996E-2</c:v>
                </c:pt>
                <c:pt idx="76">
                  <c:v>2.383E-2</c:v>
                </c:pt>
                <c:pt idx="77">
                  <c:v>8.6726874999999995E-2</c:v>
                </c:pt>
                <c:pt idx="78">
                  <c:v>5.0860000000000009E-2</c:v>
                </c:pt>
                <c:pt idx="79">
                  <c:v>6.9440000000000002E-2</c:v>
                </c:pt>
                <c:pt idx="80">
                  <c:v>3.8940000000000002E-2</c:v>
                </c:pt>
                <c:pt idx="81">
                  <c:v>6.4736000000000002E-2</c:v>
                </c:pt>
                <c:pt idx="82">
                  <c:v>3.9046999999999998E-2</c:v>
                </c:pt>
                <c:pt idx="83">
                  <c:v>5.0337E-2</c:v>
                </c:pt>
                <c:pt idx="84">
                  <c:v>6.4243000000000008E-2</c:v>
                </c:pt>
                <c:pt idx="85">
                  <c:v>6.0666999999999999E-2</c:v>
                </c:pt>
                <c:pt idx="86">
                  <c:v>3.5435000000000001E-2</c:v>
                </c:pt>
                <c:pt idx="87">
                  <c:v>1.7188320000000003E-2</c:v>
                </c:pt>
                <c:pt idx="88">
                  <c:v>2.6346999999999999E-2</c:v>
                </c:pt>
                <c:pt idx="89">
                  <c:v>3.5595999999999996E-2</c:v>
                </c:pt>
                <c:pt idx="90">
                  <c:v>2.2681999999999994E-2</c:v>
                </c:pt>
                <c:pt idx="91">
                  <c:v>1.9341000000000001E-2</c:v>
                </c:pt>
                <c:pt idx="92">
                  <c:v>4.6168999999999995E-2</c:v>
                </c:pt>
                <c:pt idx="93">
                  <c:v>1.7354999999999999E-2</c:v>
                </c:pt>
                <c:pt idx="94">
                  <c:v>6.5038750000000006E-2</c:v>
                </c:pt>
                <c:pt idx="95">
                  <c:v>7.6029999999999986E-2</c:v>
                </c:pt>
                <c:pt idx="96">
                  <c:v>3.0139999999999997E-2</c:v>
                </c:pt>
                <c:pt idx="97">
                  <c:v>2.81E-2</c:v>
                </c:pt>
                <c:pt idx="98">
                  <c:v>1.5740000000000001E-2</c:v>
                </c:pt>
                <c:pt idx="99">
                  <c:v>4.0440000000000004E-2</c:v>
                </c:pt>
                <c:pt idx="100">
                  <c:v>8.0640000000000017E-3</c:v>
                </c:pt>
                <c:pt idx="101">
                  <c:v>3.9826E-2</c:v>
                </c:pt>
                <c:pt idx="102">
                  <c:v>7.6299999999999993E-2</c:v>
                </c:pt>
                <c:pt idx="103">
                  <c:v>4.3243999999999998E-2</c:v>
                </c:pt>
                <c:pt idx="104">
                  <c:v>2.4176129999999997E-2</c:v>
                </c:pt>
                <c:pt idx="105">
                  <c:v>3.1467100000000005E-2</c:v>
                </c:pt>
                <c:pt idx="106">
                  <c:v>4.8669000000000004E-2</c:v>
                </c:pt>
                <c:pt idx="107">
                  <c:v>7.2804000000000008E-2</c:v>
                </c:pt>
                <c:pt idx="108">
                  <c:v>5.0030000000000005E-2</c:v>
                </c:pt>
                <c:pt idx="109">
                  <c:v>5.1763000000000003E-2</c:v>
                </c:pt>
                <c:pt idx="110">
                  <c:v>1.4318000000000001E-2</c:v>
                </c:pt>
                <c:pt idx="111">
                  <c:v>0.15578</c:v>
                </c:pt>
                <c:pt idx="112">
                  <c:v>7.3581875000000005E-2</c:v>
                </c:pt>
                <c:pt idx="113">
                  <c:v>6.2449999999999999E-2</c:v>
                </c:pt>
                <c:pt idx="114">
                  <c:v>0.12007</c:v>
                </c:pt>
                <c:pt idx="115">
                  <c:v>1.7569999999999999E-2</c:v>
                </c:pt>
                <c:pt idx="116">
                  <c:v>1.1754999999999998E-2</c:v>
                </c:pt>
                <c:pt idx="117">
                  <c:v>7.3834999999999998E-2</c:v>
                </c:pt>
                <c:pt idx="118">
                  <c:v>4.0848999999999996E-2</c:v>
                </c:pt>
                <c:pt idx="119">
                  <c:v>6.581E-3</c:v>
                </c:pt>
                <c:pt idx="120">
                  <c:v>4.1180000000000001E-2</c:v>
                </c:pt>
                <c:pt idx="121">
                  <c:v>9.2949999999999977E-3</c:v>
                </c:pt>
                <c:pt idx="122">
                  <c:v>2.1278999999999999E-2</c:v>
                </c:pt>
              </c:numCache>
            </c:numRef>
          </c:xVal>
          <c:yVal>
            <c:numRef>
              <c:f>site!$O$2:$O$132</c:f>
              <c:numCache>
                <c:formatCode>General</c:formatCode>
                <c:ptCount val="123"/>
                <c:pt idx="0">
                  <c:v>2.6778210551802812E-2</c:v>
                </c:pt>
                <c:pt idx="1">
                  <c:v>2.8445383833385185E-2</c:v>
                </c:pt>
                <c:pt idx="2">
                  <c:v>2.2254118980141117E-2</c:v>
                </c:pt>
                <c:pt idx="3">
                  <c:v>4.8472123501495268E-2</c:v>
                </c:pt>
                <c:pt idx="4">
                  <c:v>3.3503215039138098E-2</c:v>
                </c:pt>
                <c:pt idx="5">
                  <c:v>3.7044155698515324E-2</c:v>
                </c:pt>
                <c:pt idx="6">
                  <c:v>2.6397231970978291E-2</c:v>
                </c:pt>
                <c:pt idx="7">
                  <c:v>1.897953389704388E-2</c:v>
                </c:pt>
                <c:pt idx="8">
                  <c:v>8.6725548005738784E-2</c:v>
                </c:pt>
                <c:pt idx="9">
                  <c:v>2.4823152349491923E-2</c:v>
                </c:pt>
                <c:pt idx="10">
                  <c:v>3.2279292351868022E-2</c:v>
                </c:pt>
                <c:pt idx="11">
                  <c:v>3.5222943361615584E-2</c:v>
                </c:pt>
                <c:pt idx="12">
                  <c:v>2.72016873421825E-2</c:v>
                </c:pt>
                <c:pt idx="13">
                  <c:v>2.3044769009767745E-2</c:v>
                </c:pt>
                <c:pt idx="14">
                  <c:v>3.5682218925025301E-2</c:v>
                </c:pt>
                <c:pt idx="15">
                  <c:v>5.991032965652577E-2</c:v>
                </c:pt>
                <c:pt idx="16">
                  <c:v>5.4434234276260471E-2</c:v>
                </c:pt>
                <c:pt idx="17">
                  <c:v>3.1420700297792134E-2</c:v>
                </c:pt>
                <c:pt idx="18">
                  <c:v>4.3203323060950677E-2</c:v>
                </c:pt>
                <c:pt idx="19">
                  <c:v>6.5744258823896857E-3</c:v>
                </c:pt>
                <c:pt idx="20">
                  <c:v>1.143865716712115E-2</c:v>
                </c:pt>
                <c:pt idx="21">
                  <c:v>1.1419642914331982E-2</c:v>
                </c:pt>
                <c:pt idx="22">
                  <c:v>2.0881225338299336E-2</c:v>
                </c:pt>
                <c:pt idx="23">
                  <c:v>1.9161461411381944E-2</c:v>
                </c:pt>
                <c:pt idx="24">
                  <c:v>2.4771568642940438E-2</c:v>
                </c:pt>
                <c:pt idx="25">
                  <c:v>2.6285468154824677E-2</c:v>
                </c:pt>
                <c:pt idx="26">
                  <c:v>2.511275287423111E-2</c:v>
                </c:pt>
                <c:pt idx="27">
                  <c:v>2.1371111881658741E-2</c:v>
                </c:pt>
                <c:pt idx="28">
                  <c:v>1.6513677837234359E-2</c:v>
                </c:pt>
                <c:pt idx="29">
                  <c:v>8.0337766996880583E-2</c:v>
                </c:pt>
                <c:pt idx="30">
                  <c:v>2.7901830058079117E-2</c:v>
                </c:pt>
                <c:pt idx="31">
                  <c:v>3.9496774310068733E-2</c:v>
                </c:pt>
                <c:pt idx="32">
                  <c:v>3.8568267625663011E-2</c:v>
                </c:pt>
                <c:pt idx="33">
                  <c:v>3.2702705920153861E-2</c:v>
                </c:pt>
                <c:pt idx="34">
                  <c:v>2.7585527142946466E-2</c:v>
                </c:pt>
                <c:pt idx="35">
                  <c:v>2.9434599301593048E-2</c:v>
                </c:pt>
                <c:pt idx="36">
                  <c:v>2.6581963991926298E-2</c:v>
                </c:pt>
                <c:pt idx="37">
                  <c:v>6.9918406504846403E-2</c:v>
                </c:pt>
                <c:pt idx="38">
                  <c:v>7.5437888777353898E-2</c:v>
                </c:pt>
                <c:pt idx="39">
                  <c:v>4.5543786825266143E-2</c:v>
                </c:pt>
                <c:pt idx="40">
                  <c:v>7.4933904128930501E-2</c:v>
                </c:pt>
                <c:pt idx="41">
                  <c:v>5.6247031431085344E-2</c:v>
                </c:pt>
                <c:pt idx="42">
                  <c:v>5.0255718322763945E-2</c:v>
                </c:pt>
                <c:pt idx="43">
                  <c:v>2.0590384511992008E-2</c:v>
                </c:pt>
                <c:pt idx="44">
                  <c:v>6.8810084736179375E-2</c:v>
                </c:pt>
                <c:pt idx="45">
                  <c:v>7.9028623811382065E-2</c:v>
                </c:pt>
                <c:pt idx="46">
                  <c:v>5.0756051546061345E-2</c:v>
                </c:pt>
                <c:pt idx="47">
                  <c:v>4.4973515638149719E-2</c:v>
                </c:pt>
                <c:pt idx="48">
                  <c:v>3.0066782385696274E-2</c:v>
                </c:pt>
                <c:pt idx="49">
                  <c:v>3.0549309677412192E-2</c:v>
                </c:pt>
                <c:pt idx="50">
                  <c:v>2.0941206867572674E-2</c:v>
                </c:pt>
                <c:pt idx="51">
                  <c:v>2.4704125418771684E-2</c:v>
                </c:pt>
                <c:pt idx="52">
                  <c:v>2.0630205258108155E-2</c:v>
                </c:pt>
                <c:pt idx="53">
                  <c:v>4.3494145849476494E-2</c:v>
                </c:pt>
                <c:pt idx="54">
                  <c:v>1.8083198232987777E-2</c:v>
                </c:pt>
                <c:pt idx="55">
                  <c:v>3.4856523488716061E-2</c:v>
                </c:pt>
                <c:pt idx="56">
                  <c:v>2.7075117808147788E-2</c:v>
                </c:pt>
                <c:pt idx="57">
                  <c:v>0.12946452344373829</c:v>
                </c:pt>
                <c:pt idx="58">
                  <c:v>0.10216930807433522</c:v>
                </c:pt>
                <c:pt idx="59">
                  <c:v>2.1703116340147949E-2</c:v>
                </c:pt>
                <c:pt idx="60">
                  <c:v>4.4063789326191177E-2</c:v>
                </c:pt>
                <c:pt idx="61">
                  <c:v>5.7450838904956336E-2</c:v>
                </c:pt>
                <c:pt idx="62">
                  <c:v>6.0821730811155543E-2</c:v>
                </c:pt>
                <c:pt idx="63">
                  <c:v>2.8835672919280991E-2</c:v>
                </c:pt>
                <c:pt idx="64">
                  <c:v>0.17637726983159749</c:v>
                </c:pt>
                <c:pt idx="65">
                  <c:v>5.1342534117580968E-2</c:v>
                </c:pt>
                <c:pt idx="66">
                  <c:v>1.7362971353541048E-2</c:v>
                </c:pt>
                <c:pt idx="67">
                  <c:v>1.876639829818337E-2</c:v>
                </c:pt>
                <c:pt idx="68">
                  <c:v>1.8583809767579697E-2</c:v>
                </c:pt>
                <c:pt idx="69">
                  <c:v>0.11312123752364267</c:v>
                </c:pt>
                <c:pt idx="70">
                  <c:v>8.4829340576499768E-2</c:v>
                </c:pt>
                <c:pt idx="71">
                  <c:v>8.2074827524936181E-2</c:v>
                </c:pt>
                <c:pt idx="72">
                  <c:v>6.2483847335650468E-2</c:v>
                </c:pt>
                <c:pt idx="73">
                  <c:v>1.6709022308871412E-2</c:v>
                </c:pt>
                <c:pt idx="74">
                  <c:v>1.8215759710365848E-2</c:v>
                </c:pt>
                <c:pt idx="75">
                  <c:v>1.3670199684274794E-2</c:v>
                </c:pt>
                <c:pt idx="76">
                  <c:v>9.3060000257143109E-3</c:v>
                </c:pt>
                <c:pt idx="77">
                  <c:v>4.2097583173532516E-2</c:v>
                </c:pt>
                <c:pt idx="78">
                  <c:v>3.7005030371710379E-2</c:v>
                </c:pt>
                <c:pt idx="79">
                  <c:v>1.4409410774001808E-2</c:v>
                </c:pt>
                <c:pt idx="80">
                  <c:v>3.672908890126611E-2</c:v>
                </c:pt>
                <c:pt idx="81">
                  <c:v>7.9176611640193267E-2</c:v>
                </c:pt>
                <c:pt idx="82">
                  <c:v>2.9479535984071333E-2</c:v>
                </c:pt>
                <c:pt idx="83">
                  <c:v>3.5936045231873534E-2</c:v>
                </c:pt>
                <c:pt idx="84">
                  <c:v>5.6880867939132981E-2</c:v>
                </c:pt>
                <c:pt idx="85">
                  <c:v>4.673571449870513E-2</c:v>
                </c:pt>
                <c:pt idx="86">
                  <c:v>6.6784718714427607E-2</c:v>
                </c:pt>
                <c:pt idx="87">
                  <c:v>8.6902457114105703E-3</c:v>
                </c:pt>
                <c:pt idx="88">
                  <c:v>5.9558333007212645E-3</c:v>
                </c:pt>
                <c:pt idx="89">
                  <c:v>1.0627464512465396E-2</c:v>
                </c:pt>
                <c:pt idx="90">
                  <c:v>1.4145853002638414E-2</c:v>
                </c:pt>
                <c:pt idx="91">
                  <c:v>2.3888680375660405E-2</c:v>
                </c:pt>
                <c:pt idx="92">
                  <c:v>2.110727417196883E-2</c:v>
                </c:pt>
                <c:pt idx="93">
                  <c:v>3.5198325935195354E-2</c:v>
                </c:pt>
                <c:pt idx="94">
                  <c:v>3.825978870062717E-2</c:v>
                </c:pt>
                <c:pt idx="95">
                  <c:v>6.2236022599241485E-2</c:v>
                </c:pt>
                <c:pt idx="96">
                  <c:v>3.141476213281743E-2</c:v>
                </c:pt>
                <c:pt idx="97">
                  <c:v>2.7923502273258412E-2</c:v>
                </c:pt>
                <c:pt idx="98">
                  <c:v>2.846618724789237E-2</c:v>
                </c:pt>
                <c:pt idx="99">
                  <c:v>5.4436244857064359E-2</c:v>
                </c:pt>
                <c:pt idx="100">
                  <c:v>2.7746720529051125E-2</c:v>
                </c:pt>
                <c:pt idx="101">
                  <c:v>5.0305980089004415E-2</c:v>
                </c:pt>
                <c:pt idx="102">
                  <c:v>0.12566572164968964</c:v>
                </c:pt>
                <c:pt idx="103">
                  <c:v>5.3626234487301819E-2</c:v>
                </c:pt>
                <c:pt idx="104">
                  <c:v>1.5129882359479591E-2</c:v>
                </c:pt>
                <c:pt idx="105">
                  <c:v>2.0539199355290461E-2</c:v>
                </c:pt>
                <c:pt idx="106">
                  <c:v>4.649743266400222E-2</c:v>
                </c:pt>
                <c:pt idx="107">
                  <c:v>7.4676047866981912E-2</c:v>
                </c:pt>
                <c:pt idx="108">
                  <c:v>6.630863559846932E-2</c:v>
                </c:pt>
                <c:pt idx="109">
                  <c:v>5.710359418946867E-2</c:v>
                </c:pt>
                <c:pt idx="110">
                  <c:v>2.9352777570116159E-2</c:v>
                </c:pt>
                <c:pt idx="111">
                  <c:v>9.3147760279479713E-2</c:v>
                </c:pt>
                <c:pt idx="112">
                  <c:v>2.559668417164648E-2</c:v>
                </c:pt>
                <c:pt idx="113">
                  <c:v>6.0996975728587394E-2</c:v>
                </c:pt>
                <c:pt idx="114">
                  <c:v>0.10627158292462455</c:v>
                </c:pt>
                <c:pt idx="115">
                  <c:v>3.9131376942010292E-2</c:v>
                </c:pt>
                <c:pt idx="116">
                  <c:v>3.4873533783112795E-2</c:v>
                </c:pt>
                <c:pt idx="117">
                  <c:v>7.0595096335901567E-2</c:v>
                </c:pt>
                <c:pt idx="118">
                  <c:v>4.3063603242967707E-2</c:v>
                </c:pt>
                <c:pt idx="119">
                  <c:v>2.4260109613069337E-2</c:v>
                </c:pt>
                <c:pt idx="120">
                  <c:v>5.0221452279407636E-2</c:v>
                </c:pt>
                <c:pt idx="121">
                  <c:v>2.784684297602491E-2</c:v>
                </c:pt>
                <c:pt idx="122">
                  <c:v>1.2288516357029771E-2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D2-4BE2-9EE1-3BAC7E1F60FA}"/>
            </c:ext>
          </c:extLst>
        </c:ser>
        <c:ser>
          <c:idx val="0"/>
          <c:order val="1"/>
          <c:tx>
            <c:strRef>
              <c:f>site!$O$1</c:f>
              <c:strCache>
                <c:ptCount val="1"/>
                <c:pt idx="0">
                  <c:v>nsrp_pred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site!$J$2:$J$132</c:f>
              <c:numCache>
                <c:formatCode>General</c:formatCode>
                <c:ptCount val="123"/>
                <c:pt idx="0">
                  <c:v>7.2100000000000011E-2</c:v>
                </c:pt>
                <c:pt idx="1">
                  <c:v>6.6110000000000002E-2</c:v>
                </c:pt>
                <c:pt idx="2">
                  <c:v>6.6280000000000006E-2</c:v>
                </c:pt>
                <c:pt idx="3">
                  <c:v>4.0181249999999995E-2</c:v>
                </c:pt>
                <c:pt idx="4">
                  <c:v>6.0159999999999998E-2</c:v>
                </c:pt>
                <c:pt idx="5">
                  <c:v>5.5586249999999997E-2</c:v>
                </c:pt>
                <c:pt idx="6">
                  <c:v>3.6775624999999992E-2</c:v>
                </c:pt>
                <c:pt idx="7">
                  <c:v>3.422E-2</c:v>
                </c:pt>
                <c:pt idx="8">
                  <c:v>5.4579999999999997E-2</c:v>
                </c:pt>
                <c:pt idx="9">
                  <c:v>1.7140000000000006E-2</c:v>
                </c:pt>
                <c:pt idx="10">
                  <c:v>4.3584999999999999E-2</c:v>
                </c:pt>
                <c:pt idx="11">
                  <c:v>7.7787999999999996E-2</c:v>
                </c:pt>
                <c:pt idx="12">
                  <c:v>3.3023000000000004E-2</c:v>
                </c:pt>
                <c:pt idx="13">
                  <c:v>3.8209E-2</c:v>
                </c:pt>
                <c:pt idx="14">
                  <c:v>3.8050000000000028E-3</c:v>
                </c:pt>
                <c:pt idx="15">
                  <c:v>3.4124000000000008E-2</c:v>
                </c:pt>
                <c:pt idx="16">
                  <c:v>3.0826000000000006E-2</c:v>
                </c:pt>
                <c:pt idx="17">
                  <c:v>1.7850999999999999E-2</c:v>
                </c:pt>
                <c:pt idx="18">
                  <c:v>3.9073999999999998E-2</c:v>
                </c:pt>
                <c:pt idx="19">
                  <c:v>3.6243410000000004E-2</c:v>
                </c:pt>
                <c:pt idx="20">
                  <c:v>1.8149999999999999E-2</c:v>
                </c:pt>
                <c:pt idx="21">
                  <c:v>4.1879E-2</c:v>
                </c:pt>
                <c:pt idx="22">
                  <c:v>2.0345999999999996E-2</c:v>
                </c:pt>
                <c:pt idx="23">
                  <c:v>2.6565999999999999E-2</c:v>
                </c:pt>
                <c:pt idx="24">
                  <c:v>3.4391000000000005E-2</c:v>
                </c:pt>
                <c:pt idx="25">
                  <c:v>4.0563000000000002E-2</c:v>
                </c:pt>
                <c:pt idx="26">
                  <c:v>4.2568000000000002E-2</c:v>
                </c:pt>
                <c:pt idx="27">
                  <c:v>3.6681999999999999E-2</c:v>
                </c:pt>
                <c:pt idx="28">
                  <c:v>2.3587000000000004E-2</c:v>
                </c:pt>
                <c:pt idx="29">
                  <c:v>0.11147</c:v>
                </c:pt>
                <c:pt idx="30">
                  <c:v>5.4209999999999994E-2</c:v>
                </c:pt>
                <c:pt idx="31">
                  <c:v>4.3507500000000005E-2</c:v>
                </c:pt>
                <c:pt idx="32">
                  <c:v>5.7376875000000001E-2</c:v>
                </c:pt>
                <c:pt idx="33">
                  <c:v>3.8992499999999999E-2</c:v>
                </c:pt>
                <c:pt idx="34">
                  <c:v>4.7794375E-2</c:v>
                </c:pt>
                <c:pt idx="35">
                  <c:v>4.9589999999999995E-2</c:v>
                </c:pt>
                <c:pt idx="36">
                  <c:v>2.0599999999999959E-3</c:v>
                </c:pt>
                <c:pt idx="37">
                  <c:v>5.4030000000000002E-2</c:v>
                </c:pt>
                <c:pt idx="38">
                  <c:v>7.8969999999999999E-2</c:v>
                </c:pt>
                <c:pt idx="39">
                  <c:v>4.6585999999999995E-2</c:v>
                </c:pt>
                <c:pt idx="40">
                  <c:v>4.8839000000000007E-2</c:v>
                </c:pt>
                <c:pt idx="41">
                  <c:v>5.9810999999999996E-2</c:v>
                </c:pt>
                <c:pt idx="42">
                  <c:v>5.6646000000000002E-2</c:v>
                </c:pt>
                <c:pt idx="43">
                  <c:v>5.4467000000000002E-2</c:v>
                </c:pt>
                <c:pt idx="44">
                  <c:v>4.3449000000000002E-2</c:v>
                </c:pt>
                <c:pt idx="45">
                  <c:v>5.3248999999999991E-2</c:v>
                </c:pt>
                <c:pt idx="46">
                  <c:v>2.9920000000000009E-2</c:v>
                </c:pt>
                <c:pt idx="47">
                  <c:v>4.1377000000000004E-2</c:v>
                </c:pt>
                <c:pt idx="48">
                  <c:v>2.8407000000000005E-2</c:v>
                </c:pt>
                <c:pt idx="49">
                  <c:v>2.6282999999999994E-2</c:v>
                </c:pt>
                <c:pt idx="50">
                  <c:v>2.4251000000000005E-2</c:v>
                </c:pt>
                <c:pt idx="51">
                  <c:v>1.6122000000000004E-2</c:v>
                </c:pt>
                <c:pt idx="52">
                  <c:v>2.1221E-2</c:v>
                </c:pt>
                <c:pt idx="53">
                  <c:v>3.6950999999999998E-2</c:v>
                </c:pt>
                <c:pt idx="54">
                  <c:v>3.0892999999999997E-2</c:v>
                </c:pt>
                <c:pt idx="55">
                  <c:v>3.3410999999999996E-2</c:v>
                </c:pt>
                <c:pt idx="56">
                  <c:v>3.6282999999999996E-2</c:v>
                </c:pt>
                <c:pt idx="57">
                  <c:v>0.13212874999999999</c:v>
                </c:pt>
                <c:pt idx="58">
                  <c:v>9.2157500000000003E-2</c:v>
                </c:pt>
                <c:pt idx="59">
                  <c:v>1.3320000000000002E-2</c:v>
                </c:pt>
                <c:pt idx="60">
                  <c:v>3.6169999999999994E-2</c:v>
                </c:pt>
                <c:pt idx="61">
                  <c:v>7.3540000000000008E-2</c:v>
                </c:pt>
                <c:pt idx="62">
                  <c:v>6.4809999999999993E-2</c:v>
                </c:pt>
                <c:pt idx="63">
                  <c:v>4.2846999999999996E-2</c:v>
                </c:pt>
                <c:pt idx="64">
                  <c:v>9.8684000000000008E-2</c:v>
                </c:pt>
                <c:pt idx="65">
                  <c:v>4.4660000000000005E-2</c:v>
                </c:pt>
                <c:pt idx="66">
                  <c:v>2.1102999999999997E-2</c:v>
                </c:pt>
                <c:pt idx="67">
                  <c:v>1.0585999999999998E-2</c:v>
                </c:pt>
                <c:pt idx="68">
                  <c:v>2.8340780000000003E-2</c:v>
                </c:pt>
                <c:pt idx="69">
                  <c:v>0.14332297999999999</c:v>
                </c:pt>
                <c:pt idx="70">
                  <c:v>9.3443999999999999E-2</c:v>
                </c:pt>
                <c:pt idx="71">
                  <c:v>3.6251000000000005E-2</c:v>
                </c:pt>
                <c:pt idx="72">
                  <c:v>5.4190999999999996E-2</c:v>
                </c:pt>
                <c:pt idx="73">
                  <c:v>1.2646999999999999E-2</c:v>
                </c:pt>
                <c:pt idx="74">
                  <c:v>1.625999999999999E-3</c:v>
                </c:pt>
                <c:pt idx="75">
                  <c:v>1.5800999999999996E-2</c:v>
                </c:pt>
                <c:pt idx="76">
                  <c:v>2.383E-2</c:v>
                </c:pt>
                <c:pt idx="77">
                  <c:v>8.6726874999999995E-2</c:v>
                </c:pt>
                <c:pt idx="78">
                  <c:v>5.0860000000000009E-2</c:v>
                </c:pt>
                <c:pt idx="79">
                  <c:v>6.9440000000000002E-2</c:v>
                </c:pt>
                <c:pt idx="80">
                  <c:v>3.8940000000000002E-2</c:v>
                </c:pt>
                <c:pt idx="81">
                  <c:v>6.4736000000000002E-2</c:v>
                </c:pt>
                <c:pt idx="82">
                  <c:v>3.9046999999999998E-2</c:v>
                </c:pt>
                <c:pt idx="83">
                  <c:v>5.0337E-2</c:v>
                </c:pt>
                <c:pt idx="84">
                  <c:v>6.4243000000000008E-2</c:v>
                </c:pt>
                <c:pt idx="85">
                  <c:v>6.0666999999999999E-2</c:v>
                </c:pt>
                <c:pt idx="86">
                  <c:v>3.5435000000000001E-2</c:v>
                </c:pt>
                <c:pt idx="87">
                  <c:v>1.7188320000000003E-2</c:v>
                </c:pt>
                <c:pt idx="88">
                  <c:v>2.6346999999999999E-2</c:v>
                </c:pt>
                <c:pt idx="89">
                  <c:v>3.5595999999999996E-2</c:v>
                </c:pt>
                <c:pt idx="90">
                  <c:v>2.2681999999999994E-2</c:v>
                </c:pt>
                <c:pt idx="91">
                  <c:v>1.9341000000000001E-2</c:v>
                </c:pt>
                <c:pt idx="92">
                  <c:v>4.6168999999999995E-2</c:v>
                </c:pt>
                <c:pt idx="93">
                  <c:v>1.7354999999999999E-2</c:v>
                </c:pt>
                <c:pt idx="94">
                  <c:v>6.5038750000000006E-2</c:v>
                </c:pt>
                <c:pt idx="95">
                  <c:v>7.6029999999999986E-2</c:v>
                </c:pt>
                <c:pt idx="96">
                  <c:v>3.0139999999999997E-2</c:v>
                </c:pt>
                <c:pt idx="97">
                  <c:v>2.81E-2</c:v>
                </c:pt>
                <c:pt idx="98">
                  <c:v>1.5740000000000001E-2</c:v>
                </c:pt>
                <c:pt idx="99">
                  <c:v>4.0440000000000004E-2</c:v>
                </c:pt>
                <c:pt idx="100">
                  <c:v>8.0640000000000017E-3</c:v>
                </c:pt>
                <c:pt idx="101">
                  <c:v>3.9826E-2</c:v>
                </c:pt>
                <c:pt idx="102">
                  <c:v>7.6299999999999993E-2</c:v>
                </c:pt>
                <c:pt idx="103">
                  <c:v>4.3243999999999998E-2</c:v>
                </c:pt>
                <c:pt idx="104">
                  <c:v>2.4176129999999997E-2</c:v>
                </c:pt>
                <c:pt idx="105">
                  <c:v>3.1467100000000005E-2</c:v>
                </c:pt>
                <c:pt idx="106">
                  <c:v>4.8669000000000004E-2</c:v>
                </c:pt>
                <c:pt idx="107">
                  <c:v>7.2804000000000008E-2</c:v>
                </c:pt>
                <c:pt idx="108">
                  <c:v>5.0030000000000005E-2</c:v>
                </c:pt>
                <c:pt idx="109">
                  <c:v>5.1763000000000003E-2</c:v>
                </c:pt>
                <c:pt idx="110">
                  <c:v>1.4318000000000001E-2</c:v>
                </c:pt>
                <c:pt idx="111">
                  <c:v>0.15578</c:v>
                </c:pt>
                <c:pt idx="112">
                  <c:v>7.3581875000000005E-2</c:v>
                </c:pt>
                <c:pt idx="113">
                  <c:v>6.2449999999999999E-2</c:v>
                </c:pt>
                <c:pt idx="114">
                  <c:v>0.12007</c:v>
                </c:pt>
                <c:pt idx="115">
                  <c:v>1.7569999999999999E-2</c:v>
                </c:pt>
                <c:pt idx="116">
                  <c:v>1.1754999999999998E-2</c:v>
                </c:pt>
                <c:pt idx="117">
                  <c:v>7.3834999999999998E-2</c:v>
                </c:pt>
                <c:pt idx="118">
                  <c:v>4.0848999999999996E-2</c:v>
                </c:pt>
                <c:pt idx="119">
                  <c:v>6.581E-3</c:v>
                </c:pt>
                <c:pt idx="120">
                  <c:v>4.1180000000000001E-2</c:v>
                </c:pt>
                <c:pt idx="121">
                  <c:v>9.2949999999999977E-3</c:v>
                </c:pt>
                <c:pt idx="122">
                  <c:v>2.1278999999999999E-2</c:v>
                </c:pt>
              </c:numCache>
            </c:numRef>
          </c:xVal>
          <c:yVal>
            <c:numRef>
              <c:f>site!$O$2:$O$132</c:f>
              <c:numCache>
                <c:formatCode>General</c:formatCode>
                <c:ptCount val="123"/>
                <c:pt idx="0">
                  <c:v>2.6778210551802812E-2</c:v>
                </c:pt>
                <c:pt idx="1">
                  <c:v>2.8445383833385185E-2</c:v>
                </c:pt>
                <c:pt idx="2">
                  <c:v>2.2254118980141117E-2</c:v>
                </c:pt>
                <c:pt idx="3">
                  <c:v>4.8472123501495268E-2</c:v>
                </c:pt>
                <c:pt idx="4">
                  <c:v>3.3503215039138098E-2</c:v>
                </c:pt>
                <c:pt idx="5">
                  <c:v>3.7044155698515324E-2</c:v>
                </c:pt>
                <c:pt idx="6">
                  <c:v>2.6397231970978291E-2</c:v>
                </c:pt>
                <c:pt idx="7">
                  <c:v>1.897953389704388E-2</c:v>
                </c:pt>
                <c:pt idx="8">
                  <c:v>8.6725548005738784E-2</c:v>
                </c:pt>
                <c:pt idx="9">
                  <c:v>2.4823152349491923E-2</c:v>
                </c:pt>
                <c:pt idx="10">
                  <c:v>3.2279292351868022E-2</c:v>
                </c:pt>
                <c:pt idx="11">
                  <c:v>3.5222943361615584E-2</c:v>
                </c:pt>
                <c:pt idx="12">
                  <c:v>2.72016873421825E-2</c:v>
                </c:pt>
                <c:pt idx="13">
                  <c:v>2.3044769009767745E-2</c:v>
                </c:pt>
                <c:pt idx="14">
                  <c:v>3.5682218925025301E-2</c:v>
                </c:pt>
                <c:pt idx="15">
                  <c:v>5.991032965652577E-2</c:v>
                </c:pt>
                <c:pt idx="16">
                  <c:v>5.4434234276260471E-2</c:v>
                </c:pt>
                <c:pt idx="17">
                  <c:v>3.1420700297792134E-2</c:v>
                </c:pt>
                <c:pt idx="18">
                  <c:v>4.3203323060950677E-2</c:v>
                </c:pt>
                <c:pt idx="19">
                  <c:v>6.5744258823896857E-3</c:v>
                </c:pt>
                <c:pt idx="20">
                  <c:v>1.143865716712115E-2</c:v>
                </c:pt>
                <c:pt idx="21">
                  <c:v>1.1419642914331982E-2</c:v>
                </c:pt>
                <c:pt idx="22">
                  <c:v>2.0881225338299336E-2</c:v>
                </c:pt>
                <c:pt idx="23">
                  <c:v>1.9161461411381944E-2</c:v>
                </c:pt>
                <c:pt idx="24">
                  <c:v>2.4771568642940438E-2</c:v>
                </c:pt>
                <c:pt idx="25">
                  <c:v>2.6285468154824677E-2</c:v>
                </c:pt>
                <c:pt idx="26">
                  <c:v>2.511275287423111E-2</c:v>
                </c:pt>
                <c:pt idx="27">
                  <c:v>2.1371111881658741E-2</c:v>
                </c:pt>
                <c:pt idx="28">
                  <c:v>1.6513677837234359E-2</c:v>
                </c:pt>
                <c:pt idx="29">
                  <c:v>8.0337766996880583E-2</c:v>
                </c:pt>
                <c:pt idx="30">
                  <c:v>2.7901830058079117E-2</c:v>
                </c:pt>
                <c:pt idx="31">
                  <c:v>3.9496774310068733E-2</c:v>
                </c:pt>
                <c:pt idx="32">
                  <c:v>3.8568267625663011E-2</c:v>
                </c:pt>
                <c:pt idx="33">
                  <c:v>3.2702705920153861E-2</c:v>
                </c:pt>
                <c:pt idx="34">
                  <c:v>2.7585527142946466E-2</c:v>
                </c:pt>
                <c:pt idx="35">
                  <c:v>2.9434599301593048E-2</c:v>
                </c:pt>
                <c:pt idx="36">
                  <c:v>2.6581963991926298E-2</c:v>
                </c:pt>
                <c:pt idx="37">
                  <c:v>6.9918406504846403E-2</c:v>
                </c:pt>
                <c:pt idx="38">
                  <c:v>7.5437888777353898E-2</c:v>
                </c:pt>
                <c:pt idx="39">
                  <c:v>4.5543786825266143E-2</c:v>
                </c:pt>
                <c:pt idx="40">
                  <c:v>7.4933904128930501E-2</c:v>
                </c:pt>
                <c:pt idx="41">
                  <c:v>5.6247031431085344E-2</c:v>
                </c:pt>
                <c:pt idx="42">
                  <c:v>5.0255718322763945E-2</c:v>
                </c:pt>
                <c:pt idx="43">
                  <c:v>2.0590384511992008E-2</c:v>
                </c:pt>
                <c:pt idx="44">
                  <c:v>6.8810084736179375E-2</c:v>
                </c:pt>
                <c:pt idx="45">
                  <c:v>7.9028623811382065E-2</c:v>
                </c:pt>
                <c:pt idx="46">
                  <c:v>5.0756051546061345E-2</c:v>
                </c:pt>
                <c:pt idx="47">
                  <c:v>4.4973515638149719E-2</c:v>
                </c:pt>
                <c:pt idx="48">
                  <c:v>3.0066782385696274E-2</c:v>
                </c:pt>
                <c:pt idx="49">
                  <c:v>3.0549309677412192E-2</c:v>
                </c:pt>
                <c:pt idx="50">
                  <c:v>2.0941206867572674E-2</c:v>
                </c:pt>
                <c:pt idx="51">
                  <c:v>2.4704125418771684E-2</c:v>
                </c:pt>
                <c:pt idx="52">
                  <c:v>2.0630205258108155E-2</c:v>
                </c:pt>
                <c:pt idx="53">
                  <c:v>4.3494145849476494E-2</c:v>
                </c:pt>
                <c:pt idx="54">
                  <c:v>1.8083198232987777E-2</c:v>
                </c:pt>
                <c:pt idx="55">
                  <c:v>3.4856523488716061E-2</c:v>
                </c:pt>
                <c:pt idx="56">
                  <c:v>2.7075117808147788E-2</c:v>
                </c:pt>
                <c:pt idx="57">
                  <c:v>0.12946452344373829</c:v>
                </c:pt>
                <c:pt idx="58">
                  <c:v>0.10216930807433522</c:v>
                </c:pt>
                <c:pt idx="59">
                  <c:v>2.1703116340147949E-2</c:v>
                </c:pt>
                <c:pt idx="60">
                  <c:v>4.4063789326191177E-2</c:v>
                </c:pt>
                <c:pt idx="61">
                  <c:v>5.7450838904956336E-2</c:v>
                </c:pt>
                <c:pt idx="62">
                  <c:v>6.0821730811155543E-2</c:v>
                </c:pt>
                <c:pt idx="63">
                  <c:v>2.8835672919280991E-2</c:v>
                </c:pt>
                <c:pt idx="64">
                  <c:v>0.17637726983159749</c:v>
                </c:pt>
                <c:pt idx="65">
                  <c:v>5.1342534117580968E-2</c:v>
                </c:pt>
                <c:pt idx="66">
                  <c:v>1.7362971353541048E-2</c:v>
                </c:pt>
                <c:pt idx="67">
                  <c:v>1.876639829818337E-2</c:v>
                </c:pt>
                <c:pt idx="68">
                  <c:v>1.8583809767579697E-2</c:v>
                </c:pt>
                <c:pt idx="69">
                  <c:v>0.11312123752364267</c:v>
                </c:pt>
                <c:pt idx="70">
                  <c:v>8.4829340576499768E-2</c:v>
                </c:pt>
                <c:pt idx="71">
                  <c:v>8.2074827524936181E-2</c:v>
                </c:pt>
                <c:pt idx="72">
                  <c:v>6.2483847335650468E-2</c:v>
                </c:pt>
                <c:pt idx="73">
                  <c:v>1.6709022308871412E-2</c:v>
                </c:pt>
                <c:pt idx="74">
                  <c:v>1.8215759710365848E-2</c:v>
                </c:pt>
                <c:pt idx="75">
                  <c:v>1.3670199684274794E-2</c:v>
                </c:pt>
                <c:pt idx="76">
                  <c:v>9.3060000257143109E-3</c:v>
                </c:pt>
                <c:pt idx="77">
                  <c:v>4.2097583173532516E-2</c:v>
                </c:pt>
                <c:pt idx="78">
                  <c:v>3.7005030371710379E-2</c:v>
                </c:pt>
                <c:pt idx="79">
                  <c:v>1.4409410774001808E-2</c:v>
                </c:pt>
                <c:pt idx="80">
                  <c:v>3.672908890126611E-2</c:v>
                </c:pt>
                <c:pt idx="81">
                  <c:v>7.9176611640193267E-2</c:v>
                </c:pt>
                <c:pt idx="82">
                  <c:v>2.9479535984071333E-2</c:v>
                </c:pt>
                <c:pt idx="83">
                  <c:v>3.5936045231873534E-2</c:v>
                </c:pt>
                <c:pt idx="84">
                  <c:v>5.6880867939132981E-2</c:v>
                </c:pt>
                <c:pt idx="85">
                  <c:v>4.673571449870513E-2</c:v>
                </c:pt>
                <c:pt idx="86">
                  <c:v>6.6784718714427607E-2</c:v>
                </c:pt>
                <c:pt idx="87">
                  <c:v>8.6902457114105703E-3</c:v>
                </c:pt>
                <c:pt idx="88">
                  <c:v>5.9558333007212645E-3</c:v>
                </c:pt>
                <c:pt idx="89">
                  <c:v>1.0627464512465396E-2</c:v>
                </c:pt>
                <c:pt idx="90">
                  <c:v>1.4145853002638414E-2</c:v>
                </c:pt>
                <c:pt idx="91">
                  <c:v>2.3888680375660405E-2</c:v>
                </c:pt>
                <c:pt idx="92">
                  <c:v>2.110727417196883E-2</c:v>
                </c:pt>
                <c:pt idx="93">
                  <c:v>3.5198325935195354E-2</c:v>
                </c:pt>
                <c:pt idx="94">
                  <c:v>3.825978870062717E-2</c:v>
                </c:pt>
                <c:pt idx="95">
                  <c:v>6.2236022599241485E-2</c:v>
                </c:pt>
                <c:pt idx="96">
                  <c:v>3.141476213281743E-2</c:v>
                </c:pt>
                <c:pt idx="97">
                  <c:v>2.7923502273258412E-2</c:v>
                </c:pt>
                <c:pt idx="98">
                  <c:v>2.846618724789237E-2</c:v>
                </c:pt>
                <c:pt idx="99">
                  <c:v>5.4436244857064359E-2</c:v>
                </c:pt>
                <c:pt idx="100">
                  <c:v>2.7746720529051125E-2</c:v>
                </c:pt>
                <c:pt idx="101">
                  <c:v>5.0305980089004415E-2</c:v>
                </c:pt>
                <c:pt idx="102">
                  <c:v>0.12566572164968964</c:v>
                </c:pt>
                <c:pt idx="103">
                  <c:v>5.3626234487301819E-2</c:v>
                </c:pt>
                <c:pt idx="104">
                  <c:v>1.5129882359479591E-2</c:v>
                </c:pt>
                <c:pt idx="105">
                  <c:v>2.0539199355290461E-2</c:v>
                </c:pt>
                <c:pt idx="106">
                  <c:v>4.649743266400222E-2</c:v>
                </c:pt>
                <c:pt idx="107">
                  <c:v>7.4676047866981912E-2</c:v>
                </c:pt>
                <c:pt idx="108">
                  <c:v>6.630863559846932E-2</c:v>
                </c:pt>
                <c:pt idx="109">
                  <c:v>5.710359418946867E-2</c:v>
                </c:pt>
                <c:pt idx="110">
                  <c:v>2.9352777570116159E-2</c:v>
                </c:pt>
                <c:pt idx="111">
                  <c:v>9.3147760279479713E-2</c:v>
                </c:pt>
                <c:pt idx="112">
                  <c:v>2.559668417164648E-2</c:v>
                </c:pt>
                <c:pt idx="113">
                  <c:v>6.0996975728587394E-2</c:v>
                </c:pt>
                <c:pt idx="114">
                  <c:v>0.10627158292462455</c:v>
                </c:pt>
                <c:pt idx="115">
                  <c:v>3.9131376942010292E-2</c:v>
                </c:pt>
                <c:pt idx="116">
                  <c:v>3.4873533783112795E-2</c:v>
                </c:pt>
                <c:pt idx="117">
                  <c:v>7.0595096335901567E-2</c:v>
                </c:pt>
                <c:pt idx="118">
                  <c:v>4.3063603242967707E-2</c:v>
                </c:pt>
                <c:pt idx="119">
                  <c:v>2.4260109613069337E-2</c:v>
                </c:pt>
                <c:pt idx="120">
                  <c:v>5.0221452279407636E-2</c:v>
                </c:pt>
                <c:pt idx="121">
                  <c:v>2.784684297602491E-2</c:v>
                </c:pt>
                <c:pt idx="122">
                  <c:v>1.2288516357029771E-2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D2-4BE2-9EE1-3BAC7E1F6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619936"/>
        <c:axId val="1797622848"/>
      </c:scatterChart>
      <c:valAx>
        <c:axId val="1797619936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97622848"/>
        <c:crosses val="autoZero"/>
        <c:crossBetween val="midCat"/>
        <c:majorUnit val="5.000000000000001E-2"/>
      </c:valAx>
      <c:valAx>
        <c:axId val="1797622848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97619936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rgbClr val="FFFFFF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plotSurface>
          <cx:spPr>
            <a:noFill/>
            <a:ln w="19050">
              <a:solidFill>
                <a:schemeClr val="tx1"/>
              </a:solidFill>
            </a:ln>
            <a:effectLst>
              <a:outerShdw blurRad="12700" dist="50800" dir="5400000" algn="ctr" rotWithShape="0">
                <a:schemeClr val="bg1">
                  <a:alpha val="0"/>
                </a:schemeClr>
              </a:outerShdw>
            </a:effectLst>
          </cx:spPr>
        </cx:plotSurface>
        <cx:series layoutId="boxWhisker" uniqueId="{DA59F83D-7E93-4617-BEE0-2B0B7F27EA21}">
          <cx:tx>
            <cx:txData>
              <cx:f>_xlchart.v1.2</cx:f>
              <cx:v>tss</cx:v>
            </cx:txData>
          </cx:tx>
          <cx:spPr>
            <a:solidFill>
              <a:schemeClr val="bg1">
                <a:lumMod val="75000"/>
              </a:schemeClr>
            </a:solidFill>
            <a:ln w="19050"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majorTickMarks type="in"/>
        <cx:minorTickMarks type="in"/>
        <cx:tickLabels/>
        <cx:spPr>
          <a:ln w="12700"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Arial Nova" panose="020B0504020202020204" pitchFamily="34" charset="0"/>
                <a:ea typeface="Arial Nova" panose="020B0504020202020204" pitchFamily="34" charset="0"/>
                <a:cs typeface="Arial Nova" panose="020B0504020202020204" pitchFamily="34" charset="0"/>
              </a:defRPr>
            </a:pPr>
            <a:endParaRPr lang="en-US">
              <a:solidFill>
                <a:sysClr val="windowText" lastClr="000000"/>
              </a:solidFill>
              <a:latin typeface="Arial Nova" panose="020B0504020202020204" pitchFamily="34" charset="0"/>
            </a:endParaRPr>
          </a:p>
        </cx:txPr>
      </cx:axis>
      <cx:axis id="1">
        <cx:valScaling max="1"/>
        <cx:majorTickMarks type="in"/>
        <cx:minorTickMarks type="in"/>
        <cx:tickLabels/>
        <cx:spPr>
          <a:ln w="12700"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Arial Nova" panose="020B0504020202020204" pitchFamily="34" charset="0"/>
                <a:ea typeface="Arial Nova" panose="020B0504020202020204" pitchFamily="34" charset="0"/>
                <a:cs typeface="Arial Nova" panose="020B0504020202020204" pitchFamily="34" charset="0"/>
              </a:defRPr>
            </a:pPr>
            <a:endParaRPr lang="en-US">
              <a:solidFill>
                <a:sysClr val="windowText" lastClr="000000"/>
              </a:solidFill>
              <a:latin typeface="Arial Nova" panose="020B05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163830</xdr:rowOff>
    </xdr:from>
    <xdr:to>
      <xdr:col>4</xdr:col>
      <xdr:colOff>182880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09E19B-BB48-46FB-AC78-A6168A550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163830</xdr:rowOff>
    </xdr:from>
    <xdr:to>
      <xdr:col>9</xdr:col>
      <xdr:colOff>182880</xdr:colOff>
      <xdr:row>32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0F9ED5-96FF-4309-8A25-CE33CDAE2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16</xdr:row>
      <xdr:rowOff>163830</xdr:rowOff>
    </xdr:from>
    <xdr:to>
      <xdr:col>14</xdr:col>
      <xdr:colOff>182880</xdr:colOff>
      <xdr:row>32</xdr:row>
      <xdr:rowOff>102870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1E8A34E-0C75-443C-A7EB-594E1746C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152400</xdr:rowOff>
    </xdr:from>
    <xdr:to>
      <xdr:col>5</xdr:col>
      <xdr:colOff>358140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DCC76-572B-46B7-B4FA-A7B54BD79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22860</xdr:rowOff>
    </xdr:from>
    <xdr:to>
      <xdr:col>2</xdr:col>
      <xdr:colOff>487680</xdr:colOff>
      <xdr:row>46</xdr:row>
      <xdr:rowOff>60960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96DD32D2-B422-47EC-ACBF-F610CFF03552}"/>
            </a:ext>
          </a:extLst>
        </xdr:cNvPr>
        <xdr:cNvGrpSpPr/>
      </xdr:nvGrpSpPr>
      <xdr:grpSpPr>
        <a:xfrm>
          <a:off x="0" y="4229100"/>
          <a:ext cx="1828800" cy="3893820"/>
          <a:chOff x="0" y="4229100"/>
          <a:chExt cx="1828800" cy="389382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1" name="Chart 20">
                <a:extLst>
                  <a:ext uri="{FF2B5EF4-FFF2-40B4-BE49-F238E27FC236}">
                    <a16:creationId xmlns:a16="http://schemas.microsoft.com/office/drawing/2014/main" id="{4C05AD16-2270-44BB-B422-B69681565221}"/>
                  </a:ext>
                </a:extLst>
              </xdr:cNvPr>
              <xdr:cNvGraphicFramePr/>
            </xdr:nvGraphicFramePr>
            <xdr:xfrm>
              <a:off x="0" y="4465320"/>
              <a:ext cx="1828800" cy="36576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0" y="4465320"/>
                <a:ext cx="1828800" cy="36576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AE8314FB-7943-4DF1-9756-A77B9D4D5882}"/>
              </a:ext>
            </a:extLst>
          </xdr:cNvPr>
          <xdr:cNvSpPr txBox="1"/>
        </xdr:nvSpPr>
        <xdr:spPr>
          <a:xfrm>
            <a:off x="342900" y="4229100"/>
            <a:ext cx="1402080" cy="3404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600" b="1">
                <a:latin typeface="Arial Nova" panose="020B0504020202020204" pitchFamily="34" charset="0"/>
              </a:rPr>
              <a:t>OSS/TSS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A2D4DF-8862-44C4-8CAB-94504F6ACDC6}" name="Table17" displayName="Table17" ref="A1:Q132" totalsRowShown="0">
  <autoFilter ref="A1:Q132" xr:uid="{F7107A6A-69A1-4304-9090-36C197BF552C}">
    <filterColumn colId="3">
      <filters>
        <filter val="#DIV/0!"/>
        <filter val="0"/>
        <filter val="0.037878788"/>
        <filter val="0.061538462"/>
        <filter val="0.062015504"/>
        <filter val="0.065645514"/>
        <filter val="0.065789474"/>
        <filter val="0.069124424"/>
        <filter val="0.072992701"/>
        <filter val="0.073529412"/>
        <filter val="0.075471698"/>
        <filter val="0.077120823"/>
        <filter val="0.08097166"/>
        <filter val="0.083333333"/>
        <filter val="0.090909091"/>
        <filter val="0.091743119"/>
        <filter val="0.095238095"/>
        <filter val="0.104166667"/>
        <filter val="0.105263158"/>
        <filter val="0.107526882"/>
        <filter val="0.111111111"/>
        <filter val="0.125"/>
        <filter val="0.131578947"/>
        <filter val="0.142857143"/>
        <filter val="0.166666667"/>
        <filter val="0.185185185"/>
        <filter val="0.190163934"/>
        <filter val="0.2"/>
        <filter val="0.216216216"/>
        <filter val="0.219512195"/>
        <filter val="0.25"/>
        <filter val="0.255319149"/>
        <filter val="0.266666667"/>
        <filter val="0.275862069"/>
        <filter val="0.285714286"/>
        <filter val="0.333333333"/>
        <filter val="0.357142857"/>
        <filter val="0.4"/>
        <filter val="0.428571429"/>
        <filter val="0.434782609"/>
        <filter val="0.444444444"/>
        <filter val="0.5"/>
        <filter val="0.588235294"/>
        <filter val="0.6"/>
        <filter val="0.625"/>
        <filter val="0.657894737"/>
        <filter val="0.666666667"/>
        <filter val="0.714285714"/>
        <filter val="0.777777778"/>
        <filter val="0.8"/>
        <filter val="0.827586207"/>
        <filter val="0.833333333"/>
        <filter val="0.857142857"/>
        <filter val="0.859649123"/>
        <filter val="0.87755102"/>
        <filter val="0.878787879"/>
        <filter val="0.893333333"/>
        <filter val="0.922077922"/>
        <filter val="0.932038835"/>
        <filter val="0.936073059"/>
        <filter val="0.950980392"/>
        <filter val="0.976744186"/>
        <filter val="1"/>
      </filters>
    </filterColumn>
  </autoFilter>
  <tableColumns count="17">
    <tableColumn id="1" xr3:uid="{4CC2411F-07FB-47C7-9950-2FA798FD77FC}" name="site"/>
    <tableColumn id="2" xr3:uid="{B49CBA73-BA8E-43E9-811C-8745B65BC984}" name="site.plot"/>
    <tableColumn id="3" xr3:uid="{391DF945-4523-4E9A-9EB4-79CE65BB263E}" name="nrsp/tss"/>
    <tableColumn id="16" xr3:uid="{E5D2E1B8-6F77-4511-9567-F867BA36C0FF}" name="frac_iss" dataDxfId="18">
      <calculatedColumnFormula>Table17[[#This Row],[iss]]/Table17[[#This Row],[tss]]</calculatedColumnFormula>
    </tableColumn>
    <tableColumn id="4" xr3:uid="{5FD0415A-512F-48DC-980F-964973B04B59}" name="tss"/>
    <tableColumn id="5" xr3:uid="{3F71E585-4ABC-4DA7-915C-07057DEC033C}" name="iss"/>
    <tableColumn id="6" xr3:uid="{96379D02-7608-4074-96C9-5AD18BBAA6E6}" name="oss"/>
    <tableColumn id="7" xr3:uid="{85B5D825-A06A-4FA2-B442-43EFD3FAECC9}" name="srp"/>
    <tableColumn id="8" xr3:uid="{52A9CD30-0E68-416D-8149-A7046262F51C}" name="tp"/>
    <tableColumn id="9" xr3:uid="{A75372AE-4C83-4CE0-A482-A38C0A433A31}" name="nsrp"/>
    <tableColumn id="10" xr3:uid="{9E3B2F87-86C9-445A-833E-77F81FDC7F79}" name="frac_srp"/>
    <tableColumn id="11" xr3:uid="{0CEF873C-0471-4233-B026-605EA45D013C}" name="rop"/>
    <tableColumn id="12" xr3:uid="{7E7D99F4-1AFF-4E17-8F9A-128E1B620129}" name="lop"/>
    <tableColumn id="13" xr3:uid="{F3C28EA8-D6DC-402E-9FD3-89B92883DB15}" name="pip"/>
    <tableColumn id="14" xr3:uid="{FF3A641B-948D-4986-ACB0-9C4CF296D980}" name="nsrp_pred"/>
    <tableColumn id="15" xr3:uid="{F1BC7014-EB0A-4655-BC2B-25E65AEEB6A1}" name="sqresid"/>
    <tableColumn id="17" xr3:uid="{1A56D89D-BED3-4775-B5F6-DC0D31C01417}" name="mean_resid" dataDxfId="17">
      <calculatedColumnFormula>(Table17[[#This Row],[nsrp]]-INDEX(Table59[mean_nsrp],MATCH(Table17[[#This Row],[site]],Table59[site],0)))^2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C97F6D-0123-43EB-909F-811F3C363074}" name="Table38" displayName="Table38" ref="T12:X18" totalsRowShown="0">
  <autoFilter ref="T12:X18" xr:uid="{77C2F13C-26CE-49B5-A02E-056648A1EF78}"/>
  <tableColumns count="5">
    <tableColumn id="1" xr3:uid="{5D8A0965-D689-4390-863F-28877B1AA5AF}" name="site.plot"/>
    <tableColumn id="2" xr3:uid="{A1DDCC0B-1097-4146-8DF6-5D2448ABE007}" name="k_OSS2ROP"/>
    <tableColumn id="3" xr3:uid="{23BAE455-0753-4F08-8090-D0BBEA607C18}" name="k_SRP2LOP"/>
    <tableColumn id="4" xr3:uid="{6F35F2EE-6AC9-4A91-B368-E6C6E4BA8D68}" name="k_ISS2PIP"/>
    <tableColumn id="5" xr3:uid="{DE086794-4670-40D2-93AB-F7EC650FE5CF}" name="sqresid">
      <calculatedColumnFormula>SUMIF(Table17[site.plot],Table38[[#This Row],[site.plot]],Table17[sqresid])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8924D9-E9CF-4416-B18A-0C55D08054BF}" name="Table59" displayName="Table59" ref="T21:AK24" totalsRowShown="0" headerRowDxfId="16">
  <autoFilter ref="T21:AK24" xr:uid="{B8296CD8-BDFF-42C0-A1B3-64A6CD74ACCD}"/>
  <tableColumns count="18">
    <tableColumn id="1" xr3:uid="{4C1EAAD2-33DB-4BDC-9F89-085A43F111E1}" name="site"/>
    <tableColumn id="12" xr3:uid="{5A117951-5747-41D2-885C-E05106122F51}" name="n" dataDxfId="15">
      <calculatedColumnFormula>COUNTIF(Table17[site],Table59[[#This Row],[site]])</calculatedColumnFormula>
    </tableColumn>
    <tableColumn id="2" xr3:uid="{6DA25116-E36D-4502-A137-7755FBA62293}" name="k_OSS2ROP"/>
    <tableColumn id="3" xr3:uid="{CBAD2819-C0AC-4B7B-8918-3173AE3F9A8F}" name="k_SRP2PIP"/>
    <tableColumn id="4" xr3:uid="{DDDFE2DC-3B5F-44BA-AA0F-8DB8C66022BA}" name="k_ISS2PIP"/>
    <tableColumn id="5" xr3:uid="{2ADC82B6-6754-4476-84F0-96B8ACAA098F}" name="sse" dataDxfId="14">
      <calculatedColumnFormula>SUMIF(Table17[site],Table59[[#This Row],[site]],Table17[sqresid])</calculatedColumnFormula>
    </tableColumn>
    <tableColumn id="18" xr3:uid="{A1D2AA94-DE1B-4CA4-8372-877A614AC436}" name="sse/n" dataDxfId="13">
      <calculatedColumnFormula>Table59[[#This Row],[sse]]/COUNTIF(Table17[site],Table59[[#This Row],[site]])</calculatedColumnFormula>
    </tableColumn>
    <tableColumn id="17" xr3:uid="{380000C3-400E-4472-9CC8-2D8326E4EFD6}" name="mean_nsrp" dataDxfId="12">
      <calculatedColumnFormula>AVERAGEIF(Table17[site],Table59[[#This Row],[site]],Table17[nsrp])</calculatedColumnFormula>
    </tableColumn>
    <tableColumn id="16" xr3:uid="{7053E9CF-E220-4205-BD3D-CE26C71AE292}" name="sst" dataDxfId="11">
      <calculatedColumnFormula>SUMIF(Table17[site],Table59[[#This Row],[site]],Table17[mean_resid])</calculatedColumnFormula>
    </tableColumn>
    <tableColumn id="15" xr3:uid="{243F13F3-9B5A-418D-B103-21B16118F6CA}" name="r2" dataDxfId="10">
      <calculatedColumnFormula>1-Table59[[#This Row],[sse]]/Table59[[#This Row],[sst]]</calculatedColumnFormula>
    </tableColumn>
    <tableColumn id="6" xr3:uid="{864700AE-45C4-480B-8F1E-5C3826B25E87}" name="k_TSS" dataDxfId="9">
      <calculatedColumnFormula array="1">MEDIAN(IF(Table17[site]=Table59[[#This Row],[site]],Table17[tss]))</calculatedColumnFormula>
    </tableColumn>
    <tableColumn id="7" xr3:uid="{535CC094-0B20-4B48-8C96-A9B3D87E5B7C}" name="k_TP" dataDxfId="8">
      <calculatedColumnFormula array="1">MEDIAN(IF(Table17[site]=Table59[[#This Row],[site]],Table17[tp]))</calculatedColumnFormula>
    </tableColumn>
    <tableColumn id="8" xr3:uid="{499EE240-F067-4B5B-903A-BAEA6F8D61C1}" name="k_f_ISS" dataDxfId="7">
      <calculatedColumnFormula array="1">MEDIAN(IF(Table17[site]=Table59[[#This Row],[site]],Table17[frac_iss]))</calculatedColumnFormula>
    </tableColumn>
    <tableColumn id="9" xr3:uid="{97E5F624-C60E-46F2-979C-41FEE840A957}" name="k_f_SRP" dataDxfId="6">
      <calculatedColumnFormula array="1">MEDIAN(IF(Table17[site]=Table59[[#This Row],[site]],Table17[frac_srp]))</calculatedColumnFormula>
    </tableColumn>
    <tableColumn id="10" xr3:uid="{C36C815C-B5FD-425A-AA48-6F34D0CCF805}" name="k_TSS2" dataDxfId="5">
      <calculatedColumnFormula array="1">STDEV(IF(Table17[site]=Table59[[#This Row],[site]],Table17[tss]))</calculatedColumnFormula>
    </tableColumn>
    <tableColumn id="11" xr3:uid="{B99AA06C-BE34-49BD-93C6-AA994F0C8BA3}" name="k_TP3" dataDxfId="4"/>
    <tableColumn id="13" xr3:uid="{90FF3FBD-45C5-4DFA-A6FC-32FE9E3F9829}" name="k_f_ISS2" dataDxfId="3"/>
    <tableColumn id="14" xr3:uid="{EE1CE25E-BD2F-4E20-A8A9-4A847AE8826D}" name="k_f_SRP3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07A6A-69A1-4304-9090-36C197BF552C}" name="Table1" displayName="Table1" ref="A1:O150" totalsRowShown="0">
  <autoFilter ref="A1:O150" xr:uid="{F7107A6A-69A1-4304-9090-36C197BF552C}">
    <filterColumn colId="1">
      <filters blank="1">
        <filter val="LC.IN E"/>
        <filter val="LC.IN N"/>
        <filter val="OCD.BR"/>
        <filter val="OCD.DP"/>
        <filter val="OCSP.BR"/>
        <filter val="OCSP.DS"/>
      </filters>
    </filterColumn>
  </autoFilter>
  <tableColumns count="15">
    <tableColumn id="1" xr3:uid="{6D978EC5-EF1C-4B34-AA81-4655FC96D552}" name="site"/>
    <tableColumn id="2" xr3:uid="{A5B43575-4FA4-4A91-BBE3-EE6027D6B4FF}" name="site.plot"/>
    <tableColumn id="3" xr3:uid="{4030A025-A864-4CFA-B3E1-8D2E880BA3DF}" name="nrsp/tss"/>
    <tableColumn id="4" xr3:uid="{14179065-2261-4160-B3B6-9C059C3B0209}" name="tss"/>
    <tableColumn id="5" xr3:uid="{24DF538C-40B7-4FC7-BA73-086E58F2FFDB}" name="iss"/>
    <tableColumn id="6" xr3:uid="{1A74F34D-4AE8-4E04-883D-40674544DC12}" name="oss"/>
    <tableColumn id="7" xr3:uid="{3A6C4B50-FC24-48CA-8413-0E1DF06FD69C}" name="srp"/>
    <tableColumn id="8" xr3:uid="{6223C9AD-BA25-4BB5-9B96-4424210129A5}" name="tp"/>
    <tableColumn id="9" xr3:uid="{15B0EB38-66E0-4FF9-B1F3-005710D0B5D0}" name="nsrp"/>
    <tableColumn id="10" xr3:uid="{9CAC4983-1A86-4A3A-B048-B00E2C44E74E}" name="frac_srp"/>
    <tableColumn id="11" xr3:uid="{B61F622D-1311-495E-B44D-1D7217230EE7}" name="rop"/>
    <tableColumn id="12" xr3:uid="{D8E90715-73C4-46D9-8101-A703F8C18DA5}" name="lop"/>
    <tableColumn id="13" xr3:uid="{7AA3F49E-2BEB-440A-AFD7-9488FB24219D}" name="pip"/>
    <tableColumn id="14" xr3:uid="{E90DDD90-A611-4EC5-B57C-95BA4EFDF894}" name="nsrp_pred"/>
    <tableColumn id="15" xr3:uid="{FF728556-07F9-459F-A679-836DF172E209}" name="sqresid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C2F13C-26CE-49B5-A02E-056648A1EF78}" name="Table3" displayName="Table3" ref="S12:W18" totalsRowShown="0">
  <autoFilter ref="S12:W18" xr:uid="{77C2F13C-26CE-49B5-A02E-056648A1EF78}"/>
  <tableColumns count="5">
    <tableColumn id="1" xr3:uid="{874C0898-3D77-4617-913F-1C85BA27C05E}" name="site.plot"/>
    <tableColumn id="2" xr3:uid="{E9CB530A-51F8-4FA0-A754-88873506A42C}" name="k_OSS2ROP"/>
    <tableColumn id="3" xr3:uid="{C6154C5B-99E8-4258-B5F3-8CF92CFD6F61}" name="k_SRP2LOP"/>
    <tableColumn id="4" xr3:uid="{21CCB33F-A826-4C34-BF27-971700113C26}" name="k_ISS2PIP"/>
    <tableColumn id="5" xr3:uid="{891E3735-FFB6-4D76-B537-C1AD6EE5013E}" name="sqresid">
      <calculatedColumnFormula>SUMIF(Table1[site.plot],Table3[[#This Row],[site.plot]],Table1[sqresid])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296CD8-BDFF-42C0-A1B3-64A6CD74ACCD}" name="Table5" displayName="Table5" ref="S21:W24" totalsRowShown="0" headerRowDxfId="1">
  <autoFilter ref="S21:W24" xr:uid="{B8296CD8-BDFF-42C0-A1B3-64A6CD74ACCD}"/>
  <tableColumns count="5">
    <tableColumn id="1" xr3:uid="{97CAEF6E-1B8E-4EE2-96F3-33E0FECBFE72}" name="site"/>
    <tableColumn id="2" xr3:uid="{270F1A0F-562D-4E7B-ACC9-F7AF050A5179}" name="k_OSS2ROP"/>
    <tableColumn id="3" xr3:uid="{BEFED74B-54E9-42E5-AEFB-335DF9C00A1E}" name="k_SRP2LOP"/>
    <tableColumn id="4" xr3:uid="{3F5052FF-D500-4649-8EAB-E8F14011D599}" name="k_ISS2PIP"/>
    <tableColumn id="5" xr3:uid="{A5C87508-7C0B-4976-B2AC-F45CA10809DE}" name="sqresid" dataDxfId="0">
      <calculatedColumnFormula>SUMIF(Table1[site],Table5[[#This Row],[site]],Table1[sqresid])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475A-6AB0-441E-97C9-AAADC5679B6A}">
  <dimension ref="A1:BP17"/>
  <sheetViews>
    <sheetView workbookViewId="0">
      <selection activeCell="O25" sqref="O25"/>
    </sheetView>
  </sheetViews>
  <sheetFormatPr defaultRowHeight="13.8"/>
  <sheetData>
    <row r="1" spans="1:68">
      <c r="A1" t="s">
        <v>0</v>
      </c>
      <c r="B1" t="s">
        <v>51</v>
      </c>
      <c r="C1" t="s">
        <v>152</v>
      </c>
      <c r="D1" t="s">
        <v>65</v>
      </c>
      <c r="E1" t="s">
        <v>151</v>
      </c>
      <c r="F1" t="s">
        <v>63</v>
      </c>
      <c r="G1" t="s">
        <v>150</v>
      </c>
      <c r="I1" t="s">
        <v>149</v>
      </c>
      <c r="J1" t="s">
        <v>148</v>
      </c>
      <c r="K1" t="s">
        <v>147</v>
      </c>
      <c r="L1" t="s">
        <v>146</v>
      </c>
      <c r="M1" t="s">
        <v>145</v>
      </c>
      <c r="N1" t="s">
        <v>67</v>
      </c>
      <c r="O1" t="s">
        <v>69</v>
      </c>
      <c r="P1" t="s">
        <v>62</v>
      </c>
      <c r="Q1" t="s">
        <v>144</v>
      </c>
      <c r="R1" t="s">
        <v>73</v>
      </c>
      <c r="S1" t="s">
        <v>143</v>
      </c>
      <c r="T1" t="s">
        <v>64</v>
      </c>
      <c r="U1" t="s">
        <v>142</v>
      </c>
      <c r="V1" t="s">
        <v>141</v>
      </c>
      <c r="W1" t="s">
        <v>140</v>
      </c>
      <c r="X1" t="s">
        <v>139</v>
      </c>
      <c r="Y1" t="s">
        <v>138</v>
      </c>
      <c r="Z1" t="s">
        <v>137</v>
      </c>
      <c r="AA1" t="s">
        <v>68</v>
      </c>
      <c r="AB1" t="s">
        <v>70</v>
      </c>
      <c r="AC1" t="s">
        <v>136</v>
      </c>
      <c r="AD1" t="s">
        <v>135</v>
      </c>
      <c r="AE1" t="s">
        <v>134</v>
      </c>
      <c r="AF1" t="s">
        <v>133</v>
      </c>
      <c r="AG1" t="s">
        <v>132</v>
      </c>
      <c r="AH1" t="s">
        <v>131</v>
      </c>
      <c r="AI1" t="s">
        <v>130</v>
      </c>
      <c r="AJ1" t="s">
        <v>129</v>
      </c>
      <c r="AK1" t="s">
        <v>128</v>
      </c>
      <c r="AL1" t="s">
        <v>127</v>
      </c>
      <c r="AM1" t="s">
        <v>126</v>
      </c>
      <c r="AN1" t="s">
        <v>125</v>
      </c>
      <c r="AO1" t="s">
        <v>124</v>
      </c>
      <c r="AP1" t="s">
        <v>123</v>
      </c>
      <c r="AQ1" t="s">
        <v>122</v>
      </c>
      <c r="AR1" t="s">
        <v>121</v>
      </c>
      <c r="AS1" t="s">
        <v>120</v>
      </c>
      <c r="AT1" t="s">
        <v>119</v>
      </c>
      <c r="AU1" t="s">
        <v>118</v>
      </c>
      <c r="AV1" t="s">
        <v>117</v>
      </c>
      <c r="AW1" t="s">
        <v>116</v>
      </c>
      <c r="AX1" t="s">
        <v>115</v>
      </c>
      <c r="AY1" t="s">
        <v>114</v>
      </c>
      <c r="AZ1" t="s">
        <v>113</v>
      </c>
      <c r="BA1" t="s">
        <v>112</v>
      </c>
      <c r="BB1" t="s">
        <v>111</v>
      </c>
      <c r="BC1" t="s">
        <v>110</v>
      </c>
      <c r="BD1" t="s">
        <v>109</v>
      </c>
      <c r="BE1" t="s">
        <v>108</v>
      </c>
      <c r="BF1" t="s">
        <v>107</v>
      </c>
      <c r="BG1" t="s">
        <v>106</v>
      </c>
      <c r="BH1" t="s">
        <v>105</v>
      </c>
      <c r="BI1" t="s">
        <v>104</v>
      </c>
      <c r="BJ1" t="s">
        <v>103</v>
      </c>
      <c r="BK1" t="s">
        <v>102</v>
      </c>
      <c r="BL1" t="s">
        <v>101</v>
      </c>
      <c r="BM1" t="s">
        <v>100</v>
      </c>
      <c r="BN1" t="s">
        <v>159</v>
      </c>
      <c r="BO1" t="s">
        <v>99</v>
      </c>
      <c r="BP1" t="s">
        <v>98</v>
      </c>
    </row>
    <row r="2" spans="1:68">
      <c r="A2" t="s">
        <v>15</v>
      </c>
      <c r="B2">
        <v>0</v>
      </c>
      <c r="C2">
        <v>2</v>
      </c>
      <c r="D2">
        <v>60</v>
      </c>
      <c r="E2">
        <v>309.33333333333297</v>
      </c>
      <c r="F2">
        <v>1646.4169283978599</v>
      </c>
      <c r="G2">
        <v>227.925442576573</v>
      </c>
      <c r="H2">
        <f>AVERAGE(E2,G2)</f>
        <v>268.62938795495302</v>
      </c>
      <c r="I2">
        <v>0.895994832041352</v>
      </c>
      <c r="J2">
        <v>996.07055265971906</v>
      </c>
      <c r="K2">
        <v>1658.6422018348601</v>
      </c>
      <c r="L2">
        <v>1553.7443181818101</v>
      </c>
      <c r="M2" t="s">
        <v>97</v>
      </c>
      <c r="N2">
        <v>1.6399474197775701</v>
      </c>
      <c r="O2">
        <v>9.9518532110091706E-2</v>
      </c>
      <c r="P2">
        <v>0.41738138523166801</v>
      </c>
      <c r="Q2">
        <v>1</v>
      </c>
      <c r="R2">
        <v>43.266615305567797</v>
      </c>
      <c r="S2">
        <v>160.81459303599601</v>
      </c>
      <c r="T2">
        <v>353.26791937783901</v>
      </c>
      <c r="U2">
        <v>132.654344465892</v>
      </c>
      <c r="V2">
        <v>0</v>
      </c>
      <c r="W2">
        <v>0</v>
      </c>
      <c r="X2">
        <v>0</v>
      </c>
      <c r="Y2">
        <v>0</v>
      </c>
      <c r="Z2" t="s">
        <v>96</v>
      </c>
      <c r="AA2">
        <v>0.35187977169163398</v>
      </c>
      <c r="AB2">
        <v>7.1763834076369007E-2</v>
      </c>
      <c r="AC2">
        <v>0.227266188404258</v>
      </c>
      <c r="AD2">
        <v>313.14814814814798</v>
      </c>
      <c r="AE2">
        <v>52.9400045537338</v>
      </c>
      <c r="AF2">
        <v>260.20814359441403</v>
      </c>
      <c r="AG2">
        <v>0.96011566284355399</v>
      </c>
      <c r="AH2">
        <v>0.29151419982749899</v>
      </c>
      <c r="AI2">
        <v>0.66860146301605405</v>
      </c>
      <c r="AJ2">
        <v>0.485543753253392</v>
      </c>
      <c r="AK2">
        <v>0.46792719693304002</v>
      </c>
      <c r="AL2">
        <v>1.83287680439887E-2</v>
      </c>
      <c r="AM2">
        <v>49.325189860346804</v>
      </c>
      <c r="AN2">
        <v>57.631587384082003</v>
      </c>
      <c r="AO2">
        <v>0.61270851997391296</v>
      </c>
      <c r="AP2">
        <v>11.355107029665101</v>
      </c>
      <c r="AQ2">
        <f>31*(AN2/27+AM2/56)/BK2*1000</f>
        <v>3.3638635924673488</v>
      </c>
      <c r="AR2">
        <f t="shared" ref="AR2:AR16" si="0">(AP2/31)/(AN2/27+AM2/56)</f>
        <v>0.12147797442676464</v>
      </c>
      <c r="AS2">
        <v>3.5736639419499898</v>
      </c>
      <c r="AT2">
        <v>7.0999328807411499E-3</v>
      </c>
      <c r="AU2">
        <v>2.45696943549199</v>
      </c>
      <c r="AV2">
        <v>7.5826233541592698</v>
      </c>
      <c r="AW2">
        <v>9.7838860929794098</v>
      </c>
      <c r="AX2">
        <v>10.242289293707801</v>
      </c>
      <c r="AY2">
        <v>30.072868109219201</v>
      </c>
      <c r="AZ2">
        <v>17.824912647866999</v>
      </c>
      <c r="BA2">
        <v>12.247955461352101</v>
      </c>
      <c r="BB2">
        <v>29.2456800468496</v>
      </c>
      <c r="BC2">
        <v>167.96190947866501</v>
      </c>
      <c r="BD2">
        <v>156.89087513731599</v>
      </c>
      <c r="BE2">
        <v>637.99203544138595</v>
      </c>
      <c r="BF2">
        <v>427.23081895301402</v>
      </c>
      <c r="BG2">
        <v>29.698768957964301</v>
      </c>
      <c r="BH2">
        <v>12.651496062005499</v>
      </c>
      <c r="BI2">
        <v>17.047272895958798</v>
      </c>
      <c r="BJ2">
        <v>55.7812439802249</v>
      </c>
      <c r="BK2">
        <v>27787.873549551001</v>
      </c>
      <c r="BL2">
        <v>21126.300702537901</v>
      </c>
      <c r="BM2">
        <v>6661.5728470131598</v>
      </c>
      <c r="BN2">
        <f t="shared" ref="BN2:BN16" si="1">BM2/BK2</f>
        <v>0.23972949333939941</v>
      </c>
      <c r="BO2">
        <v>2598.0134103351302</v>
      </c>
      <c r="BP2">
        <v>10</v>
      </c>
    </row>
    <row r="3" spans="1:68">
      <c r="A3" t="s">
        <v>15</v>
      </c>
      <c r="B3">
        <v>1</v>
      </c>
      <c r="C3">
        <v>2</v>
      </c>
      <c r="D3">
        <v>261.33333333333297</v>
      </c>
      <c r="E3">
        <v>209.333333333333</v>
      </c>
      <c r="F3">
        <v>834.53302508209094</v>
      </c>
      <c r="G3">
        <v>452.74613591469301</v>
      </c>
      <c r="H3">
        <f t="shared" ref="H3:H16" si="2">AVERAGE(E3,G3)</f>
        <v>331.03973462401302</v>
      </c>
      <c r="I3">
        <v>0.89138576779027401</v>
      </c>
      <c r="J3">
        <v>925.37921348316002</v>
      </c>
      <c r="K3">
        <v>1179.9215686274499</v>
      </c>
      <c r="L3">
        <v>1654.8476190476099</v>
      </c>
      <c r="M3" t="s">
        <v>97</v>
      </c>
      <c r="N3">
        <v>0.77225951437618801</v>
      </c>
      <c r="O3">
        <v>0.30835283660130702</v>
      </c>
      <c r="P3">
        <v>0.49541680871619498</v>
      </c>
      <c r="Q3">
        <v>1</v>
      </c>
      <c r="R3">
        <v>226.356650738018</v>
      </c>
      <c r="S3">
        <v>109.71478174491</v>
      </c>
      <c r="T3">
        <v>338.45116697723898</v>
      </c>
      <c r="U3">
        <v>172.340003478488</v>
      </c>
      <c r="V3">
        <v>0</v>
      </c>
      <c r="W3">
        <v>0</v>
      </c>
      <c r="X3">
        <v>0</v>
      </c>
      <c r="Y3">
        <v>0</v>
      </c>
      <c r="Z3" t="s">
        <v>96</v>
      </c>
      <c r="AA3">
        <v>0.31319567469985499</v>
      </c>
      <c r="AB3">
        <v>0.267083094408058</v>
      </c>
      <c r="AC3">
        <v>0.14493853015803501</v>
      </c>
      <c r="AD3">
        <v>559.444444444444</v>
      </c>
      <c r="AE3">
        <v>70.003475842890197</v>
      </c>
      <c r="AF3">
        <v>489.440968601554</v>
      </c>
      <c r="AG3">
        <v>1.15135716045933</v>
      </c>
      <c r="AH3">
        <v>0.255933061846152</v>
      </c>
      <c r="AI3">
        <v>0.89542409861318495</v>
      </c>
      <c r="AJ3">
        <v>0.37840281325338398</v>
      </c>
      <c r="AK3">
        <v>0.38025086537387798</v>
      </c>
      <c r="AL3">
        <v>1.54342473828014E-2</v>
      </c>
      <c r="AM3">
        <v>148.17963677068599</v>
      </c>
      <c r="AN3">
        <v>97.416632684185103</v>
      </c>
      <c r="AO3">
        <v>1.6784981561217001</v>
      </c>
      <c r="AP3">
        <v>16.139650470850398</v>
      </c>
      <c r="AQ3">
        <f t="shared" ref="AQ3:AQ16" si="3">31*(AN3/27+AM3/56)/BK3*1000</f>
        <v>4.0436851341638729</v>
      </c>
      <c r="AR3">
        <f t="shared" si="0"/>
        <v>8.3246966613211404E-2</v>
      </c>
      <c r="AS3">
        <v>14.423363721488601</v>
      </c>
      <c r="AT3">
        <v>8.9442823132801896E-3</v>
      </c>
      <c r="AU3">
        <v>3.6116114165481701</v>
      </c>
      <c r="AV3">
        <v>9.1597699869610594</v>
      </c>
      <c r="AW3">
        <v>5.1684229609630599</v>
      </c>
      <c r="AX3">
        <v>17.367952074520201</v>
      </c>
      <c r="AY3">
        <v>35.3167007213058</v>
      </c>
      <c r="AZ3">
        <v>26.527722061481299</v>
      </c>
      <c r="BA3">
        <v>8.7889786598245205</v>
      </c>
      <c r="BB3">
        <v>38.6856886142345</v>
      </c>
      <c r="BC3">
        <v>273.56592587444499</v>
      </c>
      <c r="BD3">
        <v>379.83933901916402</v>
      </c>
      <c r="BE3">
        <v>1536.29835625757</v>
      </c>
      <c r="BF3">
        <v>1295.5729897937199</v>
      </c>
      <c r="BG3">
        <v>35.188819778519402</v>
      </c>
      <c r="BH3">
        <v>15.6191180634549</v>
      </c>
      <c r="BI3">
        <v>19.5697017150645</v>
      </c>
      <c r="BJ3">
        <v>64.512009183453003</v>
      </c>
      <c r="BK3">
        <v>47945.557874799299</v>
      </c>
      <c r="BL3">
        <v>39835.020786160698</v>
      </c>
      <c r="BM3">
        <v>8110.5370886385199</v>
      </c>
      <c r="BN3">
        <f t="shared" si="1"/>
        <v>0.16916138737644151</v>
      </c>
      <c r="BO3">
        <v>3163.10946456902</v>
      </c>
      <c r="BP3">
        <v>10</v>
      </c>
    </row>
    <row r="4" spans="1:68">
      <c r="A4" t="s">
        <v>15</v>
      </c>
      <c r="B4">
        <v>2</v>
      </c>
      <c r="C4">
        <v>2</v>
      </c>
      <c r="D4">
        <v>616</v>
      </c>
      <c r="E4">
        <v>565.33333333333303</v>
      </c>
      <c r="F4">
        <v>974.78335601968695</v>
      </c>
      <c r="G4">
        <v>468.730596939066</v>
      </c>
      <c r="H4">
        <f t="shared" si="2"/>
        <v>517.03196513619946</v>
      </c>
      <c r="I4">
        <v>0.89010989010988695</v>
      </c>
      <c r="J4">
        <v>1343.7142857142601</v>
      </c>
      <c r="K4">
        <v>1026.81434599156</v>
      </c>
      <c r="L4">
        <v>755.17277486910996</v>
      </c>
      <c r="M4" t="s">
        <v>97</v>
      </c>
      <c r="N4">
        <v>1.3098303209601501</v>
      </c>
      <c r="O4">
        <v>0.632517637130801</v>
      </c>
      <c r="P4">
        <v>0.39044846380793302</v>
      </c>
      <c r="Q4">
        <v>1</v>
      </c>
      <c r="R4">
        <v>218.46738887074099</v>
      </c>
      <c r="S4">
        <v>191.26247236019199</v>
      </c>
      <c r="T4">
        <v>374.47728285635799</v>
      </c>
      <c r="U4">
        <v>118.69193260740499</v>
      </c>
      <c r="V4">
        <v>0</v>
      </c>
      <c r="W4">
        <v>0</v>
      </c>
      <c r="X4">
        <v>0</v>
      </c>
      <c r="Y4">
        <v>0</v>
      </c>
      <c r="Z4" t="s">
        <v>96</v>
      </c>
      <c r="AA4">
        <v>0.50319047464955202</v>
      </c>
      <c r="AB4">
        <v>0.224325449023794</v>
      </c>
      <c r="AC4">
        <v>4.36176219437878E-2</v>
      </c>
      <c r="AD4">
        <v>461.666666666666</v>
      </c>
      <c r="AE4">
        <v>35.862509117431401</v>
      </c>
      <c r="AF4">
        <v>425.80415754923501</v>
      </c>
      <c r="AG4">
        <v>0.36776556106966701</v>
      </c>
      <c r="AH4">
        <v>9.5796323407033299E-2</v>
      </c>
      <c r="AI4">
        <v>0.27196923766263298</v>
      </c>
      <c r="AJ4">
        <v>9.62580332533884E-2</v>
      </c>
      <c r="AK4">
        <v>5.1639557821863198E-2</v>
      </c>
      <c r="AL4">
        <v>1.13818196912258E-2</v>
      </c>
      <c r="AM4">
        <v>166.57147660350901</v>
      </c>
      <c r="AN4">
        <v>143.98534165541199</v>
      </c>
      <c r="AO4">
        <v>2.9297806523829402</v>
      </c>
      <c r="AP4">
        <v>22.095867255426199</v>
      </c>
      <c r="AQ4">
        <f t="shared" si="3"/>
        <v>4.1495536497869638</v>
      </c>
      <c r="AR4">
        <f t="shared" si="0"/>
        <v>8.5800625276211795E-2</v>
      </c>
      <c r="AS4">
        <v>17.5308037605644</v>
      </c>
      <c r="AT4">
        <v>1.0560569535543299E-2</v>
      </c>
      <c r="AU4">
        <v>4.1400412837262701</v>
      </c>
      <c r="AV4">
        <v>10.8167087929593</v>
      </c>
      <c r="AW4">
        <v>11.7226529323916</v>
      </c>
      <c r="AX4">
        <v>27.268351488577199</v>
      </c>
      <c r="AY4">
        <v>53.95831506719</v>
      </c>
      <c r="AZ4">
        <v>38.085060281536599</v>
      </c>
      <c r="BA4">
        <v>15.873254785653399</v>
      </c>
      <c r="BB4">
        <v>51.079203191161199</v>
      </c>
      <c r="BC4">
        <v>440.24165095742501</v>
      </c>
      <c r="BD4">
        <v>474.26653287185798</v>
      </c>
      <c r="BE4">
        <v>1847.74878176073</v>
      </c>
      <c r="BF4">
        <v>1506.7801826289201</v>
      </c>
      <c r="BG4">
        <v>53.277688819603298</v>
      </c>
      <c r="BH4">
        <v>17.9427013763943</v>
      </c>
      <c r="BI4">
        <v>35.334987443208902</v>
      </c>
      <c r="BJ4">
        <v>76.289748164495904</v>
      </c>
      <c r="BK4">
        <v>62061.063762368198</v>
      </c>
      <c r="BL4">
        <v>50372.6321486733</v>
      </c>
      <c r="BM4">
        <v>11688.4316136949</v>
      </c>
      <c r="BN4">
        <f t="shared" si="1"/>
        <v>0.18833759695853591</v>
      </c>
      <c r="BO4">
        <v>4558.4883293410103</v>
      </c>
      <c r="BP4">
        <v>10</v>
      </c>
    </row>
    <row r="5" spans="1:68">
      <c r="A5" t="s">
        <v>15</v>
      </c>
      <c r="B5">
        <v>3</v>
      </c>
      <c r="C5">
        <v>2</v>
      </c>
      <c r="D5">
        <v>517.33333333333303</v>
      </c>
      <c r="E5">
        <v>490.666666666666</v>
      </c>
      <c r="F5">
        <v>995.69023765013605</v>
      </c>
      <c r="G5">
        <v>426.77614008367999</v>
      </c>
      <c r="H5">
        <f t="shared" si="2"/>
        <v>458.721403375173</v>
      </c>
      <c r="I5">
        <v>0.81007751937984296</v>
      </c>
      <c r="J5">
        <v>1219.2819767441999</v>
      </c>
      <c r="K5">
        <v>650.58510638297798</v>
      </c>
      <c r="L5">
        <v>2701.4482758620602</v>
      </c>
      <c r="M5" t="s">
        <v>97</v>
      </c>
      <c r="N5">
        <v>1.21402716118696</v>
      </c>
      <c r="O5">
        <v>0.33656936170212698</v>
      </c>
      <c r="P5">
        <v>1.2392121442488899</v>
      </c>
      <c r="Q5">
        <v>1</v>
      </c>
      <c r="R5">
        <v>303.37655369743601</v>
      </c>
      <c r="S5">
        <v>48.055523442506903</v>
      </c>
      <c r="T5">
        <v>156.953984206516</v>
      </c>
      <c r="U5">
        <v>418.85958372755198</v>
      </c>
      <c r="V5">
        <v>0</v>
      </c>
      <c r="W5">
        <v>0</v>
      </c>
      <c r="X5">
        <v>0</v>
      </c>
      <c r="Y5">
        <v>0</v>
      </c>
      <c r="Z5" t="s">
        <v>96</v>
      </c>
      <c r="AA5">
        <v>0.1913711641212</v>
      </c>
      <c r="AB5">
        <v>0.19737226746134701</v>
      </c>
      <c r="AC5">
        <v>0.62859015901320303</v>
      </c>
      <c r="AD5">
        <v>281.37037037036998</v>
      </c>
      <c r="AE5">
        <v>18.236968449932</v>
      </c>
      <c r="AF5">
        <v>263.13340192043802</v>
      </c>
      <c r="AG5">
        <v>0.28640579995440002</v>
      </c>
      <c r="AH5">
        <v>0.121025858206292</v>
      </c>
      <c r="AI5">
        <v>0.165379941748107</v>
      </c>
      <c r="AJ5">
        <v>0.11732708325338199</v>
      </c>
      <c r="AK5">
        <v>6.7636877954367805E-2</v>
      </c>
      <c r="AL5">
        <v>1.80582498881613E-2</v>
      </c>
      <c r="AM5">
        <v>124.39355325043</v>
      </c>
      <c r="AN5">
        <v>148.429810227687</v>
      </c>
      <c r="AO5">
        <v>2.1243535248327801</v>
      </c>
      <c r="AP5">
        <v>19.1325871364003</v>
      </c>
      <c r="AQ5">
        <f t="shared" si="3"/>
        <v>5.47442577292352</v>
      </c>
      <c r="AR5">
        <f t="shared" si="0"/>
        <v>7.9958947024487428E-2</v>
      </c>
      <c r="AS5">
        <v>15.8158994381062</v>
      </c>
      <c r="AT5">
        <v>8.1705834299160996E-3</v>
      </c>
      <c r="AU5">
        <v>2.5511423379613398</v>
      </c>
      <c r="AV5">
        <v>10.329884178746299</v>
      </c>
      <c r="AW5">
        <v>10.607407399761501</v>
      </c>
      <c r="AX5">
        <v>21.685296205644299</v>
      </c>
      <c r="AY5">
        <v>45.181900705543498</v>
      </c>
      <c r="AZ5">
        <v>32.015180384390703</v>
      </c>
      <c r="BA5">
        <v>13.166720321152701</v>
      </c>
      <c r="BB5">
        <v>43.905788007395699</v>
      </c>
      <c r="BC5">
        <v>366.42061212165902</v>
      </c>
      <c r="BD5">
        <v>335.107844936302</v>
      </c>
      <c r="BE5">
        <v>1500.21351582898</v>
      </c>
      <c r="BF5">
        <v>961.21875460879698</v>
      </c>
      <c r="BG5">
        <v>45.780085164700203</v>
      </c>
      <c r="BH5">
        <v>12.1061392733054</v>
      </c>
      <c r="BI5">
        <v>33.673945891394702</v>
      </c>
      <c r="BJ5">
        <v>73.711352936203198</v>
      </c>
      <c r="BK5">
        <v>43708.717342427903</v>
      </c>
      <c r="BL5">
        <v>33239.7073040061</v>
      </c>
      <c r="BM5">
        <v>10469.0100384217</v>
      </c>
      <c r="BN5">
        <f t="shared" si="1"/>
        <v>0.2395176677550194</v>
      </c>
      <c r="BO5">
        <v>4082.91391498448</v>
      </c>
      <c r="BP5">
        <v>10</v>
      </c>
    </row>
    <row r="6" spans="1:68">
      <c r="A6" t="s">
        <v>15</v>
      </c>
      <c r="B6">
        <v>4</v>
      </c>
      <c r="C6">
        <v>2</v>
      </c>
      <c r="D6">
        <v>473.33333333333297</v>
      </c>
      <c r="E6">
        <v>434.666666666666</v>
      </c>
      <c r="F6">
        <v>1223.0525753812699</v>
      </c>
      <c r="G6">
        <v>530.78073973662697</v>
      </c>
      <c r="H6">
        <f t="shared" si="2"/>
        <v>482.72370320164646</v>
      </c>
      <c r="I6">
        <v>0.77573529411765096</v>
      </c>
      <c r="J6">
        <v>1335.14062499997</v>
      </c>
      <c r="K6">
        <v>1157.4421052631501</v>
      </c>
      <c r="L6">
        <v>952.89729729729697</v>
      </c>
      <c r="M6" t="s">
        <v>97</v>
      </c>
      <c r="N6">
        <v>1.63294717990237</v>
      </c>
      <c r="O6">
        <v>0.54785592982456099</v>
      </c>
      <c r="P6">
        <v>0.45998611212219198</v>
      </c>
      <c r="Q6">
        <v>1</v>
      </c>
      <c r="R6">
        <v>324.00823034813999</v>
      </c>
      <c r="S6">
        <v>20.132891827388601</v>
      </c>
      <c r="T6">
        <v>304.22925216217999</v>
      </c>
      <c r="U6">
        <v>116.482802207562</v>
      </c>
      <c r="V6">
        <v>0</v>
      </c>
      <c r="W6">
        <v>0</v>
      </c>
      <c r="X6">
        <v>0</v>
      </c>
      <c r="Y6">
        <v>0</v>
      </c>
      <c r="Z6" t="s">
        <v>96</v>
      </c>
      <c r="AA6">
        <v>0.40618883387508697</v>
      </c>
      <c r="AB6">
        <v>0.37502076825674102</v>
      </c>
      <c r="AC6">
        <v>6.4811529532417103E-2</v>
      </c>
      <c r="AD6">
        <v>446.03703703703701</v>
      </c>
      <c r="AE6">
        <v>37.2992644212135</v>
      </c>
      <c r="AF6">
        <v>408.73777261582302</v>
      </c>
      <c r="AG6">
        <v>0.33008590362665402</v>
      </c>
      <c r="AH6">
        <v>8.6596031964594894E-2</v>
      </c>
      <c r="AI6">
        <v>0.24348987166205899</v>
      </c>
      <c r="AJ6">
        <v>1.68541432533795E-2</v>
      </c>
      <c r="AK6">
        <v>1.5677224848326898E-2</v>
      </c>
      <c r="AL6">
        <v>8.1334449703952903E-3</v>
      </c>
      <c r="AM6">
        <v>187.39169340524501</v>
      </c>
      <c r="AN6">
        <v>158.765955023429</v>
      </c>
      <c r="AO6">
        <v>3.85450259507973</v>
      </c>
      <c r="AP6">
        <v>19.958398763990001</v>
      </c>
      <c r="AQ6">
        <f t="shared" si="3"/>
        <v>3.8587007717796862</v>
      </c>
      <c r="AR6">
        <f t="shared" si="0"/>
        <v>6.9779359392707824E-2</v>
      </c>
      <c r="AS6">
        <v>22.308242909741299</v>
      </c>
      <c r="AT6">
        <v>1.1463837106844999E-2</v>
      </c>
      <c r="AU6">
        <v>3.0618558382456702</v>
      </c>
      <c r="AV6">
        <v>10.301076361114999</v>
      </c>
      <c r="AW6">
        <v>13.107389592144701</v>
      </c>
      <c r="AX6">
        <v>23.6090401299722</v>
      </c>
      <c r="AY6">
        <v>50.090825758584501</v>
      </c>
      <c r="AZ6">
        <v>33.910116491087301</v>
      </c>
      <c r="BA6">
        <v>16.1807092674972</v>
      </c>
      <c r="BB6">
        <v>50.5776443593303</v>
      </c>
      <c r="BC6">
        <v>451.38658561823502</v>
      </c>
      <c r="BD6">
        <v>600.02213368096</v>
      </c>
      <c r="BE6">
        <v>2245.7288560898201</v>
      </c>
      <c r="BF6">
        <v>1823.2662981293399</v>
      </c>
      <c r="BG6">
        <v>53.588965368810399</v>
      </c>
      <c r="BH6">
        <v>19.435587574908901</v>
      </c>
      <c r="BI6">
        <v>34.153377793901498</v>
      </c>
      <c r="BJ6">
        <v>32.212302915035401</v>
      </c>
      <c r="BK6">
        <v>74123.789738162493</v>
      </c>
      <c r="BL6">
        <v>62787.083375017799</v>
      </c>
      <c r="BM6">
        <v>11336.7063631447</v>
      </c>
      <c r="BN6">
        <f t="shared" si="1"/>
        <v>0.15294288653063859</v>
      </c>
      <c r="BO6">
        <v>4421.3154816264496</v>
      </c>
      <c r="BP6">
        <v>10</v>
      </c>
    </row>
    <row r="7" spans="1:68">
      <c r="A7" t="s">
        <v>26</v>
      </c>
      <c r="B7">
        <v>0</v>
      </c>
      <c r="C7">
        <v>2</v>
      </c>
      <c r="D7">
        <v>636</v>
      </c>
      <c r="E7">
        <v>450.666666666666</v>
      </c>
      <c r="F7">
        <v>1583.6962835065101</v>
      </c>
      <c r="G7">
        <v>904.82485613164897</v>
      </c>
      <c r="H7">
        <f t="shared" si="2"/>
        <v>677.74576139915746</v>
      </c>
      <c r="I7">
        <v>0.73702422145328605</v>
      </c>
      <c r="J7">
        <v>1382.03979238753</v>
      </c>
      <c r="K7">
        <v>1494.1256544502601</v>
      </c>
      <c r="L7">
        <v>1147.8738532110001</v>
      </c>
      <c r="M7">
        <v>700.05882352941103</v>
      </c>
      <c r="N7">
        <v>2.1887312828622498</v>
      </c>
      <c r="O7">
        <v>0.95026391623036599</v>
      </c>
      <c r="P7">
        <v>0.77796663863467996</v>
      </c>
      <c r="Q7">
        <v>1</v>
      </c>
      <c r="R7">
        <v>159.34867429633599</v>
      </c>
      <c r="S7">
        <v>114.286190475198</v>
      </c>
      <c r="T7">
        <v>619.96153150949306</v>
      </c>
      <c r="U7">
        <v>563.30981409943695</v>
      </c>
      <c r="V7">
        <v>0</v>
      </c>
      <c r="W7">
        <v>0</v>
      </c>
      <c r="X7">
        <v>0</v>
      </c>
      <c r="Y7">
        <v>0</v>
      </c>
      <c r="Z7">
        <v>0</v>
      </c>
      <c r="AA7">
        <v>0.85681150629563896</v>
      </c>
      <c r="AB7">
        <v>0.23808694226879501</v>
      </c>
      <c r="AC7">
        <v>0.37050953201777398</v>
      </c>
      <c r="AD7">
        <v>547.92592592592496</v>
      </c>
      <c r="AE7">
        <v>213.696933915849</v>
      </c>
      <c r="AF7">
        <v>334.22899201007601</v>
      </c>
      <c r="AG7">
        <v>1.2528625090166301</v>
      </c>
      <c r="AH7">
        <v>0.70027582114498899</v>
      </c>
      <c r="AI7">
        <v>0.552586687871641</v>
      </c>
      <c r="AJ7">
        <v>1.0378519544954501</v>
      </c>
      <c r="AK7">
        <v>0.74233304937219802</v>
      </c>
      <c r="AL7">
        <v>1.7487111362347499E-2</v>
      </c>
      <c r="AM7">
        <v>149.37802800190701</v>
      </c>
      <c r="AN7">
        <v>76.051890190561096</v>
      </c>
      <c r="AO7">
        <v>5.01365683861383</v>
      </c>
      <c r="AP7">
        <v>21.471481684632298</v>
      </c>
      <c r="AQ7">
        <f t="shared" si="3"/>
        <v>5.1035274186872428</v>
      </c>
      <c r="AR7">
        <f t="shared" si="0"/>
        <v>0.1262952221135821</v>
      </c>
      <c r="AS7">
        <v>9.5310384165211008</v>
      </c>
      <c r="AT7">
        <v>5.8094532719894301E-3</v>
      </c>
      <c r="AU7">
        <v>7.29739251944223</v>
      </c>
      <c r="AV7">
        <v>13.0591457875882</v>
      </c>
      <c r="AW7">
        <v>8.2465336566439404</v>
      </c>
      <c r="AX7">
        <v>8.2917878175642699</v>
      </c>
      <c r="AY7">
        <v>36.900669234510602</v>
      </c>
      <c r="AZ7">
        <v>21.350933605152498</v>
      </c>
      <c r="BA7">
        <v>15.5497356293581</v>
      </c>
      <c r="BB7">
        <v>37.040463808344001</v>
      </c>
      <c r="BC7">
        <v>141.63119067995899</v>
      </c>
      <c r="BD7">
        <v>214.75092653644199</v>
      </c>
      <c r="BE7">
        <v>693.82652735576198</v>
      </c>
      <c r="BF7">
        <v>878.89375485595804</v>
      </c>
      <c r="BG7">
        <v>37.1380742056541</v>
      </c>
      <c r="BH7">
        <v>16.727784826576499</v>
      </c>
      <c r="BI7">
        <v>20.410289379077501</v>
      </c>
      <c r="BJ7">
        <v>46.335617272877201</v>
      </c>
      <c r="BK7">
        <v>33312.301727064798</v>
      </c>
      <c r="BL7">
        <v>23222.506671188399</v>
      </c>
      <c r="BM7">
        <v>10089.7950558763</v>
      </c>
      <c r="BN7">
        <f t="shared" si="1"/>
        <v>0.30288495639071317</v>
      </c>
      <c r="BO7">
        <v>3935.0200717917701</v>
      </c>
      <c r="BP7">
        <v>10</v>
      </c>
    </row>
    <row r="8" spans="1:68">
      <c r="A8" t="s">
        <v>26</v>
      </c>
      <c r="B8">
        <v>1</v>
      </c>
      <c r="C8">
        <v>2</v>
      </c>
      <c r="D8">
        <v>892</v>
      </c>
      <c r="E8">
        <v>553.33333333333303</v>
      </c>
      <c r="F8">
        <v>973.912235951752</v>
      </c>
      <c r="G8">
        <v>742.10923375226196</v>
      </c>
      <c r="H8">
        <f t="shared" si="2"/>
        <v>647.72128354279744</v>
      </c>
      <c r="I8">
        <v>0.82291666666665797</v>
      </c>
      <c r="J8">
        <v>1601.8307291666799</v>
      </c>
      <c r="K8">
        <v>1675.98104265402</v>
      </c>
      <c r="L8">
        <v>1239.5472103004199</v>
      </c>
      <c r="M8">
        <v>820.10880829015503</v>
      </c>
      <c r="N8">
        <v>1.5600425470589501</v>
      </c>
      <c r="O8">
        <v>1.4949750900473899</v>
      </c>
      <c r="P8">
        <v>0.80288111006768803</v>
      </c>
      <c r="Q8">
        <v>1</v>
      </c>
      <c r="R8">
        <v>382.39246854508002</v>
      </c>
      <c r="S8">
        <v>70.237691685684894</v>
      </c>
      <c r="T8">
        <v>101.091222549514</v>
      </c>
      <c r="U8">
        <v>143.70466206358199</v>
      </c>
      <c r="V8">
        <v>0</v>
      </c>
      <c r="W8">
        <v>0</v>
      </c>
      <c r="X8">
        <v>0</v>
      </c>
      <c r="Y8">
        <v>0</v>
      </c>
      <c r="Z8">
        <v>0</v>
      </c>
      <c r="AA8">
        <v>0.16193102672883899</v>
      </c>
      <c r="AB8">
        <v>0.64088252813523106</v>
      </c>
      <c r="AC8">
        <v>5.7461544202837798E-2</v>
      </c>
      <c r="AD8">
        <v>568.81481481481399</v>
      </c>
      <c r="AE8">
        <v>76.6080558673181</v>
      </c>
      <c r="AF8">
        <v>492.20675894749598</v>
      </c>
      <c r="AG8">
        <v>0.908286963506998</v>
      </c>
      <c r="AH8">
        <v>0.59795015851282196</v>
      </c>
      <c r="AI8">
        <v>0.31033680499417499</v>
      </c>
      <c r="AJ8">
        <v>0.628289624495457</v>
      </c>
      <c r="AK8">
        <v>0.32499351827845402</v>
      </c>
      <c r="AL8">
        <v>5.3876281134072604E-3</v>
      </c>
      <c r="AM8">
        <v>338.81743137882802</v>
      </c>
      <c r="AN8">
        <v>81.697908024376801</v>
      </c>
      <c r="AO8">
        <v>42.722176445397501</v>
      </c>
      <c r="AP8">
        <v>29.012429684332599</v>
      </c>
      <c r="AQ8">
        <f t="shared" si="3"/>
        <v>6.4087608510743319</v>
      </c>
      <c r="AR8">
        <f t="shared" si="0"/>
        <v>0.10311462748586714</v>
      </c>
      <c r="AS8">
        <v>21.8036572042007</v>
      </c>
      <c r="AT8">
        <v>7.2492267100040904E-3</v>
      </c>
      <c r="AU8">
        <v>6.8903353887570304</v>
      </c>
      <c r="AV8">
        <v>16.715016979855601</v>
      </c>
      <c r="AW8">
        <v>7.41241299100178</v>
      </c>
      <c r="AX8">
        <v>19.722529218662999</v>
      </c>
      <c r="AY8">
        <v>50.747543804987501</v>
      </c>
      <c r="AZ8">
        <v>36.437546198518703</v>
      </c>
      <c r="BA8">
        <v>14.3099976064688</v>
      </c>
      <c r="BB8">
        <v>50.228781522723303</v>
      </c>
      <c r="BC8">
        <v>203.16572509313801</v>
      </c>
      <c r="BD8">
        <v>257.14127036248101</v>
      </c>
      <c r="BE8">
        <v>834.68636028493302</v>
      </c>
      <c r="BF8">
        <v>1376.33603476199</v>
      </c>
      <c r="BG8">
        <v>49.1478039118523</v>
      </c>
      <c r="BH8">
        <v>17.0783627999236</v>
      </c>
      <c r="BI8">
        <v>32.069441111928597</v>
      </c>
      <c r="BJ8">
        <v>53.497080309394399</v>
      </c>
      <c r="BK8">
        <v>43902.551188484402</v>
      </c>
      <c r="BL8">
        <v>34329.843601009001</v>
      </c>
      <c r="BM8">
        <v>9572.7075874753591</v>
      </c>
      <c r="BN8">
        <f t="shared" si="1"/>
        <v>0.21804444908855938</v>
      </c>
      <c r="BO8">
        <v>3733.3559591153899</v>
      </c>
      <c r="BP8">
        <v>10</v>
      </c>
    </row>
    <row r="9" spans="1:68">
      <c r="A9" t="s">
        <v>26</v>
      </c>
      <c r="B9">
        <v>2</v>
      </c>
      <c r="C9">
        <v>2</v>
      </c>
      <c r="D9">
        <v>369.33333333333297</v>
      </c>
      <c r="E9">
        <v>453.33333333333297</v>
      </c>
      <c r="F9">
        <v>2007.9317565910401</v>
      </c>
      <c r="G9">
        <v>624.04074299532795</v>
      </c>
      <c r="H9">
        <f t="shared" si="2"/>
        <v>538.68703816433049</v>
      </c>
      <c r="I9">
        <v>0.87272727272728401</v>
      </c>
      <c r="J9">
        <v>2065.3881818181899</v>
      </c>
      <c r="K9">
        <v>2592.8249999999998</v>
      </c>
      <c r="L9">
        <v>1140.9773662551399</v>
      </c>
      <c r="M9">
        <v>568.757653061224</v>
      </c>
      <c r="N9">
        <v>4.1471585199605796</v>
      </c>
      <c r="O9">
        <v>0.95761669999999999</v>
      </c>
      <c r="P9">
        <v>0.61462971804052202</v>
      </c>
      <c r="Q9">
        <v>1</v>
      </c>
      <c r="R9">
        <v>58.286647985051701</v>
      </c>
      <c r="S9">
        <v>85.821520222688505</v>
      </c>
      <c r="T9">
        <v>1432.08641928521</v>
      </c>
      <c r="U9">
        <v>135.31510530017201</v>
      </c>
      <c r="V9">
        <v>0</v>
      </c>
      <c r="W9">
        <v>0</v>
      </c>
      <c r="X9">
        <v>0</v>
      </c>
      <c r="Y9">
        <v>0</v>
      </c>
      <c r="Z9">
        <v>0</v>
      </c>
      <c r="AA9">
        <v>2.9578143657340199</v>
      </c>
      <c r="AB9">
        <v>0.151127078061841</v>
      </c>
      <c r="AC9">
        <v>2.8466402492024801E-2</v>
      </c>
      <c r="AD9">
        <v>506</v>
      </c>
      <c r="AE9">
        <v>48.601921024544502</v>
      </c>
      <c r="AF9">
        <v>457.39807897545501</v>
      </c>
      <c r="AG9">
        <v>0.71541250012539803</v>
      </c>
      <c r="AH9">
        <v>0.31693583307884499</v>
      </c>
      <c r="AI9">
        <v>0.39847666704655199</v>
      </c>
      <c r="AJ9">
        <v>0.67176922449546905</v>
      </c>
      <c r="AK9">
        <v>0.407626208378088</v>
      </c>
      <c r="AL9">
        <v>9.6355429940049309E-3</v>
      </c>
      <c r="AM9">
        <v>260.28437656160497</v>
      </c>
      <c r="AN9">
        <v>88.526074263905002</v>
      </c>
      <c r="AO9">
        <v>11.9414501790306</v>
      </c>
      <c r="AP9">
        <v>29.642374788280801</v>
      </c>
      <c r="AQ9">
        <f t="shared" si="3"/>
        <v>5.1967898363982226</v>
      </c>
      <c r="AR9">
        <f t="shared" si="0"/>
        <v>0.12063130902945179</v>
      </c>
      <c r="AS9">
        <v>16.117806435690198</v>
      </c>
      <c r="AT9">
        <v>6.8229158692278804E-3</v>
      </c>
      <c r="AU9">
        <v>5.7794877905480204</v>
      </c>
      <c r="AV9">
        <v>24.545898578936601</v>
      </c>
      <c r="AW9">
        <v>9.4378298994065908</v>
      </c>
      <c r="AX9">
        <v>15.5064284479294</v>
      </c>
      <c r="AY9">
        <v>55.276467632689901</v>
      </c>
      <c r="AZ9">
        <v>40.052327026866102</v>
      </c>
      <c r="BA9">
        <v>15.2241406058238</v>
      </c>
      <c r="BB9">
        <v>51.1434122955609</v>
      </c>
      <c r="BC9">
        <v>169.80959092613</v>
      </c>
      <c r="BD9">
        <v>269.646841952854</v>
      </c>
      <c r="BE9">
        <v>984.23515090612295</v>
      </c>
      <c r="BF9">
        <v>1349.0088294883101</v>
      </c>
      <c r="BG9">
        <v>53.294824802114803</v>
      </c>
      <c r="BH9">
        <v>15.1097737544392</v>
      </c>
      <c r="BI9">
        <v>38.1850510476756</v>
      </c>
      <c r="BJ9">
        <v>53.4567470817017</v>
      </c>
      <c r="BK9">
        <v>47284.390966879502</v>
      </c>
      <c r="BL9">
        <v>38461.4945433299</v>
      </c>
      <c r="BM9">
        <v>8822.8964235496005</v>
      </c>
      <c r="BN9">
        <f t="shared" si="1"/>
        <v>0.18659215532097317</v>
      </c>
      <c r="BO9">
        <v>3440.9296051843398</v>
      </c>
      <c r="BP9">
        <v>10</v>
      </c>
    </row>
    <row r="10" spans="1:68">
      <c r="A10" t="s">
        <v>26</v>
      </c>
      <c r="B10">
        <v>3</v>
      </c>
      <c r="C10">
        <v>2</v>
      </c>
      <c r="D10">
        <v>813.33333333333303</v>
      </c>
      <c r="E10">
        <v>414.666666666666</v>
      </c>
      <c r="F10">
        <v>998.30359785394205</v>
      </c>
      <c r="G10">
        <v>955.29875857769605</v>
      </c>
      <c r="H10">
        <f t="shared" si="2"/>
        <v>684.982712622181</v>
      </c>
      <c r="I10">
        <v>0.82394366197183999</v>
      </c>
      <c r="J10">
        <v>1372.7667253521099</v>
      </c>
      <c r="K10">
        <v>1951.9804878048701</v>
      </c>
      <c r="L10">
        <v>823.78541666666604</v>
      </c>
      <c r="M10">
        <v>379.34246575342399</v>
      </c>
      <c r="N10">
        <v>1.37043796093319</v>
      </c>
      <c r="O10">
        <v>1.58761079674796</v>
      </c>
      <c r="P10">
        <v>0.569770672104705</v>
      </c>
      <c r="Q10">
        <v>1</v>
      </c>
      <c r="R10">
        <v>80.133222407022501</v>
      </c>
      <c r="S10">
        <v>137.946849668027</v>
      </c>
      <c r="T10">
        <v>211.730566536705</v>
      </c>
      <c r="U10">
        <v>457.16163429220398</v>
      </c>
      <c r="V10">
        <v>0</v>
      </c>
      <c r="W10">
        <v>0</v>
      </c>
      <c r="X10">
        <v>0</v>
      </c>
      <c r="Y10">
        <v>0</v>
      </c>
      <c r="Z10">
        <v>0</v>
      </c>
      <c r="AA10">
        <v>0.29065667648154098</v>
      </c>
      <c r="AB10">
        <v>0.15641848656343599</v>
      </c>
      <c r="AC10">
        <v>0.26752212228869998</v>
      </c>
      <c r="AD10">
        <v>480.29629629629602</v>
      </c>
      <c r="AE10">
        <v>44.278942717117403</v>
      </c>
      <c r="AF10">
        <v>436.01735357917801</v>
      </c>
      <c r="AG10">
        <v>0.45106434701481302</v>
      </c>
      <c r="AH10">
        <v>0.17817454074889899</v>
      </c>
      <c r="AI10">
        <v>0.27288980626591403</v>
      </c>
      <c r="AJ10">
        <v>0.32848957449546901</v>
      </c>
      <c r="AK10">
        <v>5.5779843697914701E-2</v>
      </c>
      <c r="AL10">
        <v>7.0943284070099002E-3</v>
      </c>
      <c r="AM10">
        <v>381.42847400485101</v>
      </c>
      <c r="AN10">
        <v>110.717341337446</v>
      </c>
      <c r="AO10">
        <v>45.990868426277402</v>
      </c>
      <c r="AP10">
        <v>34.491125914341801</v>
      </c>
      <c r="AQ10">
        <f t="shared" si="3"/>
        <v>5.846058153356477</v>
      </c>
      <c r="AR10">
        <f t="shared" si="0"/>
        <v>0.10196395966697526</v>
      </c>
      <c r="AS10">
        <v>25.731185383580499</v>
      </c>
      <c r="AT10">
        <v>7.9322152873661598E-3</v>
      </c>
      <c r="AU10">
        <v>4.2092539122716204</v>
      </c>
      <c r="AV10">
        <v>27.544520133309401</v>
      </c>
      <c r="AW10">
        <v>16.4073751423681</v>
      </c>
      <c r="AX10">
        <v>20.950122622123999</v>
      </c>
      <c r="AY10">
        <v>69.119204025360602</v>
      </c>
      <c r="AZ10">
        <v>48.494642755433503</v>
      </c>
      <c r="BA10">
        <v>20.624561269927099</v>
      </c>
      <c r="BB10">
        <v>57.689437200565003</v>
      </c>
      <c r="BC10">
        <v>216.44917939401199</v>
      </c>
      <c r="BD10">
        <v>362.057178034571</v>
      </c>
      <c r="BE10">
        <v>1211.3608113646501</v>
      </c>
      <c r="BF10">
        <v>1773.97008257844</v>
      </c>
      <c r="BG10">
        <v>65.947771678261006</v>
      </c>
      <c r="BH10">
        <v>18.133114069531999</v>
      </c>
      <c r="BI10">
        <v>47.814657608728901</v>
      </c>
      <c r="BJ10">
        <v>32.838535488303698</v>
      </c>
      <c r="BK10">
        <v>57862.547173422499</v>
      </c>
      <c r="BL10">
        <v>48611.964552832898</v>
      </c>
      <c r="BM10">
        <v>9250.5826205896192</v>
      </c>
      <c r="BN10">
        <f t="shared" si="1"/>
        <v>0.15987167991177909</v>
      </c>
      <c r="BO10">
        <v>3607.7272220299501</v>
      </c>
      <c r="BP10">
        <v>10</v>
      </c>
    </row>
    <row r="11" spans="1:68">
      <c r="A11" t="s">
        <v>26</v>
      </c>
      <c r="B11">
        <v>4</v>
      </c>
      <c r="C11">
        <v>2</v>
      </c>
      <c r="D11">
        <v>809.33333333333303</v>
      </c>
      <c r="E11">
        <v>488</v>
      </c>
      <c r="F11">
        <v>1387.6942682210499</v>
      </c>
      <c r="G11">
        <v>802.63403662852295</v>
      </c>
      <c r="H11">
        <f t="shared" si="2"/>
        <v>645.31701831426153</v>
      </c>
      <c r="I11">
        <v>0.90384615384615097</v>
      </c>
      <c r="J11">
        <v>1258.2019230768999</v>
      </c>
      <c r="K11">
        <v>1557.0414507772</v>
      </c>
      <c r="L11">
        <v>540.71891891891801</v>
      </c>
      <c r="M11">
        <v>178.81720430107501</v>
      </c>
      <c r="N11">
        <v>1.74599959691853</v>
      </c>
      <c r="O11">
        <v>1.2601655474956801</v>
      </c>
      <c r="P11">
        <v>0.34893512050286701</v>
      </c>
      <c r="Q11">
        <v>1</v>
      </c>
      <c r="R11">
        <v>649.85331678259001</v>
      </c>
      <c r="S11">
        <v>118.456743159686</v>
      </c>
      <c r="T11">
        <v>444.64002654893699</v>
      </c>
      <c r="U11">
        <v>358.66501793595802</v>
      </c>
      <c r="V11">
        <v>0</v>
      </c>
      <c r="W11">
        <v>0</v>
      </c>
      <c r="X11">
        <v>0</v>
      </c>
      <c r="Y11">
        <v>0</v>
      </c>
      <c r="Z11">
        <v>0</v>
      </c>
      <c r="AA11">
        <v>0.55944693648083799</v>
      </c>
      <c r="AB11">
        <v>1.01184855115554</v>
      </c>
      <c r="AC11">
        <v>0.101409364349106</v>
      </c>
      <c r="AD11">
        <v>243.07407407407399</v>
      </c>
      <c r="AE11">
        <v>23.400058211452802</v>
      </c>
      <c r="AF11">
        <v>219.67401586262099</v>
      </c>
      <c r="AG11">
        <v>0.22410797496054</v>
      </c>
      <c r="AH11">
        <v>7.81563808908914E-2</v>
      </c>
      <c r="AI11">
        <v>0.145951594069649</v>
      </c>
      <c r="AJ11">
        <v>0.51377290449545898</v>
      </c>
      <c r="AK11">
        <v>0.140931145597985</v>
      </c>
      <c r="AL11">
        <v>8.3152909635054294E-3</v>
      </c>
      <c r="AM11">
        <v>321.72941172216099</v>
      </c>
      <c r="AN11">
        <v>103.76705182853399</v>
      </c>
      <c r="AO11">
        <v>20.626661253000702</v>
      </c>
      <c r="AP11">
        <v>27.444345981761099</v>
      </c>
      <c r="AQ11">
        <f t="shared" si="3"/>
        <v>5.0013522085755246</v>
      </c>
      <c r="AR11">
        <f t="shared" si="0"/>
        <v>9.233054552352693E-2</v>
      </c>
      <c r="AS11">
        <v>23.4903492881256</v>
      </c>
      <c r="AT11">
        <v>9.2562028546211792E-3</v>
      </c>
      <c r="AU11">
        <v>3.3355795784922102</v>
      </c>
      <c r="AV11">
        <v>26.428729372734601</v>
      </c>
      <c r="AW11">
        <v>7.4492169661572998</v>
      </c>
      <c r="AX11">
        <v>18.384988477264301</v>
      </c>
      <c r="AY11">
        <v>55.607770597503098</v>
      </c>
      <c r="AZ11">
        <v>44.813717849998902</v>
      </c>
      <c r="BA11">
        <v>10.7940527475041</v>
      </c>
      <c r="BB11">
        <v>49.547875130415399</v>
      </c>
      <c r="BC11">
        <v>230.638556293878</v>
      </c>
      <c r="BD11">
        <v>299.948876933333</v>
      </c>
      <c r="BE11">
        <v>1112.7599543634401</v>
      </c>
      <c r="BF11">
        <v>1411.1702327611899</v>
      </c>
      <c r="BG11">
        <v>55.577150244163398</v>
      </c>
      <c r="BH11">
        <v>15.2165796755403</v>
      </c>
      <c r="BI11">
        <v>40.360570568622997</v>
      </c>
      <c r="BJ11">
        <v>39.202695035373999</v>
      </c>
      <c r="BK11">
        <v>59431.958810368502</v>
      </c>
      <c r="BL11">
        <v>48939.457885256597</v>
      </c>
      <c r="BM11">
        <v>10492.500925111901</v>
      </c>
      <c r="BN11">
        <f t="shared" si="1"/>
        <v>0.17654644294310856</v>
      </c>
      <c r="BO11">
        <v>4092.0753607936399</v>
      </c>
      <c r="BP11">
        <v>10</v>
      </c>
    </row>
    <row r="12" spans="1:68">
      <c r="A12" t="s">
        <v>28</v>
      </c>
      <c r="B12">
        <v>0</v>
      </c>
      <c r="C12">
        <v>2</v>
      </c>
      <c r="D12">
        <v>446.666666666666</v>
      </c>
      <c r="E12">
        <v>438.666666666666</v>
      </c>
      <c r="F12">
        <v>1064.50872301703</v>
      </c>
      <c r="G12">
        <v>712.35343043462103</v>
      </c>
      <c r="H12">
        <f t="shared" si="2"/>
        <v>575.51004855064355</v>
      </c>
      <c r="I12">
        <v>0.84150943396225797</v>
      </c>
      <c r="J12">
        <v>1486.6556603773499</v>
      </c>
      <c r="K12">
        <v>2742.94581280788</v>
      </c>
      <c r="L12">
        <v>1421.03517587939</v>
      </c>
      <c r="M12">
        <v>921.13054187192097</v>
      </c>
      <c r="N12">
        <v>1.5825579185943299</v>
      </c>
      <c r="O12">
        <v>1.2251824630541801</v>
      </c>
      <c r="P12">
        <v>0.81782002306252399</v>
      </c>
      <c r="Q12">
        <v>1</v>
      </c>
      <c r="R12">
        <v>8.3266639978645305</v>
      </c>
      <c r="S12">
        <v>92.721806137139794</v>
      </c>
      <c r="T12">
        <v>164.5863743358</v>
      </c>
      <c r="U12">
        <v>72.904278855451395</v>
      </c>
      <c r="V12">
        <v>0</v>
      </c>
      <c r="W12">
        <v>0</v>
      </c>
      <c r="X12">
        <v>0</v>
      </c>
      <c r="Y12">
        <v>0</v>
      </c>
      <c r="Z12">
        <v>0</v>
      </c>
      <c r="AA12">
        <v>0.244683265027304</v>
      </c>
      <c r="AB12">
        <v>2.28395881476007E-2</v>
      </c>
      <c r="AC12">
        <v>0.11616046024884399</v>
      </c>
      <c r="AD12">
        <v>544.85185185185105</v>
      </c>
      <c r="AE12">
        <v>78.880757075389695</v>
      </c>
      <c r="AF12">
        <v>465.971094776462</v>
      </c>
      <c r="AG12">
        <v>1.6814206736489501</v>
      </c>
      <c r="AH12">
        <v>1.03113392874902</v>
      </c>
      <c r="AI12">
        <v>0.65028674489992999</v>
      </c>
      <c r="AJ12">
        <v>1.06138487791325</v>
      </c>
      <c r="AK12">
        <v>0.66157855071723204</v>
      </c>
      <c r="AL12">
        <v>1.58729615406735E-2</v>
      </c>
      <c r="AM12">
        <v>48.134214544819102</v>
      </c>
      <c r="AN12">
        <v>57.993147886669803</v>
      </c>
      <c r="AO12">
        <v>1.29972811671146</v>
      </c>
      <c r="AP12">
        <v>15.5165144118921</v>
      </c>
      <c r="AQ12">
        <f t="shared" si="3"/>
        <v>3.4469039267027926</v>
      </c>
      <c r="AR12">
        <f t="shared" si="0"/>
        <v>0.16643182782203911</v>
      </c>
      <c r="AS12">
        <v>0.50007428093964601</v>
      </c>
      <c r="AT12">
        <v>4.0282609165772998E-3</v>
      </c>
      <c r="AU12">
        <v>3.2090059089345</v>
      </c>
      <c r="AV12">
        <v>14.472126213288499</v>
      </c>
      <c r="AW12">
        <v>4.61464008880814</v>
      </c>
      <c r="AX12">
        <v>9.6453521234666706</v>
      </c>
      <c r="AY12">
        <v>31.945152595414299</v>
      </c>
      <c r="AZ12">
        <v>24.117478336755099</v>
      </c>
      <c r="BA12">
        <v>7.8276742586592203</v>
      </c>
      <c r="BB12">
        <v>34.176490244563396</v>
      </c>
      <c r="BC12">
        <v>152.293687947666</v>
      </c>
      <c r="BD12">
        <v>159.28995200823499</v>
      </c>
      <c r="BE12">
        <v>708.52558585529005</v>
      </c>
      <c r="BF12">
        <v>554.50356370824602</v>
      </c>
      <c r="BG12">
        <v>33.491965729118299</v>
      </c>
      <c r="BH12">
        <v>8.1400374391573198</v>
      </c>
      <c r="BI12">
        <v>25.351928289960998</v>
      </c>
      <c r="BJ12">
        <v>35.7061179240768</v>
      </c>
      <c r="BK12">
        <v>27047.592054380901</v>
      </c>
      <c r="BL12">
        <v>18956.5038437394</v>
      </c>
      <c r="BM12">
        <v>8091.0882106415102</v>
      </c>
      <c r="BN12">
        <f t="shared" si="1"/>
        <v>0.29914264435717103</v>
      </c>
      <c r="BO12">
        <v>3155.5244021501899</v>
      </c>
      <c r="BP12">
        <v>10</v>
      </c>
    </row>
    <row r="13" spans="1:68">
      <c r="A13" t="s">
        <v>28</v>
      </c>
      <c r="B13">
        <v>1</v>
      </c>
      <c r="C13">
        <v>2</v>
      </c>
      <c r="D13">
        <v>589.33333333333303</v>
      </c>
      <c r="E13">
        <v>404</v>
      </c>
      <c r="F13">
        <v>609.78404755476402</v>
      </c>
      <c r="G13">
        <v>742.72472934160396</v>
      </c>
      <c r="H13">
        <f t="shared" si="2"/>
        <v>573.36236467080198</v>
      </c>
      <c r="I13">
        <v>0.80586080586081299</v>
      </c>
      <c r="J13">
        <v>1447.17857142859</v>
      </c>
      <c r="K13">
        <v>2147.2118226600901</v>
      </c>
      <c r="L13">
        <v>1558.70789473684</v>
      </c>
      <c r="M13">
        <v>965.12749999999903</v>
      </c>
      <c r="N13">
        <v>0.88246640682024802</v>
      </c>
      <c r="O13">
        <v>1.26542350082101</v>
      </c>
      <c r="P13">
        <v>0.91085023119946795</v>
      </c>
      <c r="Q13">
        <v>1</v>
      </c>
      <c r="R13">
        <v>259.30162616793001</v>
      </c>
      <c r="S13">
        <v>97.734333782964896</v>
      </c>
      <c r="T13">
        <v>161.02060070898301</v>
      </c>
      <c r="U13">
        <v>118.071486627767</v>
      </c>
      <c r="V13">
        <v>0</v>
      </c>
      <c r="W13">
        <v>0</v>
      </c>
      <c r="X13">
        <v>0</v>
      </c>
      <c r="Y13">
        <v>0</v>
      </c>
      <c r="Z13">
        <v>0</v>
      </c>
      <c r="AA13">
        <v>0.2330255629046</v>
      </c>
      <c r="AB13">
        <v>0.55677551734276998</v>
      </c>
      <c r="AC13">
        <v>7.1760838281602199E-3</v>
      </c>
      <c r="AD13">
        <v>475.51851851851802</v>
      </c>
      <c r="AE13">
        <v>144.05671509446799</v>
      </c>
      <c r="AF13">
        <v>331.46180342404898</v>
      </c>
      <c r="AG13">
        <v>1.5343809403765001</v>
      </c>
      <c r="AH13">
        <v>0.78486124652597999</v>
      </c>
      <c r="AI13">
        <v>0.74951969385052797</v>
      </c>
      <c r="AJ13">
        <v>1.0263265179132499</v>
      </c>
      <c r="AK13">
        <v>0.49289154010244302</v>
      </c>
      <c r="AL13">
        <v>3.0276090028753901E-2</v>
      </c>
      <c r="AM13">
        <v>221.247601257507</v>
      </c>
      <c r="AN13">
        <v>110.473542634906</v>
      </c>
      <c r="AO13">
        <v>5.2377822468913102</v>
      </c>
      <c r="AP13">
        <v>32.807505550217797</v>
      </c>
      <c r="AQ13">
        <f t="shared" si="3"/>
        <v>5.1035884945251784</v>
      </c>
      <c r="AR13">
        <f t="shared" si="0"/>
        <v>0.13158987097189292</v>
      </c>
      <c r="AS13">
        <v>13.344148375901799</v>
      </c>
      <c r="AT13">
        <v>4.8341608757939102E-3</v>
      </c>
      <c r="AU13">
        <v>7.4946761646435602</v>
      </c>
      <c r="AV13">
        <v>21.4053132814958</v>
      </c>
      <c r="AW13">
        <v>9.5969197105694306</v>
      </c>
      <c r="AX13">
        <v>15.0930107748982</v>
      </c>
      <c r="AY13">
        <v>53.594754092482802</v>
      </c>
      <c r="AZ13">
        <v>36.498324056393997</v>
      </c>
      <c r="BA13">
        <v>17.096430036088702</v>
      </c>
      <c r="BB13">
        <v>56.054563433722997</v>
      </c>
      <c r="BC13">
        <v>243.31192859794999</v>
      </c>
      <c r="BD13">
        <v>302.05007510443102</v>
      </c>
      <c r="BE13">
        <v>1378.1553062184501</v>
      </c>
      <c r="BF13">
        <v>1292.7094575587701</v>
      </c>
      <c r="BG13">
        <v>52.259318413444099</v>
      </c>
      <c r="BH13">
        <v>18.870613588823101</v>
      </c>
      <c r="BI13">
        <v>33.388704824620902</v>
      </c>
      <c r="BJ13">
        <v>41.857236738893398</v>
      </c>
      <c r="BK13">
        <v>48851.1846829352</v>
      </c>
      <c r="BL13">
        <v>39986.195546452604</v>
      </c>
      <c r="BM13">
        <v>8864.9891364826599</v>
      </c>
      <c r="BN13">
        <f t="shared" si="1"/>
        <v>0.18146927641612337</v>
      </c>
      <c r="BO13">
        <v>3457.3457632282398</v>
      </c>
      <c r="BP13">
        <v>10</v>
      </c>
    </row>
    <row r="14" spans="1:68">
      <c r="A14" t="s">
        <v>28</v>
      </c>
      <c r="B14">
        <v>2</v>
      </c>
      <c r="C14">
        <v>2</v>
      </c>
      <c r="D14">
        <v>194.666666666666</v>
      </c>
      <c r="E14">
        <v>294.666666666666</v>
      </c>
      <c r="F14">
        <v>845.85758596525102</v>
      </c>
      <c r="G14">
        <v>606.06308990036405</v>
      </c>
      <c r="H14">
        <f t="shared" si="2"/>
        <v>450.36487828351505</v>
      </c>
      <c r="I14">
        <v>0.85766423357663701</v>
      </c>
      <c r="J14">
        <v>1224.9771897810101</v>
      </c>
      <c r="K14">
        <v>3371.5806451612898</v>
      </c>
      <c r="L14">
        <v>1675.1060606060601</v>
      </c>
      <c r="M14">
        <v>1039.8201970443299</v>
      </c>
      <c r="N14">
        <v>1.0361562486106599</v>
      </c>
      <c r="O14">
        <v>0.65633436559139702</v>
      </c>
      <c r="P14">
        <v>0.75440893709682699</v>
      </c>
      <c r="Q14">
        <v>1</v>
      </c>
      <c r="R14">
        <v>32.083225108042498</v>
      </c>
      <c r="S14">
        <v>77.7002788497784</v>
      </c>
      <c r="T14">
        <v>435.438931442654</v>
      </c>
      <c r="U14">
        <v>191.469513434541</v>
      </c>
      <c r="V14">
        <v>0</v>
      </c>
      <c r="W14">
        <v>0</v>
      </c>
      <c r="X14">
        <v>0</v>
      </c>
      <c r="Y14">
        <v>0</v>
      </c>
      <c r="Z14">
        <v>0</v>
      </c>
      <c r="AA14">
        <v>0.53340275855987096</v>
      </c>
      <c r="AB14">
        <v>0.108171180808629</v>
      </c>
      <c r="AC14">
        <v>0.213426646391223</v>
      </c>
      <c r="AD14">
        <v>584.81481481481399</v>
      </c>
      <c r="AE14">
        <v>149.511479805596</v>
      </c>
      <c r="AF14">
        <v>435.30333500921802</v>
      </c>
      <c r="AG14">
        <v>1.3796707198887399</v>
      </c>
      <c r="AH14">
        <v>0.763014012062876</v>
      </c>
      <c r="AI14">
        <v>0.61665670782586401</v>
      </c>
      <c r="AJ14">
        <v>0.97370746791325502</v>
      </c>
      <c r="AK14">
        <v>0.39421615338434202</v>
      </c>
      <c r="AL14">
        <v>4.4416449223343403E-2</v>
      </c>
      <c r="AM14">
        <v>104.76060755691699</v>
      </c>
      <c r="AN14">
        <v>113.93925005492299</v>
      </c>
      <c r="AO14">
        <v>2.2166472770622301</v>
      </c>
      <c r="AP14">
        <v>35.020620362707099</v>
      </c>
      <c r="AQ14">
        <f t="shared" si="3"/>
        <v>4.1365468353502992</v>
      </c>
      <c r="AR14">
        <f t="shared" si="0"/>
        <v>0.18547916017340912</v>
      </c>
      <c r="AS14">
        <v>-0.24696140651634699</v>
      </c>
      <c r="AT14">
        <v>4.9668323862232903E-3</v>
      </c>
      <c r="AU14">
        <v>6.7463645041744398</v>
      </c>
      <c r="AV14">
        <v>22.6829720993988</v>
      </c>
      <c r="AW14">
        <v>9.2964400796364401</v>
      </c>
      <c r="AX14">
        <v>15.288656121504401</v>
      </c>
      <c r="AY14">
        <v>54.0193996371003</v>
      </c>
      <c r="AZ14">
        <v>37.971628220903199</v>
      </c>
      <c r="BA14">
        <v>16.047771416197101</v>
      </c>
      <c r="BB14">
        <v>54.3928792987073</v>
      </c>
      <c r="BC14">
        <v>219.84112744149201</v>
      </c>
      <c r="BD14">
        <v>294.05634199718702</v>
      </c>
      <c r="BE14">
        <v>1270.35181746799</v>
      </c>
      <c r="BF14">
        <v>1072.5955897824999</v>
      </c>
      <c r="BG14">
        <v>56.908229301103802</v>
      </c>
      <c r="BH14">
        <v>17.386655778962101</v>
      </c>
      <c r="BI14">
        <v>39.521573522141601</v>
      </c>
      <c r="BJ14">
        <v>28.292990938944701</v>
      </c>
      <c r="BK14">
        <v>45644.743224393504</v>
      </c>
      <c r="BL14">
        <v>36334.168610121902</v>
      </c>
      <c r="BM14">
        <v>9310.5746142716398</v>
      </c>
      <c r="BN14">
        <f t="shared" si="1"/>
        <v>0.20397912128676132</v>
      </c>
      <c r="BO14">
        <v>3631.12409956594</v>
      </c>
      <c r="BP14">
        <v>10</v>
      </c>
    </row>
    <row r="15" spans="1:68">
      <c r="A15" t="s">
        <v>28</v>
      </c>
      <c r="B15">
        <v>3</v>
      </c>
      <c r="C15">
        <v>2</v>
      </c>
      <c r="D15">
        <v>612</v>
      </c>
      <c r="E15">
        <v>589.33333333333303</v>
      </c>
      <c r="F15">
        <v>1032.2772805034199</v>
      </c>
      <c r="G15">
        <v>406.75561650304701</v>
      </c>
      <c r="H15">
        <f t="shared" si="2"/>
        <v>498.04447491819002</v>
      </c>
      <c r="I15">
        <v>0.87628865979383197</v>
      </c>
      <c r="J15">
        <v>1058.06701030928</v>
      </c>
      <c r="K15">
        <v>1937.24615384615</v>
      </c>
      <c r="L15">
        <v>1643.76801801801</v>
      </c>
      <c r="M15">
        <v>1167.85856573705</v>
      </c>
      <c r="N15">
        <v>1.0922185359924601</v>
      </c>
      <c r="O15">
        <v>1.18559464615384</v>
      </c>
      <c r="P15">
        <v>0.76661692551719396</v>
      </c>
      <c r="Q15">
        <v>1</v>
      </c>
      <c r="R15">
        <v>150.89068891087999</v>
      </c>
      <c r="S15">
        <v>336.38866409754797</v>
      </c>
      <c r="T15">
        <v>690.94100568333897</v>
      </c>
      <c r="U15">
        <v>218.91229099325199</v>
      </c>
      <c r="V15">
        <v>0</v>
      </c>
      <c r="W15">
        <v>0</v>
      </c>
      <c r="X15">
        <v>0</v>
      </c>
      <c r="Y15">
        <v>0</v>
      </c>
      <c r="Z15">
        <v>0</v>
      </c>
      <c r="AA15">
        <v>0.73106188418346496</v>
      </c>
      <c r="AB15">
        <v>0.29231240674379899</v>
      </c>
      <c r="AC15">
        <v>0.18969709354883799</v>
      </c>
      <c r="AD15">
        <v>430.03703703703701</v>
      </c>
      <c r="AE15">
        <v>51.848437089573501</v>
      </c>
      <c r="AF15">
        <v>378.18859994746299</v>
      </c>
      <c r="AG15">
        <v>0.56346808257600201</v>
      </c>
      <c r="AH15">
        <v>0.28852578504877402</v>
      </c>
      <c r="AI15">
        <v>0.27494229752722699</v>
      </c>
      <c r="AJ15">
        <v>0.36091698791325399</v>
      </c>
      <c r="AK15">
        <v>0.100106020156603</v>
      </c>
      <c r="AL15">
        <v>3.9092700936598002E-2</v>
      </c>
      <c r="AM15">
        <v>121.86064133837399</v>
      </c>
      <c r="AN15">
        <v>96.292749074428897</v>
      </c>
      <c r="AO15">
        <v>2.1755787920515899</v>
      </c>
      <c r="AP15">
        <v>40.020286486286302</v>
      </c>
      <c r="AQ15">
        <f t="shared" si="3"/>
        <v>3.1921609953177414</v>
      </c>
      <c r="AR15">
        <f t="shared" si="0"/>
        <v>0.22481171197133309</v>
      </c>
      <c r="AS15">
        <v>-2.08658522403972</v>
      </c>
      <c r="AT15">
        <v>1.06143187777628E-2</v>
      </c>
      <c r="AU15">
        <v>8.3983356305346692</v>
      </c>
      <c r="AV15">
        <v>26.6814812695287</v>
      </c>
      <c r="AW15">
        <v>13.3762658093596</v>
      </c>
      <c r="AX15">
        <v>13.4231738892269</v>
      </c>
      <c r="AY15">
        <v>61.8898709174277</v>
      </c>
      <c r="AZ15">
        <v>40.104655158755598</v>
      </c>
      <c r="BA15">
        <v>21.785215758671999</v>
      </c>
      <c r="BB15">
        <v>60.019488195294002</v>
      </c>
      <c r="BC15">
        <v>210.55046518651801</v>
      </c>
      <c r="BD15">
        <v>292.80687355856202</v>
      </c>
      <c r="BE15">
        <v>1158.62354840429</v>
      </c>
      <c r="BF15">
        <v>1208.5088326326099</v>
      </c>
      <c r="BG15">
        <v>58.807600451916898</v>
      </c>
      <c r="BH15">
        <v>21.098336572493899</v>
      </c>
      <c r="BI15">
        <v>37.709263879422899</v>
      </c>
      <c r="BJ15">
        <v>27.006784385347402</v>
      </c>
      <c r="BK15">
        <v>55766.896188296603</v>
      </c>
      <c r="BL15">
        <v>48179.949867458898</v>
      </c>
      <c r="BM15">
        <v>7586.9463208376701</v>
      </c>
      <c r="BN15">
        <f t="shared" si="1"/>
        <v>0.13604749124319901</v>
      </c>
      <c r="BO15">
        <v>2958.9090651266902</v>
      </c>
      <c r="BP15">
        <v>10</v>
      </c>
    </row>
    <row r="16" spans="1:68">
      <c r="A16" t="s">
        <v>28</v>
      </c>
      <c r="B16">
        <v>4</v>
      </c>
      <c r="C16">
        <v>2</v>
      </c>
      <c r="D16">
        <v>29.3333333333333</v>
      </c>
      <c r="E16">
        <v>305.33333333333297</v>
      </c>
      <c r="F16">
        <v>505.24963940251803</v>
      </c>
      <c r="G16">
        <v>337.77333333333303</v>
      </c>
      <c r="H16">
        <f t="shared" si="2"/>
        <v>321.553333333333</v>
      </c>
      <c r="I16">
        <v>0.92358803986709903</v>
      </c>
      <c r="J16">
        <v>1128.4559800664299</v>
      </c>
      <c r="K16">
        <v>4259.4693877550999</v>
      </c>
      <c r="L16">
        <v>1086.7623966942101</v>
      </c>
      <c r="M16">
        <v>405.305309734513</v>
      </c>
      <c r="N16">
        <v>0.57015197701018305</v>
      </c>
      <c r="O16">
        <v>0.124944435374149</v>
      </c>
      <c r="P16">
        <v>0.34945207119834698</v>
      </c>
      <c r="Q16">
        <v>1</v>
      </c>
      <c r="R16">
        <v>16.165807537309501</v>
      </c>
      <c r="S16">
        <v>54.601587278515296</v>
      </c>
      <c r="T16">
        <v>277.93099077960301</v>
      </c>
      <c r="U16">
        <v>163.50761368613101</v>
      </c>
      <c r="V16">
        <v>0</v>
      </c>
      <c r="W16">
        <v>0</v>
      </c>
      <c r="X16">
        <v>0</v>
      </c>
      <c r="Y16">
        <v>0</v>
      </c>
      <c r="Z16">
        <v>0</v>
      </c>
      <c r="AA16">
        <v>0.313632888591033</v>
      </c>
      <c r="AB16">
        <v>6.88577623335105E-2</v>
      </c>
      <c r="AC16">
        <v>6.8057057413336897E-2</v>
      </c>
      <c r="AD16">
        <v>278.81481481481399</v>
      </c>
      <c r="AE16">
        <v>46.0126609910497</v>
      </c>
      <c r="AF16">
        <v>232.802153823765</v>
      </c>
      <c r="AG16">
        <v>0.39839704769511097</v>
      </c>
      <c r="AH16">
        <v>0.12673390756532299</v>
      </c>
      <c r="AI16">
        <v>0.27166314012978698</v>
      </c>
      <c r="AJ16">
        <v>-1.89549120867437E-2</v>
      </c>
      <c r="AK16">
        <v>7.2681288081035099E-3</v>
      </c>
      <c r="AL16">
        <v>3.2566947459859698E-2</v>
      </c>
      <c r="AM16">
        <v>320.92169518585001</v>
      </c>
      <c r="AN16">
        <v>82.285967693139895</v>
      </c>
      <c r="AO16">
        <v>14.9022974885993</v>
      </c>
      <c r="AP16">
        <v>36.186649119507102</v>
      </c>
      <c r="AQ16">
        <f t="shared" si="3"/>
        <v>3.775993712508853</v>
      </c>
      <c r="AR16">
        <f t="shared" si="0"/>
        <v>0.13297581035271647</v>
      </c>
      <c r="AS16">
        <v>17.5062604093117</v>
      </c>
      <c r="AT16">
        <v>1.28084473466218E-2</v>
      </c>
      <c r="AU16">
        <v>7.0446039825524398</v>
      </c>
      <c r="AV16">
        <v>27.367929579627798</v>
      </c>
      <c r="AW16">
        <v>18.687894755702001</v>
      </c>
      <c r="AX16">
        <v>17.122044359952699</v>
      </c>
      <c r="AY16">
        <v>70.235281125181601</v>
      </c>
      <c r="AZ16">
        <v>44.489973939580501</v>
      </c>
      <c r="BA16">
        <v>25.745307185601099</v>
      </c>
      <c r="BB16">
        <v>67.093225133566307</v>
      </c>
      <c r="BC16">
        <v>255.21036802772201</v>
      </c>
      <c r="BD16">
        <v>356.60500470961398</v>
      </c>
      <c r="BE16">
        <v>1299.3091667967601</v>
      </c>
      <c r="BF16">
        <v>1752.20786472347</v>
      </c>
      <c r="BG16">
        <v>65.180389171113404</v>
      </c>
      <c r="BH16">
        <v>28.153380764866899</v>
      </c>
      <c r="BI16">
        <v>37.027008406246402</v>
      </c>
      <c r="BJ16">
        <v>29.630390621452001</v>
      </c>
      <c r="BK16">
        <v>72068.330460286597</v>
      </c>
      <c r="BL16">
        <v>59592.565915759304</v>
      </c>
      <c r="BM16">
        <v>12475.764544527299</v>
      </c>
      <c r="BN16">
        <f t="shared" si="1"/>
        <v>0.17311022004876461</v>
      </c>
      <c r="BO16">
        <v>4865.5481723656603</v>
      </c>
      <c r="BP16">
        <v>10</v>
      </c>
    </row>
    <row r="17" spans="4:6">
      <c r="D17">
        <f>AVERAGE(D2:D16)</f>
        <v>487.99999999999977</v>
      </c>
      <c r="E17">
        <f t="shared" ref="E17:F17" si="4">AVERAGE(E2:E16)</f>
        <v>426.75555555555519</v>
      </c>
      <c r="F17">
        <f t="shared" si="4"/>
        <v>1112.2461027398881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FE52-3A0F-422C-9712-0D2D430A9549}">
  <dimension ref="A1:AC76"/>
  <sheetViews>
    <sheetView topLeftCell="I1" workbookViewId="0">
      <selection activeCell="M20" sqref="M20"/>
    </sheetView>
  </sheetViews>
  <sheetFormatPr defaultRowHeight="13.8"/>
  <sheetData>
    <row r="1" spans="1:29">
      <c r="A1" s="15" t="s">
        <v>184</v>
      </c>
      <c r="B1" s="15" t="s">
        <v>185</v>
      </c>
      <c r="C1" s="16" t="s">
        <v>1</v>
      </c>
      <c r="D1" s="17" t="s">
        <v>0</v>
      </c>
      <c r="E1" s="17" t="s">
        <v>51</v>
      </c>
      <c r="F1" s="17" t="s">
        <v>186</v>
      </c>
      <c r="G1" s="18" t="s">
        <v>187</v>
      </c>
      <c r="H1" s="17" t="s">
        <v>188</v>
      </c>
      <c r="I1" s="19" t="s">
        <v>189</v>
      </c>
      <c r="J1" s="16" t="s">
        <v>190</v>
      </c>
      <c r="K1" s="20" t="s">
        <v>191</v>
      </c>
      <c r="L1" s="21" t="s">
        <v>192</v>
      </c>
      <c r="M1" s="17" t="s">
        <v>193</v>
      </c>
      <c r="N1" s="16" t="s">
        <v>168</v>
      </c>
      <c r="O1" s="16" t="s">
        <v>194</v>
      </c>
      <c r="P1" s="16" t="s">
        <v>195</v>
      </c>
      <c r="Q1" s="16" t="s">
        <v>196</v>
      </c>
      <c r="R1" s="16" t="s">
        <v>197</v>
      </c>
      <c r="S1" s="16" t="s">
        <v>198</v>
      </c>
      <c r="T1" s="16" t="s">
        <v>6</v>
      </c>
      <c r="U1" s="22" t="s">
        <v>3</v>
      </c>
      <c r="V1" s="22" t="s">
        <v>5</v>
      </c>
      <c r="W1" s="22" t="s">
        <v>4</v>
      </c>
      <c r="X1" s="22" t="s">
        <v>199</v>
      </c>
      <c r="Y1" s="16" t="s">
        <v>7</v>
      </c>
      <c r="Z1" s="16" t="s">
        <v>8</v>
      </c>
      <c r="AA1" s="16" t="s">
        <v>9</v>
      </c>
      <c r="AB1" s="16" t="s">
        <v>200</v>
      </c>
      <c r="AC1" s="16" t="s">
        <v>201</v>
      </c>
    </row>
    <row r="2" spans="1:29" ht="16.2">
      <c r="A2" s="23" t="e">
        <v>#N/A</v>
      </c>
      <c r="B2" s="23" t="e">
        <v>#VALUE!</v>
      </c>
      <c r="C2" s="24" t="s">
        <v>34</v>
      </c>
      <c r="D2" s="25" t="s">
        <v>15</v>
      </c>
      <c r="E2" s="25">
        <v>0</v>
      </c>
      <c r="F2" s="25">
        <v>5</v>
      </c>
      <c r="G2" s="26"/>
      <c r="H2" s="27">
        <v>44316</v>
      </c>
      <c r="I2" s="28">
        <v>0.5</v>
      </c>
      <c r="J2" s="29">
        <v>44316.5</v>
      </c>
      <c r="K2" s="30" t="s">
        <v>202</v>
      </c>
      <c r="L2" s="31">
        <v>1</v>
      </c>
      <c r="M2" s="25">
        <v>2.54</v>
      </c>
      <c r="O2" s="32" t="e">
        <v>#VALUE!</v>
      </c>
      <c r="P2" s="32" t="e">
        <v>#VALUE!</v>
      </c>
      <c r="R2" s="32" t="s">
        <v>203</v>
      </c>
      <c r="S2" s="32" t="s">
        <v>203</v>
      </c>
      <c r="T2" s="32">
        <v>1.2840000000000001E-2</v>
      </c>
      <c r="U2" s="33">
        <v>3.1578947368421053</v>
      </c>
      <c r="V2" s="33">
        <v>3.1578947368421053</v>
      </c>
      <c r="W2" s="33">
        <v>0</v>
      </c>
      <c r="X2" s="33">
        <v>1</v>
      </c>
      <c r="Y2" s="32">
        <v>9.64E-2</v>
      </c>
      <c r="Z2" s="32">
        <v>8.3559999999999995E-2</v>
      </c>
      <c r="AA2" s="32">
        <v>0.13319502074688797</v>
      </c>
      <c r="AB2" s="32">
        <v>-73.173299999999998</v>
      </c>
      <c r="AC2" s="32">
        <v>44.294849999999997</v>
      </c>
    </row>
    <row r="3" spans="1:29" ht="16.2">
      <c r="A3" s="23" t="e">
        <v>#N/A</v>
      </c>
      <c r="B3" s="23" t="e">
        <v>#VALUE!</v>
      </c>
      <c r="C3" s="24" t="s">
        <v>34</v>
      </c>
      <c r="D3" s="25" t="s">
        <v>15</v>
      </c>
      <c r="E3" s="25">
        <v>0</v>
      </c>
      <c r="F3" s="25">
        <v>6</v>
      </c>
      <c r="G3" s="26"/>
      <c r="H3" s="27">
        <v>44316</v>
      </c>
      <c r="I3" s="28">
        <v>0.5</v>
      </c>
      <c r="J3" s="29">
        <v>44316.5</v>
      </c>
      <c r="K3" s="30" t="s">
        <v>202</v>
      </c>
      <c r="L3" s="31">
        <v>1</v>
      </c>
      <c r="M3" s="25">
        <v>2.54</v>
      </c>
      <c r="O3" s="32" t="e">
        <v>#VALUE!</v>
      </c>
      <c r="P3" s="32" t="e">
        <v>#VALUE!</v>
      </c>
      <c r="R3" s="32" t="s">
        <v>204</v>
      </c>
      <c r="S3" s="32" t="s">
        <v>204</v>
      </c>
      <c r="T3" s="32">
        <v>7.3229999999999996E-3</v>
      </c>
      <c r="U3" s="33">
        <v>3</v>
      </c>
      <c r="V3" s="33">
        <v>3</v>
      </c>
      <c r="W3" s="33">
        <v>0</v>
      </c>
      <c r="X3" s="33">
        <v>1</v>
      </c>
      <c r="Y3" s="32">
        <v>4.5499999999999999E-2</v>
      </c>
      <c r="Z3" s="32">
        <v>3.8177000000000003E-2</v>
      </c>
      <c r="AA3" s="32">
        <v>0.16094505494505496</v>
      </c>
      <c r="AB3" s="32">
        <v>-73.173299999999998</v>
      </c>
      <c r="AC3" s="32">
        <v>44.294849999999997</v>
      </c>
    </row>
    <row r="4" spans="1:29" ht="16.2">
      <c r="A4" s="23" t="e">
        <v>#N/A</v>
      </c>
      <c r="B4" s="23" t="e">
        <v>#VALUE!</v>
      </c>
      <c r="C4" s="24" t="s">
        <v>34</v>
      </c>
      <c r="D4" s="25" t="s">
        <v>15</v>
      </c>
      <c r="E4" s="25">
        <v>0</v>
      </c>
      <c r="F4" s="25">
        <v>5</v>
      </c>
      <c r="G4" s="26"/>
      <c r="H4" s="27">
        <v>44304</v>
      </c>
      <c r="I4" s="28">
        <v>0.60416666666666663</v>
      </c>
      <c r="J4" s="29">
        <v>44304.604166666664</v>
      </c>
      <c r="K4" s="30" t="s">
        <v>202</v>
      </c>
      <c r="L4" s="31">
        <v>1</v>
      </c>
      <c r="M4" s="25">
        <v>2.54</v>
      </c>
      <c r="O4" s="32" t="e">
        <v>#VALUE!</v>
      </c>
      <c r="P4" s="32" t="e">
        <v>#VALUE!</v>
      </c>
      <c r="R4" s="32" t="s">
        <v>205</v>
      </c>
      <c r="S4" s="32" t="s">
        <v>205</v>
      </c>
      <c r="T4" s="32" t="e">
        <v>#DIV/0!</v>
      </c>
      <c r="U4" s="33">
        <v>2.6666666666666701</v>
      </c>
      <c r="V4" s="33">
        <v>1.1111111111111109</v>
      </c>
      <c r="W4" s="33">
        <v>1.5555555555555618</v>
      </c>
      <c r="X4" s="33">
        <v>0.41666666666666563</v>
      </c>
      <c r="Y4" s="32">
        <v>9.64E-2</v>
      </c>
      <c r="Z4" s="32">
        <v>8.3559999999999995E-2</v>
      </c>
      <c r="AA4" s="32">
        <v>0.13319502074688797</v>
      </c>
      <c r="AB4" s="32">
        <v>-73.173299999999998</v>
      </c>
      <c r="AC4" s="32">
        <v>44.294849999999997</v>
      </c>
    </row>
    <row r="5" spans="1:29" ht="16.2">
      <c r="A5" s="23" t="e">
        <v>#N/A</v>
      </c>
      <c r="B5" s="23" t="e">
        <v>#VALUE!</v>
      </c>
      <c r="C5" s="24" t="s">
        <v>34</v>
      </c>
      <c r="D5" s="25" t="s">
        <v>15</v>
      </c>
      <c r="E5" s="25">
        <v>0</v>
      </c>
      <c r="F5" s="25">
        <v>6</v>
      </c>
      <c r="G5" s="26"/>
      <c r="H5" s="27">
        <v>44304</v>
      </c>
      <c r="I5" s="28">
        <v>0.60416666666666663</v>
      </c>
      <c r="J5" s="29">
        <v>44304.604166666664</v>
      </c>
      <c r="K5" s="30" t="s">
        <v>202</v>
      </c>
      <c r="L5" s="31">
        <v>1</v>
      </c>
      <c r="M5" s="25">
        <v>2.54</v>
      </c>
      <c r="O5" s="32" t="e">
        <v>#VALUE!</v>
      </c>
      <c r="P5" s="32" t="e">
        <v>#VALUE!</v>
      </c>
      <c r="R5" s="32" t="s">
        <v>206</v>
      </c>
      <c r="S5" s="32" t="s">
        <v>206</v>
      </c>
      <c r="T5" s="32" t="e">
        <v>#DIV/0!</v>
      </c>
      <c r="U5" s="33">
        <v>2.5555555555555522</v>
      </c>
      <c r="V5" s="33">
        <v>2.2222222222222223</v>
      </c>
      <c r="W5" s="33">
        <v>0.33333333333333015</v>
      </c>
      <c r="X5" s="33">
        <v>0.86956521739130554</v>
      </c>
      <c r="Y5" s="32">
        <v>4.5499999999999999E-2</v>
      </c>
      <c r="Z5" s="32">
        <v>3.8177000000000003E-2</v>
      </c>
      <c r="AA5" s="32">
        <v>0.16094505494505496</v>
      </c>
      <c r="AB5" s="32">
        <v>-73.173299999999998</v>
      </c>
      <c r="AC5" s="32">
        <v>44.294849999999997</v>
      </c>
    </row>
    <row r="6" spans="1:29" ht="16.2">
      <c r="A6" s="23" t="e">
        <v>#N/A</v>
      </c>
      <c r="B6" s="23" t="s">
        <v>207</v>
      </c>
      <c r="C6" s="32" t="s">
        <v>34</v>
      </c>
      <c r="D6" s="25" t="s">
        <v>15</v>
      </c>
      <c r="E6" s="25" t="s">
        <v>208</v>
      </c>
      <c r="F6" s="25">
        <v>5</v>
      </c>
      <c r="G6" s="26">
        <v>1</v>
      </c>
      <c r="H6" s="27">
        <v>43747</v>
      </c>
      <c r="I6" s="28">
        <v>0.60416666666666663</v>
      </c>
      <c r="J6" s="29">
        <v>43747.604166666664</v>
      </c>
      <c r="K6" s="30" t="s">
        <v>202</v>
      </c>
      <c r="L6" s="31"/>
      <c r="M6" s="25">
        <v>0</v>
      </c>
      <c r="O6" s="32" t="s">
        <v>209</v>
      </c>
      <c r="P6" s="32" t="s">
        <v>210</v>
      </c>
      <c r="Q6" s="32" t="s">
        <v>211</v>
      </c>
      <c r="R6" s="32" t="s">
        <v>212</v>
      </c>
      <c r="S6" s="32" t="s">
        <v>212</v>
      </c>
      <c r="T6" s="32">
        <v>2.1340000000000001E-2</v>
      </c>
      <c r="U6" s="33">
        <v>3</v>
      </c>
      <c r="V6" s="33">
        <v>3</v>
      </c>
      <c r="W6" s="33">
        <v>0</v>
      </c>
      <c r="X6" s="33">
        <v>1</v>
      </c>
      <c r="Y6" s="32">
        <v>4.6299999999999994E-2</v>
      </c>
      <c r="Z6" s="32">
        <v>2.4959999999999993E-2</v>
      </c>
      <c r="AA6" s="32">
        <v>0.46090712742980572</v>
      </c>
      <c r="AB6" s="32">
        <v>-73.173299999999998</v>
      </c>
      <c r="AC6" s="32">
        <v>44.294849999999997</v>
      </c>
    </row>
    <row r="7" spans="1:29" ht="16.2">
      <c r="A7" s="23" t="e">
        <v>#N/A</v>
      </c>
      <c r="B7" s="23" t="s">
        <v>207</v>
      </c>
      <c r="C7" s="32" t="s">
        <v>34</v>
      </c>
      <c r="D7" s="25" t="s">
        <v>15</v>
      </c>
      <c r="E7" s="25" t="s">
        <v>208</v>
      </c>
      <c r="F7" s="25">
        <v>6</v>
      </c>
      <c r="G7" s="26">
        <v>1</v>
      </c>
      <c r="H7" s="27">
        <v>43747</v>
      </c>
      <c r="I7" s="28">
        <v>0.60416666666666663</v>
      </c>
      <c r="J7" s="29">
        <v>43747.604166666664</v>
      </c>
      <c r="K7" s="30" t="s">
        <v>202</v>
      </c>
      <c r="L7" s="31"/>
      <c r="M7" s="25">
        <v>0</v>
      </c>
      <c r="O7" s="32" t="s">
        <v>213</v>
      </c>
      <c r="P7" s="32" t="s">
        <v>214</v>
      </c>
      <c r="Q7" s="32" t="s">
        <v>215</v>
      </c>
      <c r="R7" s="32" t="s">
        <v>216</v>
      </c>
      <c r="S7" s="32" t="s">
        <v>216</v>
      </c>
      <c r="T7" s="32">
        <v>2.6790000000000001E-2</v>
      </c>
      <c r="U7" s="33">
        <v>3</v>
      </c>
      <c r="V7" s="33">
        <v>3</v>
      </c>
      <c r="W7" s="33">
        <v>0</v>
      </c>
      <c r="X7" s="33">
        <v>1</v>
      </c>
      <c r="Y7" s="32">
        <v>4.6799999999999994E-2</v>
      </c>
      <c r="Z7" s="32">
        <v>2.0009999999999993E-2</v>
      </c>
      <c r="AA7" s="32">
        <v>0.57243589743589751</v>
      </c>
      <c r="AB7" s="32">
        <v>-73.173299999999998</v>
      </c>
      <c r="AC7" s="32">
        <v>44.294849999999997</v>
      </c>
    </row>
    <row r="8" spans="1:29" ht="16.2">
      <c r="A8" s="23" t="e">
        <v>#N/A</v>
      </c>
      <c r="B8" s="23" t="s">
        <v>217</v>
      </c>
      <c r="C8" s="32" t="s">
        <v>34</v>
      </c>
      <c r="D8" s="25" t="s">
        <v>15</v>
      </c>
      <c r="E8" s="25" t="s">
        <v>208</v>
      </c>
      <c r="F8" s="25">
        <v>5</v>
      </c>
      <c r="G8" s="26">
        <v>1</v>
      </c>
      <c r="H8" s="27">
        <v>43756</v>
      </c>
      <c r="I8" s="28">
        <v>0.41388888888888886</v>
      </c>
      <c r="J8" s="29">
        <v>43756.413888888892</v>
      </c>
      <c r="K8" s="30" t="s">
        <v>202</v>
      </c>
      <c r="L8" s="31">
        <v>2.875</v>
      </c>
      <c r="M8" s="25">
        <v>7.3025000000000002</v>
      </c>
      <c r="O8" s="32" t="s">
        <v>218</v>
      </c>
      <c r="P8" s="32" t="s">
        <v>219</v>
      </c>
      <c r="Q8" s="32" t="s">
        <v>220</v>
      </c>
      <c r="R8" s="32" t="s">
        <v>221</v>
      </c>
      <c r="S8" s="32" t="s">
        <v>221</v>
      </c>
      <c r="T8" s="32">
        <v>1.619E-2</v>
      </c>
      <c r="U8" s="33">
        <v>1.0416666666666667</v>
      </c>
      <c r="V8" s="33">
        <v>1.0416666666666667</v>
      </c>
      <c r="W8" s="33">
        <v>0</v>
      </c>
      <c r="X8" s="33">
        <v>1</v>
      </c>
      <c r="Y8" s="32">
        <v>2.1899999999999999E-2</v>
      </c>
      <c r="Z8" s="32">
        <v>5.7099999999999998E-3</v>
      </c>
      <c r="AA8" s="32">
        <v>0.73926940639269412</v>
      </c>
      <c r="AB8" s="32">
        <v>-73.173299999999998</v>
      </c>
      <c r="AC8" s="32">
        <v>44.294849999999997</v>
      </c>
    </row>
    <row r="9" spans="1:29" ht="16.2">
      <c r="A9" s="23" t="e">
        <v>#N/A</v>
      </c>
      <c r="B9" s="23" t="s">
        <v>217</v>
      </c>
      <c r="C9" s="32" t="s">
        <v>34</v>
      </c>
      <c r="D9" s="25" t="s">
        <v>15</v>
      </c>
      <c r="E9" s="25" t="s">
        <v>208</v>
      </c>
      <c r="F9" s="25">
        <v>6</v>
      </c>
      <c r="G9" s="26">
        <v>1</v>
      </c>
      <c r="H9" s="27">
        <v>43756</v>
      </c>
      <c r="I9" s="28">
        <v>0.41388888888888886</v>
      </c>
      <c r="J9" s="29">
        <v>43756.413888888892</v>
      </c>
      <c r="K9" s="30" t="s">
        <v>202</v>
      </c>
      <c r="L9" s="31">
        <v>3</v>
      </c>
      <c r="M9" s="25">
        <v>7.62</v>
      </c>
      <c r="O9" s="32" t="s">
        <v>222</v>
      </c>
      <c r="P9" s="32" t="s">
        <v>223</v>
      </c>
      <c r="Q9" s="32" t="s">
        <v>224</v>
      </c>
      <c r="R9" s="32" t="s">
        <v>225</v>
      </c>
      <c r="S9" s="32" t="s">
        <v>225</v>
      </c>
      <c r="T9" s="32">
        <v>1.6469999999999999E-2</v>
      </c>
      <c r="U9" s="33">
        <v>2.2727272727272725</v>
      </c>
      <c r="V9" s="33">
        <v>2.2727272727272725</v>
      </c>
      <c r="W9" s="33">
        <v>0</v>
      </c>
      <c r="X9" s="33">
        <v>1</v>
      </c>
      <c r="Y9" s="32">
        <v>2.3399999999999997E-2</v>
      </c>
      <c r="Z9" s="32">
        <v>6.9299999999999987E-3</v>
      </c>
      <c r="AA9" s="32">
        <v>0.7038461538461539</v>
      </c>
      <c r="AB9" s="32">
        <v>-73.173299999999998</v>
      </c>
      <c r="AC9" s="32">
        <v>44.294849999999997</v>
      </c>
    </row>
    <row r="10" spans="1:29" ht="16.2">
      <c r="A10" s="23" t="e">
        <v>#N/A</v>
      </c>
      <c r="B10" s="23">
        <v>5</v>
      </c>
      <c r="C10" s="24" t="s">
        <v>37</v>
      </c>
      <c r="D10" s="25" t="s">
        <v>15</v>
      </c>
      <c r="E10" s="25">
        <v>1</v>
      </c>
      <c r="F10" s="25">
        <v>5</v>
      </c>
      <c r="G10" s="26"/>
      <c r="H10" s="27">
        <v>44316</v>
      </c>
      <c r="I10" s="28">
        <v>0.5</v>
      </c>
      <c r="J10" s="29">
        <v>44316.5</v>
      </c>
      <c r="K10" s="30" t="s">
        <v>202</v>
      </c>
      <c r="L10" s="31">
        <v>1</v>
      </c>
      <c r="M10" s="25">
        <v>2.54</v>
      </c>
      <c r="O10" s="32" t="s">
        <v>226</v>
      </c>
      <c r="P10" s="32" t="s">
        <v>227</v>
      </c>
      <c r="R10" s="32" t="s">
        <v>228</v>
      </c>
      <c r="S10" s="32" t="s">
        <v>228</v>
      </c>
      <c r="T10" s="32">
        <v>3.4222000000000002E-2</v>
      </c>
      <c r="U10" s="33">
        <v>8.5</v>
      </c>
      <c r="V10" s="33">
        <v>0</v>
      </c>
      <c r="W10" s="33">
        <v>8.5</v>
      </c>
      <c r="X10" s="33">
        <v>0</v>
      </c>
      <c r="Y10" s="32">
        <v>3.27E-2</v>
      </c>
      <c r="Z10" s="32">
        <v>-1.5220000000000025E-3</v>
      </c>
      <c r="AA10" s="32">
        <v>1</v>
      </c>
      <c r="AB10" s="32">
        <v>-73.174099999999996</v>
      </c>
      <c r="AC10" s="32">
        <v>44.29419</v>
      </c>
    </row>
    <row r="11" spans="1:29" ht="16.2">
      <c r="A11" s="23" t="e">
        <v>#N/A</v>
      </c>
      <c r="B11" s="23">
        <v>6</v>
      </c>
      <c r="C11" s="24" t="s">
        <v>37</v>
      </c>
      <c r="D11" s="25" t="s">
        <v>15</v>
      </c>
      <c r="E11" s="25">
        <v>1</v>
      </c>
      <c r="F11" s="25">
        <v>6</v>
      </c>
      <c r="G11" s="26"/>
      <c r="H11" s="27">
        <v>44316</v>
      </c>
      <c r="I11" s="28">
        <v>0.5</v>
      </c>
      <c r="J11" s="29">
        <v>44316.5</v>
      </c>
      <c r="K11" s="30" t="s">
        <v>202</v>
      </c>
      <c r="L11" s="31">
        <v>1</v>
      </c>
      <c r="M11" s="25">
        <v>2.54</v>
      </c>
      <c r="O11" s="32" t="s">
        <v>229</v>
      </c>
      <c r="P11" s="32" t="s">
        <v>230</v>
      </c>
      <c r="R11" s="32" t="s">
        <v>231</v>
      </c>
      <c r="S11" s="32" t="s">
        <v>231</v>
      </c>
      <c r="T11" s="32">
        <v>4.0626000000000002E-2</v>
      </c>
      <c r="U11" s="33">
        <v>5.2631578947368425</v>
      </c>
      <c r="V11" s="33">
        <v>0</v>
      </c>
      <c r="W11" s="33">
        <v>5.2631578947368425</v>
      </c>
      <c r="X11" s="33">
        <v>0</v>
      </c>
      <c r="Y11" s="32">
        <v>7.2899999999999996E-3</v>
      </c>
      <c r="Z11" s="32">
        <v>-3.3336000000000005E-2</v>
      </c>
      <c r="AA11" s="32">
        <v>1</v>
      </c>
      <c r="AB11" s="32">
        <v>-73.174099999999996</v>
      </c>
      <c r="AC11" s="32">
        <v>44.29419</v>
      </c>
    </row>
    <row r="12" spans="1:29" ht="16.2">
      <c r="A12" s="23" t="s">
        <v>232</v>
      </c>
      <c r="B12" s="23" t="s">
        <v>233</v>
      </c>
      <c r="C12" s="32" t="s">
        <v>37</v>
      </c>
      <c r="D12" s="25" t="s">
        <v>15</v>
      </c>
      <c r="E12" s="25" t="s">
        <v>233</v>
      </c>
      <c r="F12" s="25">
        <v>5</v>
      </c>
      <c r="G12" s="26">
        <v>1</v>
      </c>
      <c r="H12" s="27">
        <v>43746</v>
      </c>
      <c r="I12" s="28">
        <v>0.41666666666666669</v>
      </c>
      <c r="J12" s="29">
        <v>43746.416666666664</v>
      </c>
      <c r="K12" s="30" t="s">
        <v>202</v>
      </c>
      <c r="L12" s="31"/>
      <c r="M12" s="25">
        <v>6.35</v>
      </c>
      <c r="O12" s="32" t="s">
        <v>234</v>
      </c>
      <c r="P12" s="32" t="s">
        <v>235</v>
      </c>
      <c r="Q12" s="32" t="s">
        <v>236</v>
      </c>
      <c r="R12" s="32" t="s">
        <v>237</v>
      </c>
      <c r="S12" s="32" t="s">
        <v>237</v>
      </c>
      <c r="T12" s="32">
        <v>4.4240000000000002E-2</v>
      </c>
      <c r="U12" s="33">
        <v>1.1111111111111112</v>
      </c>
      <c r="V12" s="33">
        <v>0</v>
      </c>
      <c r="W12" s="33">
        <v>1.1111111111111112</v>
      </c>
      <c r="X12" s="33">
        <v>0</v>
      </c>
      <c r="Y12" s="32">
        <v>7.9799999999999996E-2</v>
      </c>
      <c r="Z12" s="32">
        <v>3.5559999999999994E-2</v>
      </c>
      <c r="AA12" s="32">
        <v>0.55438596491228076</v>
      </c>
      <c r="AB12" s="32">
        <v>-73.174099999999996</v>
      </c>
      <c r="AC12" s="32">
        <v>44.29419</v>
      </c>
    </row>
    <row r="13" spans="1:29" ht="16.2">
      <c r="A13" s="23" t="e">
        <v>#N/A</v>
      </c>
      <c r="B13" s="23" t="s">
        <v>233</v>
      </c>
      <c r="C13" s="32" t="s">
        <v>37</v>
      </c>
      <c r="D13" s="25" t="s">
        <v>15</v>
      </c>
      <c r="E13" s="25" t="s">
        <v>233</v>
      </c>
      <c r="F13" s="34">
        <v>6</v>
      </c>
      <c r="G13" s="26">
        <v>1</v>
      </c>
      <c r="H13" s="27">
        <v>43746</v>
      </c>
      <c r="I13" s="28">
        <v>0.41666666666666669</v>
      </c>
      <c r="J13" s="29">
        <v>43746.416666666664</v>
      </c>
      <c r="K13" s="30" t="s">
        <v>202</v>
      </c>
      <c r="L13" s="31"/>
      <c r="M13" s="25">
        <v>7.62</v>
      </c>
      <c r="O13" s="32" t="s">
        <v>238</v>
      </c>
      <c r="P13" s="32" t="s">
        <v>239</v>
      </c>
      <c r="Q13" s="32" t="s">
        <v>240</v>
      </c>
      <c r="R13" s="32" t="s">
        <v>241</v>
      </c>
      <c r="S13" s="32" t="s">
        <v>241</v>
      </c>
      <c r="T13" s="32">
        <v>4.4240000000000002E-2</v>
      </c>
      <c r="U13" s="33">
        <v>1.1764705882352942</v>
      </c>
      <c r="V13" s="33">
        <v>1.1764705882352942</v>
      </c>
      <c r="W13" s="33">
        <v>0</v>
      </c>
      <c r="X13" s="33">
        <v>1</v>
      </c>
      <c r="Y13" s="32">
        <v>8.6099999999999996E-2</v>
      </c>
      <c r="Z13" s="32">
        <v>4.1859999999999994E-2</v>
      </c>
      <c r="AA13" s="32">
        <v>0.5138211382113822</v>
      </c>
      <c r="AB13" s="32">
        <v>-73.174099999999996</v>
      </c>
      <c r="AC13" s="32">
        <v>44.29419</v>
      </c>
    </row>
    <row r="14" spans="1:29" ht="16.2">
      <c r="A14" s="23" t="e">
        <v>#N/A</v>
      </c>
      <c r="B14" s="23" t="s">
        <v>242</v>
      </c>
      <c r="C14" s="32" t="s">
        <v>37</v>
      </c>
      <c r="D14" s="25" t="s">
        <v>15</v>
      </c>
      <c r="E14" s="25" t="s">
        <v>233</v>
      </c>
      <c r="F14" s="25">
        <v>5</v>
      </c>
      <c r="G14" s="26">
        <v>1</v>
      </c>
      <c r="H14" s="27">
        <v>43756</v>
      </c>
      <c r="I14" s="28">
        <v>0.40277777777777779</v>
      </c>
      <c r="J14" s="29">
        <v>43756.402777777781</v>
      </c>
      <c r="K14" s="30" t="s">
        <v>202</v>
      </c>
      <c r="L14" s="31"/>
      <c r="M14" s="25">
        <v>7.9375</v>
      </c>
      <c r="O14" s="32" t="s">
        <v>243</v>
      </c>
      <c r="P14" s="32" t="s">
        <v>244</v>
      </c>
      <c r="Q14" s="32" t="s">
        <v>245</v>
      </c>
      <c r="R14" s="32" t="s">
        <v>246</v>
      </c>
      <c r="S14" s="32" t="s">
        <v>246</v>
      </c>
      <c r="T14" s="32">
        <v>1.341E-2</v>
      </c>
      <c r="U14" s="33">
        <v>3.1578947368421053</v>
      </c>
      <c r="V14" s="33">
        <v>0</v>
      </c>
      <c r="W14" s="33">
        <v>3.1578947368421053</v>
      </c>
      <c r="X14" s="33">
        <v>0</v>
      </c>
      <c r="Y14" s="32">
        <v>1.7399999999999999E-2</v>
      </c>
      <c r="Z14" s="32">
        <v>3.9899999999999988E-3</v>
      </c>
      <c r="AA14" s="32">
        <v>0.77068965517241383</v>
      </c>
      <c r="AB14" s="32">
        <v>-73.174099999999996</v>
      </c>
      <c r="AC14" s="32">
        <v>44.29419</v>
      </c>
    </row>
    <row r="15" spans="1:29" ht="16.2">
      <c r="A15" s="23" t="e">
        <v>#N/A</v>
      </c>
      <c r="B15" s="23" t="s">
        <v>242</v>
      </c>
      <c r="C15" s="32" t="s">
        <v>37</v>
      </c>
      <c r="D15" s="25" t="s">
        <v>15</v>
      </c>
      <c r="E15" s="25" t="s">
        <v>233</v>
      </c>
      <c r="F15" s="25">
        <v>6</v>
      </c>
      <c r="G15" s="26">
        <v>1</v>
      </c>
      <c r="H15" s="27">
        <v>43756</v>
      </c>
      <c r="I15" s="28">
        <v>0.40277777777777779</v>
      </c>
      <c r="J15" s="29">
        <v>43756.402777777781</v>
      </c>
      <c r="K15" s="30" t="s">
        <v>202</v>
      </c>
      <c r="L15" s="31">
        <v>3.5</v>
      </c>
      <c r="M15" s="25">
        <v>8.89</v>
      </c>
      <c r="O15" s="32" t="s">
        <v>247</v>
      </c>
      <c r="P15" s="32" t="s">
        <v>248</v>
      </c>
      <c r="Q15" s="32" t="s">
        <v>249</v>
      </c>
      <c r="R15" s="32" t="s">
        <v>250</v>
      </c>
      <c r="S15" s="32" t="s">
        <v>250</v>
      </c>
      <c r="T15" s="32">
        <v>1.452E-2</v>
      </c>
      <c r="U15" s="33">
        <v>3.6842105263157898</v>
      </c>
      <c r="V15" s="33">
        <v>0</v>
      </c>
      <c r="W15" s="33">
        <v>3.6842105263157898</v>
      </c>
      <c r="X15" s="33">
        <v>0</v>
      </c>
      <c r="Y15" s="32">
        <v>2.1600000000000001E-2</v>
      </c>
      <c r="Z15" s="32">
        <v>7.0800000000000012E-3</v>
      </c>
      <c r="AA15" s="32">
        <v>0.67222222222222217</v>
      </c>
      <c r="AB15" s="32">
        <v>-73.174099999999996</v>
      </c>
      <c r="AC15" s="32">
        <v>44.29419</v>
      </c>
    </row>
    <row r="16" spans="1:29" ht="16.2">
      <c r="A16" s="23" t="e">
        <v>#N/A</v>
      </c>
      <c r="B16" s="23" t="s">
        <v>251</v>
      </c>
      <c r="C16" s="32" t="s">
        <v>40</v>
      </c>
      <c r="D16" s="25" t="s">
        <v>15</v>
      </c>
      <c r="E16" s="25" t="s">
        <v>207</v>
      </c>
      <c r="F16" s="25">
        <v>5</v>
      </c>
      <c r="G16" s="26">
        <v>1</v>
      </c>
      <c r="H16" s="27">
        <v>43756</v>
      </c>
      <c r="I16" s="28">
        <v>0.77083333333333337</v>
      </c>
      <c r="J16" s="29">
        <v>43756.770833333336</v>
      </c>
      <c r="K16" s="30" t="s">
        <v>202</v>
      </c>
      <c r="L16" s="31">
        <v>0.5</v>
      </c>
      <c r="M16" s="25">
        <v>1.27</v>
      </c>
      <c r="O16" s="32" t="s">
        <v>252</v>
      </c>
      <c r="P16" s="32" t="s">
        <v>253</v>
      </c>
      <c r="Q16" s="32" t="s">
        <v>254</v>
      </c>
      <c r="R16" s="32" t="s">
        <v>255</v>
      </c>
      <c r="S16" s="32" t="s">
        <v>255</v>
      </c>
      <c r="T16" s="32">
        <v>1.6740000000000001E-2</v>
      </c>
      <c r="U16" s="33">
        <v>8.4848484848484844</v>
      </c>
      <c r="V16" s="33">
        <v>8.4848484848484844</v>
      </c>
      <c r="W16" s="33">
        <v>0</v>
      </c>
      <c r="X16" s="33">
        <v>1</v>
      </c>
      <c r="Y16" s="32">
        <v>2.2600000000000002E-2</v>
      </c>
      <c r="Z16" s="32">
        <v>5.8600000000000006E-3</v>
      </c>
      <c r="AA16" s="32">
        <v>0.74070796460176991</v>
      </c>
      <c r="AB16" s="32">
        <v>-73.174300000000002</v>
      </c>
      <c r="AC16" s="32">
        <v>44.294440000000002</v>
      </c>
    </row>
    <row r="17" spans="1:29" ht="16.2">
      <c r="A17" s="23" t="e">
        <v>#N/A</v>
      </c>
      <c r="B17" s="23" t="s">
        <v>251</v>
      </c>
      <c r="C17" s="32" t="s">
        <v>40</v>
      </c>
      <c r="D17" s="25" t="s">
        <v>15</v>
      </c>
      <c r="E17" s="25" t="s">
        <v>207</v>
      </c>
      <c r="F17" s="25">
        <v>6</v>
      </c>
      <c r="G17" s="26">
        <v>1</v>
      </c>
      <c r="H17" s="27">
        <v>43756</v>
      </c>
      <c r="I17" s="28">
        <v>0.77083333333333337</v>
      </c>
      <c r="J17" s="29">
        <v>43756.770833333336</v>
      </c>
      <c r="K17" s="30" t="s">
        <v>202</v>
      </c>
      <c r="L17" s="31">
        <v>0.5</v>
      </c>
      <c r="M17" s="25">
        <v>1.27</v>
      </c>
      <c r="O17" s="32" t="s">
        <v>256</v>
      </c>
      <c r="P17" s="32" t="s">
        <v>257</v>
      </c>
      <c r="Q17" s="32" t="s">
        <v>258</v>
      </c>
      <c r="R17" s="32" t="s">
        <v>259</v>
      </c>
      <c r="S17" s="32" t="s">
        <v>259</v>
      </c>
      <c r="T17" s="32">
        <v>2.0629999999999999E-2</v>
      </c>
      <c r="U17" s="33">
        <v>3.2</v>
      </c>
      <c r="V17" s="33">
        <v>3.2</v>
      </c>
      <c r="W17" s="33">
        <v>0</v>
      </c>
      <c r="X17" s="33">
        <v>1</v>
      </c>
      <c r="Y17" s="32">
        <v>2.4399999999999998E-2</v>
      </c>
      <c r="Z17" s="32">
        <v>3.769999999999999E-3</v>
      </c>
      <c r="AA17" s="32">
        <v>0.84549180327868856</v>
      </c>
      <c r="AB17" s="32">
        <v>-73.174300000000002</v>
      </c>
      <c r="AC17" s="32">
        <v>44.294440000000002</v>
      </c>
    </row>
    <row r="18" spans="1:29" ht="16.2">
      <c r="A18" s="23" t="e">
        <v>#N/A</v>
      </c>
      <c r="B18" s="23" t="s">
        <v>260</v>
      </c>
      <c r="C18" s="32" t="s">
        <v>43</v>
      </c>
      <c r="D18" s="25" t="s">
        <v>15</v>
      </c>
      <c r="E18" s="25" t="s">
        <v>242</v>
      </c>
      <c r="F18" s="25">
        <v>5</v>
      </c>
      <c r="G18" s="26">
        <v>1</v>
      </c>
      <c r="H18" s="27">
        <v>43756</v>
      </c>
      <c r="I18" s="28">
        <v>0.4201388888888889</v>
      </c>
      <c r="J18" s="29">
        <v>43756.420138888891</v>
      </c>
      <c r="K18" s="30" t="s">
        <v>202</v>
      </c>
      <c r="L18" s="31">
        <v>0.375</v>
      </c>
      <c r="M18" s="25">
        <v>0.95250000000000001</v>
      </c>
      <c r="O18" s="32" t="s">
        <v>261</v>
      </c>
      <c r="P18" s="32" t="s">
        <v>262</v>
      </c>
      <c r="Q18" s="32" t="s">
        <v>263</v>
      </c>
      <c r="R18" s="32" t="s">
        <v>264</v>
      </c>
      <c r="S18" s="32" t="s">
        <v>264</v>
      </c>
      <c r="T18" s="32">
        <v>1.7850000000000001E-2</v>
      </c>
      <c r="U18" s="33">
        <v>4.2105263157894735</v>
      </c>
      <c r="V18" s="33">
        <v>2.1052631578947367</v>
      </c>
      <c r="W18" s="33">
        <v>2.1052631578947367</v>
      </c>
      <c r="X18" s="33">
        <v>0.5</v>
      </c>
      <c r="Y18" s="32">
        <v>2.4500000000000001E-2</v>
      </c>
      <c r="Z18" s="32">
        <v>6.6499999999999997E-3</v>
      </c>
      <c r="AA18" s="32">
        <v>0.72857142857142865</v>
      </c>
      <c r="AB18" s="32">
        <v>-73.173000000000002</v>
      </c>
      <c r="AC18" s="32">
        <v>44.295760000000001</v>
      </c>
    </row>
    <row r="19" spans="1:29" ht="16.2">
      <c r="A19" s="23" t="e">
        <v>#N/A</v>
      </c>
      <c r="B19" s="23" t="s">
        <v>260</v>
      </c>
      <c r="C19" s="32" t="s">
        <v>43</v>
      </c>
      <c r="D19" s="25" t="s">
        <v>15</v>
      </c>
      <c r="E19" s="25" t="s">
        <v>242</v>
      </c>
      <c r="F19" s="25">
        <v>6</v>
      </c>
      <c r="G19" s="26">
        <v>1</v>
      </c>
      <c r="H19" s="27">
        <v>43756</v>
      </c>
      <c r="I19" s="28">
        <v>0.4201388888888889</v>
      </c>
      <c r="J19" s="29">
        <v>43756.420138888891</v>
      </c>
      <c r="K19" s="30" t="s">
        <v>202</v>
      </c>
      <c r="L19" s="31">
        <v>0.375</v>
      </c>
      <c r="M19" s="25">
        <v>0.95250000000000001</v>
      </c>
      <c r="O19" s="32" t="s">
        <v>265</v>
      </c>
      <c r="P19" s="32" t="s">
        <v>266</v>
      </c>
      <c r="Q19" s="32" t="s">
        <v>267</v>
      </c>
      <c r="R19" s="32" t="s">
        <v>268</v>
      </c>
      <c r="S19" s="32" t="s">
        <v>268</v>
      </c>
      <c r="T19" s="32">
        <v>2.0910000000000002E-2</v>
      </c>
      <c r="U19" s="33">
        <v>8.4210526315789469</v>
      </c>
      <c r="V19" s="33">
        <v>4.2105263157894735</v>
      </c>
      <c r="W19" s="33">
        <v>4.2105263157894735</v>
      </c>
      <c r="X19" s="33">
        <v>0.5</v>
      </c>
      <c r="Y19" s="32">
        <v>2.9899999999999999E-2</v>
      </c>
      <c r="Z19" s="32">
        <v>8.989999999999998E-3</v>
      </c>
      <c r="AA19" s="32">
        <v>0.69933110367892981</v>
      </c>
      <c r="AB19" s="32">
        <v>-73.173000000000002</v>
      </c>
      <c r="AC19" s="32">
        <v>44.295760000000001</v>
      </c>
    </row>
    <row r="20" spans="1:29" ht="16.2">
      <c r="A20" s="23" t="e">
        <v>#N/A</v>
      </c>
      <c r="B20" s="23" t="s">
        <v>269</v>
      </c>
      <c r="C20" s="24" t="s">
        <v>35</v>
      </c>
      <c r="D20" s="25" t="s">
        <v>26</v>
      </c>
      <c r="E20" s="26">
        <v>0</v>
      </c>
      <c r="F20" s="25">
        <v>5</v>
      </c>
      <c r="G20" s="26" t="s">
        <v>270</v>
      </c>
      <c r="H20" s="27">
        <v>44191</v>
      </c>
      <c r="I20" s="28">
        <v>0.54166666666666663</v>
      </c>
      <c r="J20" s="29">
        <v>44191.541666666664</v>
      </c>
      <c r="K20" s="30" t="s">
        <v>202</v>
      </c>
      <c r="L20" s="31">
        <v>5</v>
      </c>
      <c r="M20" s="25">
        <v>12.7</v>
      </c>
      <c r="N20" s="35"/>
      <c r="O20" s="32" t="s">
        <v>271</v>
      </c>
      <c r="P20" s="32" t="s">
        <v>272</v>
      </c>
      <c r="R20" s="32" t="s">
        <v>273</v>
      </c>
      <c r="S20" s="32" t="s">
        <v>274</v>
      </c>
      <c r="T20" s="32">
        <v>3.8174E-2</v>
      </c>
      <c r="U20" s="33">
        <v>17.5</v>
      </c>
      <c r="V20" s="33">
        <v>0</v>
      </c>
      <c r="W20" s="33">
        <v>17.5</v>
      </c>
      <c r="X20" s="33">
        <v>0</v>
      </c>
      <c r="Y20" s="32">
        <v>8.2099999999999992E-2</v>
      </c>
      <c r="Z20" s="32">
        <v>4.3925999999999993E-2</v>
      </c>
      <c r="AA20" s="32">
        <v>0.46496954933008527</v>
      </c>
      <c r="AB20" s="32">
        <v>-73.097099999999998</v>
      </c>
      <c r="AC20" s="32">
        <v>43.781860000000002</v>
      </c>
    </row>
    <row r="21" spans="1:29" ht="16.2">
      <c r="A21" s="23" t="e">
        <v>#N/A</v>
      </c>
      <c r="B21" s="23" t="e">
        <v>#VALUE!</v>
      </c>
      <c r="C21" s="24" t="s">
        <v>35</v>
      </c>
      <c r="D21" s="25" t="s">
        <v>26</v>
      </c>
      <c r="E21" s="26">
        <v>0</v>
      </c>
      <c r="F21" s="25">
        <v>6</v>
      </c>
      <c r="G21" s="26" t="s">
        <v>270</v>
      </c>
      <c r="H21" s="27">
        <v>44191</v>
      </c>
      <c r="I21" s="28">
        <v>0.54166666666666663</v>
      </c>
      <c r="J21" s="29">
        <v>44191.541666666664</v>
      </c>
      <c r="K21" s="30" t="s">
        <v>202</v>
      </c>
      <c r="L21" s="31">
        <v>4.5</v>
      </c>
      <c r="M21" s="25">
        <v>11.43</v>
      </c>
      <c r="N21" s="35"/>
      <c r="O21" s="32" t="e">
        <v>#VALUE!</v>
      </c>
      <c r="P21" s="32" t="e">
        <v>#VALUE!</v>
      </c>
      <c r="R21" s="32" t="s">
        <v>275</v>
      </c>
      <c r="S21" s="32" t="s">
        <v>276</v>
      </c>
      <c r="T21" s="32">
        <v>0.17458799999999999</v>
      </c>
      <c r="U21" s="33">
        <v>18.333333333333336</v>
      </c>
      <c r="V21" s="33">
        <v>0</v>
      </c>
      <c r="W21" s="33">
        <v>18.333333333333336</v>
      </c>
      <c r="X21" s="33">
        <v>0</v>
      </c>
      <c r="Y21" s="32">
        <v>0.24099999999999999</v>
      </c>
      <c r="Z21" s="32">
        <v>6.6411999999999999E-2</v>
      </c>
      <c r="AA21" s="32">
        <v>0.72443153526970949</v>
      </c>
      <c r="AB21" s="32">
        <v>-73.097099999999998</v>
      </c>
      <c r="AC21" s="32">
        <v>43.781860000000002</v>
      </c>
    </row>
    <row r="22" spans="1:29" ht="16.2">
      <c r="A22" s="23" t="e">
        <v>#N/A</v>
      </c>
      <c r="B22" s="23" t="e">
        <v>#VALUE!</v>
      </c>
      <c r="C22" s="24" t="s">
        <v>35</v>
      </c>
      <c r="D22" s="25" t="s">
        <v>26</v>
      </c>
      <c r="E22" s="25">
        <v>0</v>
      </c>
      <c r="F22" s="25">
        <v>5</v>
      </c>
      <c r="G22" s="26"/>
      <c r="H22" s="27">
        <v>44282</v>
      </c>
      <c r="I22" s="28">
        <v>0.61111111111111105</v>
      </c>
      <c r="J22" s="29">
        <v>44282.611111111109</v>
      </c>
      <c r="K22" s="30" t="s">
        <v>202</v>
      </c>
      <c r="L22" s="31">
        <v>8</v>
      </c>
      <c r="M22" s="25">
        <v>20.32</v>
      </c>
      <c r="O22" s="32" t="e">
        <v>#VALUE!</v>
      </c>
      <c r="P22" s="32" t="e">
        <v>#VALUE!</v>
      </c>
      <c r="R22" s="32" t="s">
        <v>277</v>
      </c>
      <c r="S22" s="32" t="s">
        <v>277</v>
      </c>
      <c r="T22" s="32">
        <v>9.4710000000000003E-3</v>
      </c>
      <c r="U22" s="33">
        <v>8.3333333333333339</v>
      </c>
      <c r="V22" s="33">
        <v>3.3333333333333339</v>
      </c>
      <c r="W22" s="33">
        <v>5</v>
      </c>
      <c r="X22" s="33">
        <v>0.4</v>
      </c>
      <c r="Y22" s="32">
        <v>0.24099999999999999</v>
      </c>
      <c r="Z22" s="32">
        <v>6.6411999999999999E-2</v>
      </c>
      <c r="AA22" s="32">
        <v>0.72443153526970949</v>
      </c>
      <c r="AB22" s="32">
        <v>-73.097099999999998</v>
      </c>
      <c r="AC22" s="32">
        <v>43.781860000000002</v>
      </c>
    </row>
    <row r="23" spans="1:29" ht="16.2">
      <c r="A23" s="23" t="e">
        <v>#N/A</v>
      </c>
      <c r="B23" s="23" t="e">
        <v>#VALUE!</v>
      </c>
      <c r="C23" s="24" t="s">
        <v>35</v>
      </c>
      <c r="D23" s="25" t="s">
        <v>26</v>
      </c>
      <c r="E23" s="25">
        <v>0</v>
      </c>
      <c r="F23" s="25">
        <v>6</v>
      </c>
      <c r="G23" s="26"/>
      <c r="H23" s="27">
        <v>44282</v>
      </c>
      <c r="I23" s="28">
        <v>0.61111111111111105</v>
      </c>
      <c r="J23" s="29">
        <v>44282.611111111109</v>
      </c>
      <c r="K23" s="30" t="s">
        <v>202</v>
      </c>
      <c r="L23" s="31">
        <v>8</v>
      </c>
      <c r="M23" s="25">
        <v>20.32</v>
      </c>
      <c r="O23" s="32" t="e">
        <v>#VALUE!</v>
      </c>
      <c r="P23" s="32" t="e">
        <v>#VALUE!</v>
      </c>
      <c r="R23" s="32" t="s">
        <v>278</v>
      </c>
      <c r="S23" s="32" t="s">
        <v>278</v>
      </c>
      <c r="T23" s="32">
        <v>8.9990000000000001E-3</v>
      </c>
      <c r="U23" s="33">
        <v>7</v>
      </c>
      <c r="V23" s="33">
        <v>7</v>
      </c>
      <c r="W23" s="33">
        <v>0</v>
      </c>
      <c r="X23" s="33">
        <v>1</v>
      </c>
      <c r="Y23" s="32">
        <v>4.7600000000000003E-2</v>
      </c>
      <c r="Z23" s="32">
        <v>3.8601000000000003E-2</v>
      </c>
      <c r="AA23" s="32">
        <v>0.18905462184873947</v>
      </c>
      <c r="AB23" s="32">
        <v>-73.097099999999998</v>
      </c>
      <c r="AC23" s="32">
        <v>43.781860000000002</v>
      </c>
    </row>
    <row r="24" spans="1:29" ht="16.2">
      <c r="A24" s="23" t="e">
        <v>#N/A</v>
      </c>
      <c r="B24" s="23" t="s">
        <v>279</v>
      </c>
      <c r="C24" s="32" t="s">
        <v>35</v>
      </c>
      <c r="D24" s="25" t="s">
        <v>26</v>
      </c>
      <c r="E24" s="25" t="s">
        <v>208</v>
      </c>
      <c r="F24" s="25">
        <v>5</v>
      </c>
      <c r="G24" s="26">
        <v>1</v>
      </c>
      <c r="H24" s="27">
        <v>43756</v>
      </c>
      <c r="I24" s="28">
        <v>0.64583333333333337</v>
      </c>
      <c r="J24" s="29">
        <v>43756.645833333336</v>
      </c>
      <c r="K24" s="30" t="s">
        <v>202</v>
      </c>
      <c r="L24" s="31">
        <v>6</v>
      </c>
      <c r="M24" s="25">
        <v>15.24</v>
      </c>
      <c r="O24" s="32" t="s">
        <v>280</v>
      </c>
      <c r="P24" s="32" t="s">
        <v>281</v>
      </c>
      <c r="Q24" s="32" t="s">
        <v>282</v>
      </c>
      <c r="R24" s="32" t="s">
        <v>283</v>
      </c>
      <c r="S24" s="32" t="s">
        <v>283</v>
      </c>
      <c r="T24" s="32">
        <v>2.147E-2</v>
      </c>
      <c r="U24" s="33">
        <v>7.3170731707321517</v>
      </c>
      <c r="V24" s="33">
        <v>0</v>
      </c>
      <c r="W24" s="33">
        <v>7.3170731707321517</v>
      </c>
      <c r="X24" s="33">
        <v>0</v>
      </c>
      <c r="Y24" s="32">
        <v>8.1299999999999997E-2</v>
      </c>
      <c r="Z24" s="32">
        <v>5.9829999999999994E-2</v>
      </c>
      <c r="AA24" s="32">
        <v>0.26408364083640834</v>
      </c>
      <c r="AB24" s="32">
        <v>-73.097099999999998</v>
      </c>
      <c r="AC24" s="32">
        <v>43.781860000000002</v>
      </c>
    </row>
    <row r="25" spans="1:29" ht="16.2">
      <c r="A25" s="23" t="e">
        <v>#N/A</v>
      </c>
      <c r="B25" s="23" t="s">
        <v>279</v>
      </c>
      <c r="C25" s="32" t="s">
        <v>35</v>
      </c>
      <c r="D25" s="25" t="s">
        <v>26</v>
      </c>
      <c r="E25" s="25" t="s">
        <v>208</v>
      </c>
      <c r="F25" s="25">
        <v>6</v>
      </c>
      <c r="G25" s="26">
        <v>1</v>
      </c>
      <c r="H25" s="27">
        <v>43756</v>
      </c>
      <c r="I25" s="28">
        <v>0.64583333333333337</v>
      </c>
      <c r="J25" s="29">
        <v>43756.645833333336</v>
      </c>
      <c r="K25" s="30" t="s">
        <v>202</v>
      </c>
      <c r="L25" s="31">
        <v>6</v>
      </c>
      <c r="M25" s="25">
        <v>15.24</v>
      </c>
      <c r="O25" s="32" t="s">
        <v>284</v>
      </c>
      <c r="P25" s="32" t="s">
        <v>285</v>
      </c>
      <c r="Q25" s="32" t="s">
        <v>286</v>
      </c>
      <c r="R25" s="32" t="s">
        <v>287</v>
      </c>
      <c r="S25" s="32" t="s">
        <v>287</v>
      </c>
      <c r="T25" s="32">
        <v>3.424E-2</v>
      </c>
      <c r="U25" s="33">
        <v>6.0606060606060606</v>
      </c>
      <c r="V25" s="33">
        <v>0</v>
      </c>
      <c r="W25" s="33">
        <v>6.0606060606060606</v>
      </c>
      <c r="X25" s="33">
        <v>0</v>
      </c>
      <c r="Y25" s="32">
        <v>8.5699999999999998E-2</v>
      </c>
      <c r="Z25" s="32">
        <v>5.1459999999999999E-2</v>
      </c>
      <c r="AA25" s="32">
        <v>0.39953325554259045</v>
      </c>
      <c r="AB25" s="32">
        <v>-73.097099999999998</v>
      </c>
      <c r="AC25" s="32">
        <v>43.781860000000002</v>
      </c>
    </row>
    <row r="26" spans="1:29" ht="16.2">
      <c r="A26" s="23" t="e">
        <v>#N/A</v>
      </c>
      <c r="B26" s="23">
        <v>10</v>
      </c>
      <c r="C26" s="24" t="s">
        <v>38</v>
      </c>
      <c r="D26" s="25" t="s">
        <v>26</v>
      </c>
      <c r="E26" s="25">
        <v>1</v>
      </c>
      <c r="F26" s="25">
        <v>5</v>
      </c>
      <c r="G26" s="26"/>
      <c r="H26" s="27">
        <v>44282</v>
      </c>
      <c r="I26" s="28">
        <v>0.625</v>
      </c>
      <c r="J26" s="29">
        <v>44282.625</v>
      </c>
      <c r="K26" s="30" t="s">
        <v>202</v>
      </c>
      <c r="L26" s="31">
        <v>3</v>
      </c>
      <c r="M26" s="25">
        <v>7.62</v>
      </c>
      <c r="O26" s="32" t="s">
        <v>288</v>
      </c>
      <c r="P26" s="32" t="s">
        <v>289</v>
      </c>
      <c r="R26" s="32" t="s">
        <v>290</v>
      </c>
      <c r="S26" s="32" t="s">
        <v>290</v>
      </c>
      <c r="T26" s="32">
        <v>3.4460999999999999E-2</v>
      </c>
      <c r="U26" s="33">
        <v>3.5714285714285716</v>
      </c>
      <c r="V26" s="33">
        <v>2.8571428571428572</v>
      </c>
      <c r="W26" s="33">
        <v>0.7142857142857143</v>
      </c>
      <c r="X26" s="33">
        <v>0.79999999999999993</v>
      </c>
      <c r="Y26" s="32">
        <v>9.4700000000000006E-2</v>
      </c>
      <c r="Z26" s="32">
        <v>6.0239000000000008E-2</v>
      </c>
      <c r="AA26" s="32">
        <v>0.36389651531151002</v>
      </c>
      <c r="AB26" s="32">
        <v>-73.095299999999995</v>
      </c>
      <c r="AC26" s="32">
        <v>43.781199999999998</v>
      </c>
    </row>
    <row r="27" spans="1:29" ht="16.2">
      <c r="A27" s="23" t="e">
        <v>#N/A</v>
      </c>
      <c r="B27" s="23">
        <v>11</v>
      </c>
      <c r="C27" s="24" t="s">
        <v>38</v>
      </c>
      <c r="D27" s="25" t="s">
        <v>26</v>
      </c>
      <c r="E27" s="25">
        <v>1</v>
      </c>
      <c r="F27" s="25">
        <v>6</v>
      </c>
      <c r="G27" s="26"/>
      <c r="H27" s="27">
        <v>44282</v>
      </c>
      <c r="I27" s="28">
        <v>0.625</v>
      </c>
      <c r="J27" s="29">
        <v>44282.625</v>
      </c>
      <c r="K27" s="30" t="s">
        <v>202</v>
      </c>
      <c r="L27" s="31">
        <v>3</v>
      </c>
      <c r="M27" s="25">
        <v>7.62</v>
      </c>
      <c r="O27" s="32" t="s">
        <v>291</v>
      </c>
      <c r="P27" s="32" t="s">
        <v>292</v>
      </c>
      <c r="R27" s="32" t="s">
        <v>293</v>
      </c>
      <c r="S27" s="32" t="s">
        <v>293</v>
      </c>
      <c r="T27" s="32">
        <v>1.0921999999999999E-2</v>
      </c>
      <c r="U27" s="33">
        <v>3.5714285714285716</v>
      </c>
      <c r="V27" s="33">
        <v>2.8571428571428572</v>
      </c>
      <c r="W27" s="33">
        <v>0.7142857142857143</v>
      </c>
      <c r="X27" s="33">
        <v>0.79999999999999993</v>
      </c>
      <c r="Y27" s="32">
        <v>0.1</v>
      </c>
      <c r="Z27" s="32">
        <v>8.9078000000000004E-2</v>
      </c>
      <c r="AA27" s="32">
        <v>0.10921999999999998</v>
      </c>
      <c r="AB27" s="32">
        <v>-73.095299999999995</v>
      </c>
      <c r="AC27" s="32">
        <v>43.781199999999998</v>
      </c>
    </row>
    <row r="28" spans="1:29" ht="16.2">
      <c r="A28" s="23" t="e">
        <v>#N/A</v>
      </c>
      <c r="B28" s="23" t="s">
        <v>294</v>
      </c>
      <c r="C28" s="32" t="s">
        <v>38</v>
      </c>
      <c r="D28" s="25" t="s">
        <v>26</v>
      </c>
      <c r="E28" s="25" t="s">
        <v>233</v>
      </c>
      <c r="F28" s="25">
        <v>5</v>
      </c>
      <c r="G28" s="26">
        <v>1</v>
      </c>
      <c r="H28" s="27">
        <v>43757</v>
      </c>
      <c r="I28" s="28">
        <v>0.69305555555555554</v>
      </c>
      <c r="J28" s="29">
        <v>43757.693055555559</v>
      </c>
      <c r="K28" s="30" t="s">
        <v>202</v>
      </c>
      <c r="L28" s="31"/>
      <c r="M28" s="25">
        <v>20</v>
      </c>
      <c r="O28" s="32" t="s">
        <v>295</v>
      </c>
      <c r="P28" s="32" t="s">
        <v>296</v>
      </c>
      <c r="Q28" s="32" t="s">
        <v>297</v>
      </c>
      <c r="R28" s="32" t="s">
        <v>298</v>
      </c>
      <c r="S28" s="32" t="s">
        <v>298</v>
      </c>
      <c r="T28" s="32">
        <v>0.13754</v>
      </c>
      <c r="U28" s="33">
        <v>5.6842105263157956</v>
      </c>
      <c r="V28" s="33">
        <v>1.0526315789473681</v>
      </c>
      <c r="W28" s="33">
        <v>4.6315789473684275</v>
      </c>
      <c r="X28" s="33">
        <v>0.18518518518518493</v>
      </c>
      <c r="Y28" s="32">
        <v>0.20699999999999999</v>
      </c>
      <c r="Z28" s="32">
        <v>6.9459999999999994E-2</v>
      </c>
      <c r="AA28" s="32">
        <v>0.6644444444444445</v>
      </c>
      <c r="AB28" s="32">
        <v>-73.095299999999995</v>
      </c>
      <c r="AC28" s="32">
        <v>43.781199999999998</v>
      </c>
    </row>
    <row r="29" spans="1:29" ht="16.2">
      <c r="A29" s="23" t="e">
        <v>#N/A</v>
      </c>
      <c r="B29" s="23" t="s">
        <v>294</v>
      </c>
      <c r="C29" s="32" t="s">
        <v>38</v>
      </c>
      <c r="D29" s="25" t="s">
        <v>26</v>
      </c>
      <c r="E29" s="25" t="s">
        <v>233</v>
      </c>
      <c r="F29" s="25">
        <v>6</v>
      </c>
      <c r="G29" s="26">
        <v>1</v>
      </c>
      <c r="H29" s="27">
        <v>43757</v>
      </c>
      <c r="I29" s="28">
        <v>0.69305555555555554</v>
      </c>
      <c r="J29" s="29">
        <v>43757.693055555559</v>
      </c>
      <c r="K29" s="30" t="s">
        <v>202</v>
      </c>
      <c r="L29" s="31"/>
      <c r="M29" s="25">
        <v>20</v>
      </c>
      <c r="O29" s="32" t="s">
        <v>299</v>
      </c>
      <c r="P29" s="32" t="s">
        <v>300</v>
      </c>
      <c r="Q29" s="32" t="s">
        <v>301</v>
      </c>
      <c r="R29" s="32" t="s">
        <v>302</v>
      </c>
      <c r="S29" s="32" t="s">
        <v>302</v>
      </c>
      <c r="T29" s="32">
        <v>0.14419999999999999</v>
      </c>
      <c r="U29" s="33">
        <v>7.7777777777777777</v>
      </c>
      <c r="V29" s="33">
        <v>0</v>
      </c>
      <c r="W29" s="33">
        <v>7.7777777777777777</v>
      </c>
      <c r="X29" s="33">
        <v>0</v>
      </c>
      <c r="Y29" s="32">
        <v>0.20699999999999999</v>
      </c>
      <c r="Z29" s="32">
        <v>6.2799999999999995E-2</v>
      </c>
      <c r="AA29" s="32">
        <v>0.69661835748792267</v>
      </c>
      <c r="AB29" s="32">
        <v>-73.095299999999995</v>
      </c>
      <c r="AC29" s="32">
        <v>43.781199999999998</v>
      </c>
    </row>
    <row r="30" spans="1:29" ht="16.2">
      <c r="A30" s="23" t="e">
        <v>#N/A</v>
      </c>
      <c r="B30" s="23">
        <v>12</v>
      </c>
      <c r="C30" s="24" t="s">
        <v>41</v>
      </c>
      <c r="D30" s="25" t="s">
        <v>26</v>
      </c>
      <c r="E30" s="26">
        <v>2</v>
      </c>
      <c r="F30" s="25">
        <v>5</v>
      </c>
      <c r="G30" s="26" t="s">
        <v>270</v>
      </c>
      <c r="H30" s="27">
        <v>44192</v>
      </c>
      <c r="I30" s="28">
        <v>0.54166666666666663</v>
      </c>
      <c r="J30" s="29">
        <v>44192.541666666664</v>
      </c>
      <c r="K30" s="30" t="s">
        <v>202</v>
      </c>
      <c r="L30" s="31">
        <v>15</v>
      </c>
      <c r="M30" s="25">
        <v>38.1</v>
      </c>
      <c r="N30" s="35" t="s">
        <v>303</v>
      </c>
      <c r="O30" s="32" t="s">
        <v>304</v>
      </c>
      <c r="P30" s="32" t="s">
        <v>305</v>
      </c>
      <c r="R30" s="32" t="s">
        <v>306</v>
      </c>
      <c r="S30" s="32" t="s">
        <v>307</v>
      </c>
      <c r="T30" s="32">
        <v>8.4827E-2</v>
      </c>
      <c r="U30" s="33">
        <v>7.7777777777782831</v>
      </c>
      <c r="V30" s="33">
        <v>2.2222222222222223</v>
      </c>
      <c r="W30" s="33">
        <v>5.5555555555560607</v>
      </c>
      <c r="X30" s="33">
        <v>0.28571428571426716</v>
      </c>
      <c r="Y30" s="32">
        <v>0.156</v>
      </c>
      <c r="Z30" s="32">
        <v>7.1173E-2</v>
      </c>
      <c r="AA30" s="32">
        <v>0.54376282051282054</v>
      </c>
      <c r="AB30" s="32">
        <v>-73.097300000000004</v>
      </c>
      <c r="AC30" s="32">
        <v>43.78125</v>
      </c>
    </row>
    <row r="31" spans="1:29" ht="16.2">
      <c r="A31" s="23" t="e">
        <v>#N/A</v>
      </c>
      <c r="B31" s="23">
        <v>13</v>
      </c>
      <c r="C31" s="24" t="s">
        <v>41</v>
      </c>
      <c r="D31" s="25" t="s">
        <v>26</v>
      </c>
      <c r="E31" s="26">
        <v>2</v>
      </c>
      <c r="F31" s="25">
        <v>6</v>
      </c>
      <c r="G31" s="26" t="s">
        <v>270</v>
      </c>
      <c r="H31" s="27">
        <v>44192</v>
      </c>
      <c r="I31" s="28">
        <v>0.54166666666666663</v>
      </c>
      <c r="J31" s="29">
        <v>44192.541666666664</v>
      </c>
      <c r="K31" s="30" t="s">
        <v>202</v>
      </c>
      <c r="L31" s="31">
        <v>15</v>
      </c>
      <c r="M31" s="25">
        <v>38.1</v>
      </c>
      <c r="N31" s="35" t="s">
        <v>303</v>
      </c>
      <c r="O31" s="32" t="s">
        <v>308</v>
      </c>
      <c r="P31" s="32" t="s">
        <v>309</v>
      </c>
      <c r="R31" s="32" t="s">
        <v>310</v>
      </c>
      <c r="S31" s="32" t="s">
        <v>311</v>
      </c>
      <c r="T31" s="32">
        <v>9.6311999999999995E-2</v>
      </c>
      <c r="U31" s="33">
        <v>4.2105263157894735</v>
      </c>
      <c r="V31" s="33">
        <v>2.1052631578947367</v>
      </c>
      <c r="W31" s="33">
        <v>2.1052631578947367</v>
      </c>
      <c r="X31" s="33">
        <v>0.5</v>
      </c>
      <c r="Y31" s="32">
        <v>0.153</v>
      </c>
      <c r="Z31" s="32">
        <v>5.6688000000000002E-2</v>
      </c>
      <c r="AA31" s="32">
        <v>0.62949019607843137</v>
      </c>
      <c r="AB31" s="32">
        <v>-73.097300000000004</v>
      </c>
      <c r="AC31" s="32">
        <v>43.78125</v>
      </c>
    </row>
    <row r="32" spans="1:29" ht="16.2">
      <c r="A32" s="23" t="e">
        <v>#N/A</v>
      </c>
      <c r="B32" s="23">
        <v>14</v>
      </c>
      <c r="C32" s="24" t="s">
        <v>41</v>
      </c>
      <c r="D32" s="25" t="s">
        <v>26</v>
      </c>
      <c r="E32" s="25">
        <v>2</v>
      </c>
      <c r="F32" s="25">
        <v>5</v>
      </c>
      <c r="G32" s="26"/>
      <c r="H32" s="27">
        <v>44282</v>
      </c>
      <c r="I32" s="28">
        <v>0.64583333333333337</v>
      </c>
      <c r="J32" s="29">
        <v>44282.645833333336</v>
      </c>
      <c r="K32" s="30" t="s">
        <v>202</v>
      </c>
      <c r="L32" s="31">
        <v>9.5</v>
      </c>
      <c r="M32" s="25">
        <v>24.13</v>
      </c>
      <c r="O32" s="32" t="s">
        <v>312</v>
      </c>
      <c r="P32" s="32" t="s">
        <v>313</v>
      </c>
      <c r="R32" s="32" t="s">
        <v>314</v>
      </c>
      <c r="S32" s="32" t="s">
        <v>314</v>
      </c>
      <c r="T32" s="32">
        <v>4.4209999999999999E-2</v>
      </c>
      <c r="U32" s="33">
        <v>1.8181818181818181</v>
      </c>
      <c r="V32" s="33">
        <v>0</v>
      </c>
      <c r="W32" s="33">
        <v>1.8181818181818181</v>
      </c>
      <c r="X32" s="33">
        <v>0</v>
      </c>
      <c r="Y32" s="32">
        <v>0.153</v>
      </c>
      <c r="Z32" s="32">
        <v>0.10879</v>
      </c>
      <c r="AA32" s="32">
        <v>0.28895424836601308</v>
      </c>
      <c r="AB32" s="32">
        <v>-73.097300000000004</v>
      </c>
      <c r="AC32" s="32">
        <v>43.78125</v>
      </c>
    </row>
    <row r="33" spans="1:29" ht="16.2">
      <c r="A33" s="23" t="e">
        <v>#N/A</v>
      </c>
      <c r="B33" s="23">
        <v>15</v>
      </c>
      <c r="C33" s="24" t="s">
        <v>41</v>
      </c>
      <c r="D33" s="25" t="s">
        <v>26</v>
      </c>
      <c r="E33" s="25">
        <v>2</v>
      </c>
      <c r="F33" s="25">
        <v>6</v>
      </c>
      <c r="G33" s="26"/>
      <c r="H33" s="27">
        <v>44282</v>
      </c>
      <c r="I33" s="28">
        <v>0.64583333333333337</v>
      </c>
      <c r="J33" s="29">
        <v>44282.645833333336</v>
      </c>
      <c r="K33" s="30" t="s">
        <v>202</v>
      </c>
      <c r="L33" s="31">
        <v>9.5</v>
      </c>
      <c r="M33" s="25">
        <v>24.13</v>
      </c>
      <c r="O33" s="32" t="s">
        <v>315</v>
      </c>
      <c r="P33" s="32" t="s">
        <v>316</v>
      </c>
      <c r="R33" s="32" t="s">
        <v>317</v>
      </c>
      <c r="S33" s="32" t="s">
        <v>317</v>
      </c>
      <c r="T33" s="32">
        <v>3.5083000000000003E-2</v>
      </c>
      <c r="U33" s="33">
        <v>1.8181818181818181</v>
      </c>
      <c r="V33" s="33">
        <v>0.90909090909090906</v>
      </c>
      <c r="W33" s="33">
        <v>0.90909090909090906</v>
      </c>
      <c r="X33" s="33">
        <v>0.5</v>
      </c>
      <c r="Y33" s="32">
        <v>0.155</v>
      </c>
      <c r="Z33" s="32">
        <v>0.119917</v>
      </c>
      <c r="AA33" s="32">
        <v>0.22634193548387099</v>
      </c>
      <c r="AB33" s="32">
        <v>-73.097300000000004</v>
      </c>
      <c r="AC33" s="32">
        <v>43.78125</v>
      </c>
    </row>
    <row r="34" spans="1:29" ht="16.2">
      <c r="A34" s="23" t="e">
        <v>#N/A</v>
      </c>
      <c r="B34" s="23" t="s">
        <v>318</v>
      </c>
      <c r="C34" s="32" t="s">
        <v>41</v>
      </c>
      <c r="D34" s="25" t="s">
        <v>26</v>
      </c>
      <c r="E34" s="25" t="s">
        <v>207</v>
      </c>
      <c r="F34" s="25">
        <v>5</v>
      </c>
      <c r="G34" s="26">
        <v>1</v>
      </c>
      <c r="H34" s="27">
        <v>43757</v>
      </c>
      <c r="I34" s="28">
        <v>0.75</v>
      </c>
      <c r="J34" s="29">
        <v>43757.75</v>
      </c>
      <c r="K34" s="30" t="s">
        <v>202</v>
      </c>
      <c r="L34" s="31"/>
      <c r="M34" s="25">
        <v>23</v>
      </c>
      <c r="O34" s="32" t="s">
        <v>319</v>
      </c>
      <c r="P34" s="32" t="s">
        <v>320</v>
      </c>
      <c r="Q34" s="32" t="s">
        <v>321</v>
      </c>
      <c r="R34" s="32" t="s">
        <v>322</v>
      </c>
      <c r="S34" s="32" t="s">
        <v>322</v>
      </c>
      <c r="T34" s="32">
        <v>3.6179999999999997E-2</v>
      </c>
      <c r="U34" s="33">
        <v>5.9999999999999911</v>
      </c>
      <c r="V34" s="33">
        <v>5.0000000000000009</v>
      </c>
      <c r="W34" s="33">
        <v>0.99999999999999056</v>
      </c>
      <c r="X34" s="33">
        <v>0.8333333333333347</v>
      </c>
      <c r="Y34" s="32">
        <v>9.7299999999999998E-2</v>
      </c>
      <c r="Z34" s="32">
        <v>6.1120000000000001E-2</v>
      </c>
      <c r="AA34" s="32">
        <v>0.37183967112024663</v>
      </c>
      <c r="AB34" s="32">
        <v>-73.097300000000004</v>
      </c>
      <c r="AC34" s="32">
        <v>43.78125</v>
      </c>
    </row>
    <row r="35" spans="1:29" ht="16.2">
      <c r="A35" s="23" t="e">
        <v>#N/A</v>
      </c>
      <c r="B35" s="23" t="s">
        <v>318</v>
      </c>
      <c r="C35" s="32" t="s">
        <v>41</v>
      </c>
      <c r="D35" s="25" t="s">
        <v>26</v>
      </c>
      <c r="E35" s="25" t="s">
        <v>207</v>
      </c>
      <c r="F35" s="25">
        <v>6</v>
      </c>
      <c r="G35" s="26">
        <v>1</v>
      </c>
      <c r="H35" s="27">
        <v>43757</v>
      </c>
      <c r="I35" s="28">
        <v>0.75</v>
      </c>
      <c r="J35" s="29">
        <v>43757.75</v>
      </c>
      <c r="K35" s="30" t="s">
        <v>202</v>
      </c>
      <c r="L35" s="31"/>
      <c r="M35" s="25">
        <v>23</v>
      </c>
      <c r="O35" s="32" t="s">
        <v>323</v>
      </c>
      <c r="P35" s="32" t="s">
        <v>324</v>
      </c>
      <c r="Q35" s="32" t="s">
        <v>325</v>
      </c>
      <c r="R35" s="32" t="s">
        <v>326</v>
      </c>
      <c r="S35" s="32" t="s">
        <v>326</v>
      </c>
      <c r="T35" s="32">
        <v>3.091E-2</v>
      </c>
      <c r="U35" s="33">
        <v>5.9999999999999911</v>
      </c>
      <c r="V35" s="33">
        <v>5.0000000000000009</v>
      </c>
      <c r="W35" s="33">
        <v>0.99999999999999056</v>
      </c>
      <c r="X35" s="33">
        <v>0.8333333333333347</v>
      </c>
      <c r="Y35" s="32">
        <v>9.5599999999999991E-2</v>
      </c>
      <c r="Z35" s="32">
        <v>6.4689999999999998E-2</v>
      </c>
      <c r="AA35" s="32">
        <v>0.32332635983263602</v>
      </c>
      <c r="AB35" s="32">
        <v>-73.097300000000004</v>
      </c>
      <c r="AC35" s="32">
        <v>43.78125</v>
      </c>
    </row>
    <row r="36" spans="1:29" ht="16.2">
      <c r="A36" s="23" t="e">
        <v>#N/A</v>
      </c>
      <c r="B36" s="23">
        <v>14</v>
      </c>
      <c r="C36" s="24" t="s">
        <v>44</v>
      </c>
      <c r="D36" s="25" t="s">
        <v>26</v>
      </c>
      <c r="E36" s="26">
        <v>3</v>
      </c>
      <c r="F36" s="25">
        <v>5</v>
      </c>
      <c r="G36" s="26" t="s">
        <v>270</v>
      </c>
      <c r="H36" s="27">
        <v>44193</v>
      </c>
      <c r="I36" s="28">
        <v>0.57291666666666663</v>
      </c>
      <c r="J36" s="29">
        <v>44193.572916666664</v>
      </c>
      <c r="K36" s="30" t="s">
        <v>202</v>
      </c>
      <c r="L36" s="31">
        <v>12</v>
      </c>
      <c r="M36" s="25">
        <v>30.48</v>
      </c>
      <c r="O36" s="32" t="s">
        <v>327</v>
      </c>
      <c r="P36" s="32" t="s">
        <v>328</v>
      </c>
      <c r="R36" s="32" t="s">
        <v>329</v>
      </c>
      <c r="S36" s="32" t="s">
        <v>330</v>
      </c>
      <c r="T36" s="32">
        <v>3.6295000000000001E-2</v>
      </c>
      <c r="U36" s="33">
        <v>3.4999999999997726</v>
      </c>
      <c r="V36" s="33">
        <v>3.4999999999997726</v>
      </c>
      <c r="W36" s="33">
        <v>0</v>
      </c>
      <c r="X36" s="33">
        <v>1</v>
      </c>
      <c r="Y36" s="32">
        <v>6.6000000000000003E-2</v>
      </c>
      <c r="Z36" s="32">
        <v>2.9705000000000002E-2</v>
      </c>
      <c r="AA36" s="32">
        <v>0.54992424242424243</v>
      </c>
      <c r="AB36" s="32">
        <v>-73.095799999999997</v>
      </c>
      <c r="AC36" s="32">
        <v>43.781829999999999</v>
      </c>
    </row>
    <row r="37" spans="1:29" ht="16.2">
      <c r="A37" s="23" t="e">
        <v>#N/A</v>
      </c>
      <c r="B37" s="23">
        <v>15</v>
      </c>
      <c r="C37" s="24" t="s">
        <v>44</v>
      </c>
      <c r="D37" s="25" t="s">
        <v>26</v>
      </c>
      <c r="E37" s="26">
        <v>3</v>
      </c>
      <c r="F37" s="25">
        <v>6</v>
      </c>
      <c r="G37" s="26" t="s">
        <v>270</v>
      </c>
      <c r="H37" s="27">
        <v>44193</v>
      </c>
      <c r="I37" s="28">
        <v>0.57291666666666663</v>
      </c>
      <c r="J37" s="29">
        <v>44193.572916666664</v>
      </c>
      <c r="K37" s="30" t="s">
        <v>202</v>
      </c>
      <c r="L37" s="31">
        <v>12.5</v>
      </c>
      <c r="M37" s="25">
        <v>31.75</v>
      </c>
      <c r="O37" s="32" t="s">
        <v>331</v>
      </c>
      <c r="P37" s="32" t="s">
        <v>332</v>
      </c>
      <c r="R37" s="32" t="s">
        <v>333</v>
      </c>
      <c r="S37" s="32" t="s">
        <v>334</v>
      </c>
      <c r="T37" s="32">
        <v>4.6165999999999999E-2</v>
      </c>
      <c r="U37" s="33">
        <v>0.52631578947368418</v>
      </c>
      <c r="V37" s="33">
        <v>0.52631578947368418</v>
      </c>
      <c r="W37" s="33">
        <v>0</v>
      </c>
      <c r="X37" s="33">
        <v>1</v>
      </c>
      <c r="Y37" s="32">
        <v>7.4999999999999997E-2</v>
      </c>
      <c r="Z37" s="32">
        <v>2.8833999999999999E-2</v>
      </c>
      <c r="AA37" s="32">
        <v>0.61554666666666669</v>
      </c>
      <c r="AB37" s="32">
        <v>-73.095799999999997</v>
      </c>
      <c r="AC37" s="32">
        <v>43.781829999999999</v>
      </c>
    </row>
    <row r="38" spans="1:29" ht="16.2">
      <c r="A38" s="23" t="e">
        <v>#N/A</v>
      </c>
      <c r="B38" s="23">
        <v>16</v>
      </c>
      <c r="C38" s="24" t="s">
        <v>44</v>
      </c>
      <c r="D38" s="25" t="s">
        <v>26</v>
      </c>
      <c r="E38" s="25">
        <v>3</v>
      </c>
      <c r="F38" s="25">
        <v>5</v>
      </c>
      <c r="G38" s="26"/>
      <c r="H38" s="27">
        <v>44283</v>
      </c>
      <c r="I38" s="28">
        <v>0.58333333333333337</v>
      </c>
      <c r="J38" s="29">
        <v>44283.583333333336</v>
      </c>
      <c r="K38" s="30" t="s">
        <v>202</v>
      </c>
      <c r="L38" s="31">
        <v>1.5</v>
      </c>
      <c r="M38" s="25">
        <v>3.81</v>
      </c>
      <c r="O38" s="32" t="s">
        <v>335</v>
      </c>
      <c r="P38" s="32" t="s">
        <v>336</v>
      </c>
      <c r="R38" s="32" t="s">
        <v>337</v>
      </c>
      <c r="S38" s="32" t="s">
        <v>337</v>
      </c>
      <c r="T38" s="32">
        <v>2.2682000000000001E-2</v>
      </c>
      <c r="U38" s="33">
        <v>4.7368421052631584</v>
      </c>
      <c r="V38" s="33">
        <v>4.2105263157894743</v>
      </c>
      <c r="W38" s="33">
        <v>0.52631578947368418</v>
      </c>
      <c r="X38" s="33">
        <v>0.88888888888888895</v>
      </c>
      <c r="Y38" s="32">
        <v>6.6000000000000003E-2</v>
      </c>
      <c r="Z38" s="32">
        <v>2.9705000000000002E-2</v>
      </c>
      <c r="AA38" s="32">
        <v>0.54992424242424243</v>
      </c>
      <c r="AB38" s="32">
        <v>-73.095799999999997</v>
      </c>
      <c r="AC38" s="32">
        <v>43.781829999999999</v>
      </c>
    </row>
    <row r="39" spans="1:29" ht="16.2">
      <c r="A39" s="23" t="e">
        <v>#N/A</v>
      </c>
      <c r="B39" s="23">
        <v>17</v>
      </c>
      <c r="C39" s="24" t="s">
        <v>44</v>
      </c>
      <c r="D39" s="25" t="s">
        <v>26</v>
      </c>
      <c r="E39" s="25">
        <v>3</v>
      </c>
      <c r="F39" s="25">
        <v>6</v>
      </c>
      <c r="G39" s="26"/>
      <c r="H39" s="27">
        <v>44283</v>
      </c>
      <c r="I39" s="28">
        <v>0.58333333333333337</v>
      </c>
      <c r="J39" s="29">
        <v>44283.583333333336</v>
      </c>
      <c r="K39" s="30" t="s">
        <v>202</v>
      </c>
      <c r="L39" s="31">
        <v>1.5</v>
      </c>
      <c r="M39" s="25">
        <v>3.81</v>
      </c>
      <c r="O39" s="32" t="s">
        <v>338</v>
      </c>
      <c r="P39" s="32" t="s">
        <v>339</v>
      </c>
      <c r="R39" s="32" t="s">
        <v>340</v>
      </c>
      <c r="S39" s="32" t="s">
        <v>340</v>
      </c>
      <c r="T39" s="32">
        <v>6.2767000000000003E-2</v>
      </c>
      <c r="U39" s="33">
        <v>2.6315789473684212</v>
      </c>
      <c r="V39" s="33">
        <v>2.6315789473684212</v>
      </c>
      <c r="W39" s="33">
        <v>0</v>
      </c>
      <c r="X39" s="33">
        <v>1</v>
      </c>
      <c r="Y39" s="32">
        <v>7.4999999999999997E-2</v>
      </c>
      <c r="Z39" s="32">
        <v>2.8833999999999999E-2</v>
      </c>
      <c r="AA39" s="32">
        <v>0.61554666666666669</v>
      </c>
      <c r="AB39" s="32">
        <v>-73.095799999999997</v>
      </c>
      <c r="AC39" s="32">
        <v>43.781829999999999</v>
      </c>
    </row>
    <row r="40" spans="1:29" ht="16.2">
      <c r="A40" s="23" t="e">
        <v>#N/A</v>
      </c>
      <c r="B40" s="23">
        <v>18</v>
      </c>
      <c r="C40" s="24" t="s">
        <v>47</v>
      </c>
      <c r="D40" s="25" t="s">
        <v>26</v>
      </c>
      <c r="E40" s="26">
        <v>4</v>
      </c>
      <c r="F40" s="25">
        <v>5</v>
      </c>
      <c r="G40" s="26" t="s">
        <v>270</v>
      </c>
      <c r="H40" s="27">
        <v>44192</v>
      </c>
      <c r="I40" s="28">
        <v>0.55208333333333337</v>
      </c>
      <c r="J40" s="29">
        <v>44192.552083333336</v>
      </c>
      <c r="K40" s="30" t="s">
        <v>202</v>
      </c>
      <c r="L40" s="31"/>
      <c r="M40" s="25">
        <v>-11.19</v>
      </c>
      <c r="N40" s="35" t="s">
        <v>303</v>
      </c>
      <c r="O40" s="32" t="s">
        <v>341</v>
      </c>
      <c r="P40" s="32" t="s">
        <v>342</v>
      </c>
      <c r="R40" s="32" t="s">
        <v>343</v>
      </c>
      <c r="S40" s="32" t="s">
        <v>344</v>
      </c>
      <c r="T40" s="32">
        <v>4.6695E-2</v>
      </c>
      <c r="U40" s="33">
        <v>2.9000000000000057</v>
      </c>
      <c r="V40" s="33">
        <v>1</v>
      </c>
      <c r="W40" s="33">
        <v>1.9000000000000057</v>
      </c>
      <c r="X40" s="33">
        <v>0.34482758620689585</v>
      </c>
      <c r="Y40" s="32">
        <v>0.10299999999999999</v>
      </c>
      <c r="Z40" s="32">
        <v>5.6304999999999994E-2</v>
      </c>
      <c r="AA40" s="32">
        <v>0.45334951456310685</v>
      </c>
      <c r="AB40" s="32">
        <v>-73.097999999999999</v>
      </c>
      <c r="AC40" s="32">
        <v>43.781350000000003</v>
      </c>
    </row>
    <row r="41" spans="1:29" ht="16.2">
      <c r="A41" s="23" t="e">
        <v>#N/A</v>
      </c>
      <c r="B41" s="23">
        <v>19</v>
      </c>
      <c r="C41" s="24" t="s">
        <v>47</v>
      </c>
      <c r="D41" s="25" t="s">
        <v>26</v>
      </c>
      <c r="E41" s="26">
        <v>4</v>
      </c>
      <c r="F41" s="25">
        <v>6</v>
      </c>
      <c r="G41" s="26" t="s">
        <v>270</v>
      </c>
      <c r="H41" s="27">
        <v>44192</v>
      </c>
      <c r="I41" s="28">
        <v>0.55208333333333337</v>
      </c>
      <c r="J41" s="29">
        <v>44192.552083333336</v>
      </c>
      <c r="K41" s="30" t="s">
        <v>202</v>
      </c>
      <c r="L41" s="31"/>
      <c r="M41" s="25">
        <v>-11.19</v>
      </c>
      <c r="N41" s="35" t="s">
        <v>303</v>
      </c>
      <c r="O41" s="32" t="s">
        <v>345</v>
      </c>
      <c r="P41" s="32" t="s">
        <v>346</v>
      </c>
      <c r="R41" s="32" t="s">
        <v>347</v>
      </c>
      <c r="S41" s="32" t="s">
        <v>348</v>
      </c>
      <c r="T41" s="32">
        <v>9.5042000000000001E-2</v>
      </c>
      <c r="U41" s="33">
        <v>3.75</v>
      </c>
      <c r="V41" s="33">
        <v>1.25</v>
      </c>
      <c r="W41" s="33">
        <v>2.5</v>
      </c>
      <c r="X41" s="33">
        <v>0.33333333333333331</v>
      </c>
      <c r="Y41" s="32">
        <v>0.154</v>
      </c>
      <c r="Z41" s="32">
        <v>5.8957999999999997E-2</v>
      </c>
      <c r="AA41" s="32">
        <v>0.61715584415584412</v>
      </c>
      <c r="AB41" s="32">
        <v>-73.097999999999999</v>
      </c>
      <c r="AC41" s="32">
        <v>43.781350000000003</v>
      </c>
    </row>
    <row r="42" spans="1:29" ht="16.2">
      <c r="A42" s="23" t="e">
        <v>#N/A</v>
      </c>
      <c r="B42" s="23">
        <v>20</v>
      </c>
      <c r="C42" s="24" t="s">
        <v>47</v>
      </c>
      <c r="D42" s="25" t="s">
        <v>26</v>
      </c>
      <c r="E42" s="25">
        <v>4</v>
      </c>
      <c r="F42" s="25">
        <v>5</v>
      </c>
      <c r="G42" s="26"/>
      <c r="H42" s="27">
        <v>44282</v>
      </c>
      <c r="I42" s="28">
        <v>0.58333333333333337</v>
      </c>
      <c r="J42" s="29">
        <v>44282.583333333336</v>
      </c>
      <c r="K42" s="30" t="s">
        <v>202</v>
      </c>
      <c r="L42" s="31">
        <v>1</v>
      </c>
      <c r="M42" s="25">
        <v>2.54</v>
      </c>
      <c r="O42" s="32" t="s">
        <v>349</v>
      </c>
      <c r="P42" s="32" t="s">
        <v>350</v>
      </c>
      <c r="R42" s="32" t="s">
        <v>351</v>
      </c>
      <c r="S42" s="32" t="s">
        <v>351</v>
      </c>
      <c r="T42" s="32">
        <v>5.5174000000000001E-2</v>
      </c>
      <c r="U42" s="33">
        <v>44.250000000000007</v>
      </c>
      <c r="V42" s="33">
        <v>3.75</v>
      </c>
      <c r="W42" s="33">
        <v>40.500000000000007</v>
      </c>
      <c r="X42" s="33">
        <v>8.4745762711864389E-2</v>
      </c>
      <c r="Y42" s="32">
        <v>0.17899999999999999</v>
      </c>
      <c r="Z42" s="32">
        <v>0.12382599999999999</v>
      </c>
      <c r="AA42" s="32">
        <v>0.30823463687150837</v>
      </c>
      <c r="AB42" s="32">
        <v>-73.097999999999999</v>
      </c>
      <c r="AC42" s="32">
        <v>43.781350000000003</v>
      </c>
    </row>
    <row r="43" spans="1:29" ht="16.2">
      <c r="A43" s="23" t="e">
        <v>#N/A</v>
      </c>
      <c r="B43" s="23">
        <v>21</v>
      </c>
      <c r="C43" s="24" t="s">
        <v>47</v>
      </c>
      <c r="D43" s="25" t="s">
        <v>26</v>
      </c>
      <c r="E43" s="25">
        <v>4</v>
      </c>
      <c r="F43" s="25">
        <v>6</v>
      </c>
      <c r="G43" s="26"/>
      <c r="H43" s="27">
        <v>44282</v>
      </c>
      <c r="I43" s="28">
        <v>0.58333333333333337</v>
      </c>
      <c r="J43" s="29">
        <v>44282.583333333336</v>
      </c>
      <c r="K43" s="30" t="s">
        <v>202</v>
      </c>
      <c r="L43" s="31">
        <v>1</v>
      </c>
      <c r="M43" s="25">
        <v>2.54</v>
      </c>
      <c r="O43" s="32" t="s">
        <v>352</v>
      </c>
      <c r="P43" s="32" t="s">
        <v>353</v>
      </c>
      <c r="R43" s="32" t="s">
        <v>354</v>
      </c>
      <c r="S43" s="32" t="s">
        <v>354</v>
      </c>
      <c r="T43" s="32">
        <v>9.1918E-2</v>
      </c>
      <c r="U43" s="33">
        <v>1</v>
      </c>
      <c r="V43" s="33">
        <v>1</v>
      </c>
      <c r="W43" s="33">
        <v>0</v>
      </c>
      <c r="X43" s="33">
        <v>1</v>
      </c>
      <c r="Y43" s="32">
        <v>0.19500000000000001</v>
      </c>
      <c r="Z43" s="32">
        <v>0.10308200000000001</v>
      </c>
      <c r="AA43" s="32">
        <v>0.47137435897435898</v>
      </c>
      <c r="AB43" s="32">
        <v>-73.097999999999999</v>
      </c>
      <c r="AC43" s="32">
        <v>43.781350000000003</v>
      </c>
    </row>
    <row r="44" spans="1:29" ht="16.2">
      <c r="A44" s="23" t="e">
        <v>#N/A</v>
      </c>
      <c r="B44" s="23" t="s">
        <v>355</v>
      </c>
      <c r="C44" s="32" t="s">
        <v>47</v>
      </c>
      <c r="D44" s="25" t="s">
        <v>26</v>
      </c>
      <c r="E44" s="25" t="s">
        <v>217</v>
      </c>
      <c r="F44" s="25">
        <v>5</v>
      </c>
      <c r="G44" s="26">
        <v>1</v>
      </c>
      <c r="H44" s="27">
        <v>43757</v>
      </c>
      <c r="I44" s="28">
        <v>0.73958333333333337</v>
      </c>
      <c r="J44" s="29">
        <v>43757.739583333336</v>
      </c>
      <c r="K44" s="30" t="s">
        <v>202</v>
      </c>
      <c r="L44" s="31"/>
      <c r="M44" s="25">
        <v>8</v>
      </c>
      <c r="O44" s="32" t="s">
        <v>356</v>
      </c>
      <c r="P44" s="32" t="s">
        <v>357</v>
      </c>
      <c r="Q44" s="32" t="s">
        <v>358</v>
      </c>
      <c r="R44" s="32" t="s">
        <v>359</v>
      </c>
      <c r="S44" s="32" t="s">
        <v>359</v>
      </c>
      <c r="T44" s="32">
        <v>3.3680000000000002E-2</v>
      </c>
      <c r="U44" s="33">
        <v>30</v>
      </c>
      <c r="V44" s="33">
        <v>0</v>
      </c>
      <c r="W44" s="33">
        <v>30</v>
      </c>
      <c r="X44" s="33">
        <v>0</v>
      </c>
      <c r="Y44" s="32">
        <v>0.1</v>
      </c>
      <c r="Z44" s="32">
        <v>6.6320000000000004E-2</v>
      </c>
      <c r="AA44" s="32">
        <v>0.33679999999999999</v>
      </c>
      <c r="AB44" s="32">
        <v>-73.097999999999999</v>
      </c>
      <c r="AC44" s="32">
        <v>43.781350000000003</v>
      </c>
    </row>
    <row r="45" spans="1:29" ht="16.2">
      <c r="A45" s="23" t="e">
        <v>#N/A</v>
      </c>
      <c r="B45" s="23" t="s">
        <v>355</v>
      </c>
      <c r="C45" s="32" t="s">
        <v>47</v>
      </c>
      <c r="D45" s="25" t="s">
        <v>26</v>
      </c>
      <c r="E45" s="25" t="s">
        <v>217</v>
      </c>
      <c r="F45" s="25">
        <v>6</v>
      </c>
      <c r="G45" s="26">
        <v>1</v>
      </c>
      <c r="H45" s="27">
        <v>43757</v>
      </c>
      <c r="I45" s="28">
        <v>0.73958333333333337</v>
      </c>
      <c r="J45" s="29">
        <v>43757.739583333336</v>
      </c>
      <c r="K45" s="30" t="s">
        <v>202</v>
      </c>
      <c r="L45" s="31"/>
      <c r="M45" s="25">
        <v>8</v>
      </c>
      <c r="O45" s="32" t="s">
        <v>360</v>
      </c>
      <c r="P45" s="32" t="s">
        <v>361</v>
      </c>
      <c r="Q45" s="32" t="s">
        <v>362</v>
      </c>
      <c r="R45" s="32" t="s">
        <v>363</v>
      </c>
      <c r="S45" s="32" t="s">
        <v>363</v>
      </c>
      <c r="T45" s="32">
        <v>3.8960000000000002E-2</v>
      </c>
      <c r="U45" s="33">
        <v>14.835164835164836</v>
      </c>
      <c r="V45" s="33">
        <v>0</v>
      </c>
      <c r="W45" s="33">
        <v>14.835164835164836</v>
      </c>
      <c r="X45" s="33">
        <v>0</v>
      </c>
      <c r="Y45" s="32">
        <v>9.4700000000000006E-2</v>
      </c>
      <c r="Z45" s="32">
        <v>5.5740000000000005E-2</v>
      </c>
      <c r="AA45" s="32">
        <v>0.41140443505807811</v>
      </c>
      <c r="AB45" s="32">
        <v>-73.097999999999999</v>
      </c>
      <c r="AC45" s="32">
        <v>43.781350000000003</v>
      </c>
    </row>
    <row r="46" spans="1:29" ht="16.2">
      <c r="A46" s="23" t="e">
        <v>#N/A</v>
      </c>
      <c r="B46" s="23">
        <v>13</v>
      </c>
      <c r="C46" s="24" t="s">
        <v>23</v>
      </c>
      <c r="D46" s="25" t="s">
        <v>26</v>
      </c>
      <c r="E46" s="26" t="s">
        <v>364</v>
      </c>
      <c r="F46" s="25">
        <v>1</v>
      </c>
      <c r="G46" s="26" t="s">
        <v>270</v>
      </c>
      <c r="H46" s="27">
        <v>44192</v>
      </c>
      <c r="I46" s="28">
        <v>0.58333333333333337</v>
      </c>
      <c r="J46" s="29">
        <v>44192.583333333336</v>
      </c>
      <c r="K46" s="30" t="s">
        <v>202</v>
      </c>
      <c r="L46" s="31">
        <v>36</v>
      </c>
      <c r="M46" s="25">
        <v>91.44</v>
      </c>
      <c r="O46" s="32" t="s">
        <v>365</v>
      </c>
      <c r="P46" s="32" t="s">
        <v>366</v>
      </c>
      <c r="R46" s="32" t="s">
        <v>367</v>
      </c>
      <c r="S46" s="32" t="s">
        <v>368</v>
      </c>
      <c r="T46" s="32">
        <v>2.3751999999999999E-2</v>
      </c>
      <c r="U46" s="33">
        <v>3.6666666666666714</v>
      </c>
      <c r="V46" s="33">
        <v>1.6666666666666665</v>
      </c>
      <c r="W46" s="33">
        <v>2.0000000000000049</v>
      </c>
      <c r="X46" s="33">
        <v>0.45454545454545392</v>
      </c>
      <c r="Y46" s="32">
        <v>5.6299999999999996E-2</v>
      </c>
      <c r="Z46" s="32">
        <v>3.2547999999999994E-2</v>
      </c>
      <c r="AA46" s="32">
        <v>0.42188277087033749</v>
      </c>
      <c r="AB46" s="32">
        <v>-73.097300000000004</v>
      </c>
      <c r="AC46" s="32">
        <v>43.78257</v>
      </c>
    </row>
    <row r="47" spans="1:29" ht="16.2">
      <c r="A47" s="23" t="e">
        <v>#N/A</v>
      </c>
      <c r="B47" s="23">
        <v>14</v>
      </c>
      <c r="C47" s="24" t="s">
        <v>23</v>
      </c>
      <c r="D47" s="25" t="s">
        <v>26</v>
      </c>
      <c r="E47" s="26" t="s">
        <v>364</v>
      </c>
      <c r="F47" s="25">
        <v>3</v>
      </c>
      <c r="G47" s="26" t="s">
        <v>270</v>
      </c>
      <c r="H47" s="27">
        <v>44192</v>
      </c>
      <c r="I47" s="28">
        <v>0.58333333333333337</v>
      </c>
      <c r="J47" s="29">
        <v>44192.583333333336</v>
      </c>
      <c r="K47" s="30" t="s">
        <v>202</v>
      </c>
      <c r="L47" s="31">
        <v>39.5</v>
      </c>
      <c r="M47" s="25">
        <v>100.33</v>
      </c>
      <c r="O47" s="32" t="s">
        <v>369</v>
      </c>
      <c r="P47" s="32" t="s">
        <v>370</v>
      </c>
      <c r="R47" s="32" t="s">
        <v>371</v>
      </c>
      <c r="S47" s="32" t="s">
        <v>372</v>
      </c>
      <c r="T47" s="32">
        <v>0.187449</v>
      </c>
      <c r="U47" s="33">
        <v>11.5</v>
      </c>
      <c r="V47" s="33">
        <v>0</v>
      </c>
      <c r="W47" s="33">
        <v>11.5</v>
      </c>
      <c r="X47" s="33">
        <v>0</v>
      </c>
      <c r="Y47" s="32">
        <v>0.23499999999999999</v>
      </c>
      <c r="Z47" s="32">
        <v>4.7550999999999982E-2</v>
      </c>
      <c r="AA47" s="32">
        <v>0.79765531914893628</v>
      </c>
      <c r="AB47" s="32">
        <v>-73.097300000000004</v>
      </c>
      <c r="AC47" s="32">
        <v>43.78257</v>
      </c>
    </row>
    <row r="48" spans="1:29" ht="16.2">
      <c r="A48" s="23" t="e">
        <v>#N/A</v>
      </c>
      <c r="B48" s="23">
        <v>15</v>
      </c>
      <c r="C48" s="24" t="s">
        <v>23</v>
      </c>
      <c r="D48" s="25" t="s">
        <v>26</v>
      </c>
      <c r="E48" s="26" t="s">
        <v>364</v>
      </c>
      <c r="F48" s="25">
        <v>4</v>
      </c>
      <c r="G48" s="26" t="s">
        <v>270</v>
      </c>
      <c r="H48" s="27">
        <v>44192</v>
      </c>
      <c r="I48" s="28">
        <v>0.58333333333333337</v>
      </c>
      <c r="J48" s="29">
        <v>44192.583333333336</v>
      </c>
      <c r="K48" s="30" t="s">
        <v>202</v>
      </c>
      <c r="L48" s="31">
        <v>39.5</v>
      </c>
      <c r="M48" s="25">
        <v>100.33</v>
      </c>
      <c r="O48" s="32" t="s">
        <v>373</v>
      </c>
      <c r="P48" s="32" t="s">
        <v>374</v>
      </c>
      <c r="R48" s="32" t="s">
        <v>375</v>
      </c>
      <c r="S48" s="32" t="s">
        <v>376</v>
      </c>
      <c r="T48" s="32">
        <v>0.179669</v>
      </c>
      <c r="U48" s="33">
        <v>8.75</v>
      </c>
      <c r="V48" s="33">
        <v>0</v>
      </c>
      <c r="W48" s="33">
        <v>8.75</v>
      </c>
      <c r="X48" s="33">
        <v>0</v>
      </c>
      <c r="Y48" s="32">
        <v>0.23599999999999999</v>
      </c>
      <c r="Z48" s="32">
        <v>5.6330999999999992E-2</v>
      </c>
      <c r="AA48" s="32">
        <v>0.76130932203389834</v>
      </c>
      <c r="AB48" s="32">
        <v>-73.097300000000004</v>
      </c>
      <c r="AC48" s="32">
        <v>43.78257</v>
      </c>
    </row>
    <row r="49" spans="1:29" ht="16.2">
      <c r="A49" s="23" t="e">
        <v>#N/A</v>
      </c>
      <c r="B49" s="23">
        <v>16</v>
      </c>
      <c r="C49" s="24" t="s">
        <v>23</v>
      </c>
      <c r="D49" s="25" t="s">
        <v>26</v>
      </c>
      <c r="E49" s="26" t="s">
        <v>364</v>
      </c>
      <c r="F49" s="25">
        <v>5</v>
      </c>
      <c r="G49" s="26" t="s">
        <v>270</v>
      </c>
      <c r="H49" s="27">
        <v>44192</v>
      </c>
      <c r="I49" s="28">
        <v>0.58333333333333337</v>
      </c>
      <c r="J49" s="29">
        <v>44192.583333333336</v>
      </c>
      <c r="K49" s="30" t="s">
        <v>202</v>
      </c>
      <c r="L49" s="31">
        <v>43.5</v>
      </c>
      <c r="M49" s="25">
        <v>110.49</v>
      </c>
      <c r="O49" s="32" t="s">
        <v>377</v>
      </c>
      <c r="P49" s="32" t="s">
        <v>378</v>
      </c>
      <c r="R49" s="32" t="s">
        <v>379</v>
      </c>
      <c r="S49" s="32" t="s">
        <v>380</v>
      </c>
      <c r="T49" s="32">
        <v>0.24410499999999999</v>
      </c>
      <c r="U49" s="33">
        <v>12.5</v>
      </c>
      <c r="V49" s="33">
        <v>10</v>
      </c>
      <c r="W49" s="33">
        <v>2.5</v>
      </c>
      <c r="X49" s="33">
        <v>0.8</v>
      </c>
      <c r="Y49" s="32">
        <v>0.28000000000000003</v>
      </c>
      <c r="Z49" s="32">
        <v>3.5895000000000038E-2</v>
      </c>
      <c r="AA49" s="32">
        <v>0.87180357142857134</v>
      </c>
      <c r="AB49" s="32">
        <v>-73.097300000000004</v>
      </c>
      <c r="AC49" s="32">
        <v>43.78257</v>
      </c>
    </row>
    <row r="50" spans="1:29" ht="16.2">
      <c r="A50" s="23" t="e">
        <v>#N/A</v>
      </c>
      <c r="B50" s="23">
        <v>17</v>
      </c>
      <c r="C50" s="24" t="s">
        <v>23</v>
      </c>
      <c r="D50" s="25" t="s">
        <v>26</v>
      </c>
      <c r="E50" s="26" t="s">
        <v>364</v>
      </c>
      <c r="F50" s="25">
        <v>6</v>
      </c>
      <c r="G50" s="26" t="s">
        <v>270</v>
      </c>
      <c r="H50" s="27">
        <v>44192</v>
      </c>
      <c r="I50" s="28">
        <v>0.58333333333333337</v>
      </c>
      <c r="J50" s="29">
        <v>44192.583333333336</v>
      </c>
      <c r="K50" s="30" t="s">
        <v>202</v>
      </c>
      <c r="L50" s="31">
        <v>43.5</v>
      </c>
      <c r="M50" s="25">
        <v>110.49</v>
      </c>
      <c r="O50" s="32" t="s">
        <v>381</v>
      </c>
      <c r="P50" s="32" t="s">
        <v>382</v>
      </c>
      <c r="R50" s="32" t="s">
        <v>383</v>
      </c>
      <c r="S50" s="32" t="s">
        <v>384</v>
      </c>
      <c r="T50" s="32">
        <v>0.25254700000000002</v>
      </c>
      <c r="U50" s="33">
        <v>3.0303030303030303</v>
      </c>
      <c r="V50" s="33">
        <v>3.0303030303030303</v>
      </c>
      <c r="W50" s="33">
        <v>0</v>
      </c>
      <c r="X50" s="33">
        <v>1</v>
      </c>
      <c r="Y50" s="32">
        <v>0.28399999999999997</v>
      </c>
      <c r="Z50" s="32">
        <v>3.1452999999999953E-2</v>
      </c>
      <c r="AA50" s="32">
        <v>0.88925000000000021</v>
      </c>
      <c r="AB50" s="32">
        <v>-73.097300000000004</v>
      </c>
      <c r="AC50" s="32">
        <v>43.78257</v>
      </c>
    </row>
    <row r="51" spans="1:29" ht="16.2">
      <c r="A51" s="23" t="e">
        <v>#N/A</v>
      </c>
      <c r="B51" s="23">
        <v>18</v>
      </c>
      <c r="C51" s="24" t="s">
        <v>23</v>
      </c>
      <c r="D51" s="25" t="s">
        <v>26</v>
      </c>
      <c r="E51" s="25" t="s">
        <v>364</v>
      </c>
      <c r="F51" s="25">
        <v>8</v>
      </c>
      <c r="G51" s="26"/>
      <c r="H51" s="27">
        <v>44282</v>
      </c>
      <c r="I51" s="28">
        <v>0.60416666666666663</v>
      </c>
      <c r="J51" s="29">
        <v>44282.604166666664</v>
      </c>
      <c r="K51" s="30" t="s">
        <v>202</v>
      </c>
      <c r="L51" s="31">
        <v>5.5</v>
      </c>
      <c r="M51" s="25">
        <v>13.97</v>
      </c>
      <c r="O51" s="32" t="s">
        <v>385</v>
      </c>
      <c r="P51" s="32" t="s">
        <v>386</v>
      </c>
      <c r="R51" s="32" t="s">
        <v>387</v>
      </c>
      <c r="S51" s="32" t="s">
        <v>387</v>
      </c>
      <c r="T51" s="32">
        <v>6.5459999999999997E-3</v>
      </c>
      <c r="U51" s="33">
        <v>3</v>
      </c>
      <c r="V51" s="33">
        <v>3</v>
      </c>
      <c r="W51" s="33">
        <v>0</v>
      </c>
      <c r="X51" s="33">
        <v>1</v>
      </c>
      <c r="Y51" s="32">
        <v>4.9799999999999997E-2</v>
      </c>
      <c r="Z51" s="32">
        <v>4.3254000000000001E-2</v>
      </c>
      <c r="AA51" s="32">
        <v>0.13144578313253014</v>
      </c>
      <c r="AB51" s="32">
        <v>-73.097300000000004</v>
      </c>
      <c r="AC51" s="32">
        <v>43.78257</v>
      </c>
    </row>
    <row r="52" spans="1:29" ht="16.2">
      <c r="A52" s="23" t="e">
        <v>#N/A</v>
      </c>
      <c r="B52" s="23">
        <v>19</v>
      </c>
      <c r="C52" s="24" t="s">
        <v>23</v>
      </c>
      <c r="D52" s="25" t="s">
        <v>26</v>
      </c>
      <c r="E52" s="25" t="s">
        <v>364</v>
      </c>
      <c r="F52" s="25">
        <v>9</v>
      </c>
      <c r="G52" s="26"/>
      <c r="H52" s="27">
        <v>44282</v>
      </c>
      <c r="I52" s="28">
        <v>0.60416666666666663</v>
      </c>
      <c r="J52" s="29">
        <v>44282.604166666664</v>
      </c>
      <c r="K52" s="30" t="s">
        <v>202</v>
      </c>
      <c r="L52" s="31">
        <v>9.5</v>
      </c>
      <c r="M52" s="25">
        <v>24.13</v>
      </c>
      <c r="O52" s="32" t="s">
        <v>388</v>
      </c>
      <c r="P52" s="32" t="s">
        <v>389</v>
      </c>
      <c r="R52" s="32" t="s">
        <v>390</v>
      </c>
      <c r="S52" s="32" t="s">
        <v>390</v>
      </c>
      <c r="T52" s="32">
        <v>2.1763000000000001E-2</v>
      </c>
      <c r="U52" s="33">
        <v>6.875</v>
      </c>
      <c r="V52" s="33">
        <v>6.875</v>
      </c>
      <c r="W52" s="33">
        <v>0</v>
      </c>
      <c r="X52" s="33">
        <v>1</v>
      </c>
      <c r="Y52" s="32">
        <v>5.1700000000000003E-2</v>
      </c>
      <c r="Z52" s="32">
        <v>2.9937000000000002E-2</v>
      </c>
      <c r="AA52" s="32">
        <v>0.42094777562862667</v>
      </c>
      <c r="AB52" s="32">
        <v>-73.097300000000004</v>
      </c>
      <c r="AC52" s="32">
        <v>43.78257</v>
      </c>
    </row>
    <row r="53" spans="1:29" ht="16.2">
      <c r="A53" s="23" t="e">
        <v>#N/A</v>
      </c>
      <c r="B53" s="23">
        <v>20</v>
      </c>
      <c r="C53" s="24" t="s">
        <v>23</v>
      </c>
      <c r="D53" s="25" t="s">
        <v>26</v>
      </c>
      <c r="E53" s="25" t="s">
        <v>364</v>
      </c>
      <c r="F53" s="25">
        <v>5</v>
      </c>
      <c r="G53" s="26"/>
      <c r="H53" s="27">
        <v>44283</v>
      </c>
      <c r="I53" s="28">
        <v>0.58333333333333337</v>
      </c>
      <c r="J53" s="29">
        <v>44283.583333333336</v>
      </c>
      <c r="K53" s="30" t="s">
        <v>202</v>
      </c>
      <c r="L53" s="31">
        <v>1.5</v>
      </c>
      <c r="M53" s="25">
        <v>3.81</v>
      </c>
      <c r="O53" s="32" t="s">
        <v>391</v>
      </c>
      <c r="P53" s="32" t="s">
        <v>392</v>
      </c>
      <c r="R53" s="32" t="s">
        <v>393</v>
      </c>
      <c r="S53" s="32" t="s">
        <v>393</v>
      </c>
      <c r="T53" s="32">
        <v>4.17016E-3</v>
      </c>
      <c r="U53" s="33">
        <v>0.50000000000000711</v>
      </c>
      <c r="V53" s="33">
        <v>0</v>
      </c>
      <c r="W53" s="33">
        <v>0.50000000000000711</v>
      </c>
      <c r="X53" s="33">
        <v>0</v>
      </c>
      <c r="Y53" s="32">
        <v>6.4799999999999996E-2</v>
      </c>
      <c r="Z53" s="32">
        <v>6.0629839999999997E-2</v>
      </c>
      <c r="AA53" s="32">
        <v>6.4354320987654326E-2</v>
      </c>
      <c r="AB53" s="32">
        <v>-73.097300000000004</v>
      </c>
      <c r="AC53" s="32">
        <v>43.78257</v>
      </c>
    </row>
    <row r="54" spans="1:29" ht="16.2">
      <c r="A54" s="23" t="e">
        <v>#N/A</v>
      </c>
      <c r="B54" s="23">
        <v>21</v>
      </c>
      <c r="C54" s="24" t="s">
        <v>23</v>
      </c>
      <c r="D54" s="25" t="s">
        <v>26</v>
      </c>
      <c r="E54" s="25" t="s">
        <v>364</v>
      </c>
      <c r="F54" s="25">
        <v>6</v>
      </c>
      <c r="G54" s="26"/>
      <c r="H54" s="27">
        <v>44283</v>
      </c>
      <c r="I54" s="28">
        <v>0.58333333333333337</v>
      </c>
      <c r="J54" s="29">
        <v>44283.583333333336</v>
      </c>
      <c r="K54" s="30" t="s">
        <v>202</v>
      </c>
      <c r="L54" s="31">
        <v>1.5</v>
      </c>
      <c r="M54" s="25">
        <v>3.81</v>
      </c>
      <c r="O54" s="32" t="s">
        <v>394</v>
      </c>
      <c r="P54" s="32" t="s">
        <v>395</v>
      </c>
      <c r="R54" s="32" t="s">
        <v>396</v>
      </c>
      <c r="S54" s="32" t="s">
        <v>396</v>
      </c>
      <c r="T54" s="32">
        <v>4.5630000000000002E-3</v>
      </c>
      <c r="U54" s="33">
        <v>0.625</v>
      </c>
      <c r="V54" s="33">
        <v>0</v>
      </c>
      <c r="W54" s="33">
        <v>0.625</v>
      </c>
      <c r="X54" s="33">
        <v>0</v>
      </c>
      <c r="Y54" s="32">
        <v>7.0199999999999999E-2</v>
      </c>
      <c r="Z54" s="32">
        <v>6.5637000000000001E-2</v>
      </c>
      <c r="AA54" s="32">
        <v>6.5000000000000002E-2</v>
      </c>
      <c r="AB54" s="32">
        <v>-73.097300000000004</v>
      </c>
      <c r="AC54" s="32">
        <v>43.78257</v>
      </c>
    </row>
    <row r="55" spans="1:29" ht="16.2">
      <c r="A55" s="23" t="e">
        <v>#N/A</v>
      </c>
      <c r="B55" s="23">
        <v>22</v>
      </c>
      <c r="C55" s="24" t="s">
        <v>27</v>
      </c>
      <c r="D55" s="25" t="s">
        <v>26</v>
      </c>
      <c r="E55" s="26" t="s">
        <v>397</v>
      </c>
      <c r="F55" s="25">
        <v>1</v>
      </c>
      <c r="G55" s="26" t="s">
        <v>270</v>
      </c>
      <c r="H55" s="27">
        <v>44192</v>
      </c>
      <c r="I55" s="28">
        <v>0.5625</v>
      </c>
      <c r="J55" s="29">
        <v>44192.5625</v>
      </c>
      <c r="K55" s="30" t="s">
        <v>202</v>
      </c>
      <c r="L55" s="31">
        <v>9</v>
      </c>
      <c r="M55" s="25">
        <v>22.86</v>
      </c>
      <c r="O55" s="32" t="s">
        <v>398</v>
      </c>
      <c r="P55" s="32" t="s">
        <v>399</v>
      </c>
      <c r="R55" s="32" t="s">
        <v>400</v>
      </c>
      <c r="S55" s="32" t="s">
        <v>401</v>
      </c>
      <c r="T55" s="32">
        <v>4.4578E-2</v>
      </c>
      <c r="U55" s="33">
        <v>15.833333333333334</v>
      </c>
      <c r="V55" s="33">
        <v>8.3333333333333339</v>
      </c>
      <c r="W55" s="33">
        <v>7.5</v>
      </c>
      <c r="X55" s="33">
        <v>0.52631578947368418</v>
      </c>
      <c r="Y55" s="32">
        <v>7.4999999999999997E-2</v>
      </c>
      <c r="Z55" s="32">
        <v>3.0421999999999998E-2</v>
      </c>
      <c r="AA55" s="32">
        <v>0.59437333333333331</v>
      </c>
      <c r="AB55" s="32" t="e">
        <v>#N/A</v>
      </c>
      <c r="AC55" s="32" t="e">
        <v>#N/A</v>
      </c>
    </row>
    <row r="56" spans="1:29" ht="16.2">
      <c r="A56" s="23" t="e">
        <v>#N/A</v>
      </c>
      <c r="B56" s="23">
        <v>23</v>
      </c>
      <c r="C56" s="24" t="s">
        <v>27</v>
      </c>
      <c r="D56" s="25" t="s">
        <v>26</v>
      </c>
      <c r="E56" s="26" t="s">
        <v>397</v>
      </c>
      <c r="F56" s="25">
        <v>3</v>
      </c>
      <c r="G56" s="26" t="s">
        <v>270</v>
      </c>
      <c r="H56" s="27">
        <v>44192</v>
      </c>
      <c r="I56" s="28">
        <v>0.5625</v>
      </c>
      <c r="J56" s="29">
        <v>44192.5625</v>
      </c>
      <c r="K56" s="30" t="s">
        <v>202</v>
      </c>
      <c r="L56" s="31">
        <v>13</v>
      </c>
      <c r="M56" s="25">
        <v>33.020000000000003</v>
      </c>
      <c r="O56" s="32" t="s">
        <v>402</v>
      </c>
      <c r="P56" s="32" t="s">
        <v>403</v>
      </c>
      <c r="R56" s="32" t="s">
        <v>404</v>
      </c>
      <c r="S56" s="32" t="s">
        <v>405</v>
      </c>
      <c r="T56" s="32">
        <v>3.3914E-2</v>
      </c>
      <c r="U56" s="33">
        <v>24.166666666666668</v>
      </c>
      <c r="V56" s="33">
        <v>18.333333333333336</v>
      </c>
      <c r="W56" s="33">
        <v>5.8333333333333339</v>
      </c>
      <c r="X56" s="33">
        <v>0.75862068965517249</v>
      </c>
      <c r="Y56" s="32">
        <v>7.5900000000000009E-2</v>
      </c>
      <c r="Z56" s="32">
        <v>4.1986000000000009E-2</v>
      </c>
      <c r="AA56" s="32">
        <v>0.44682476943346505</v>
      </c>
      <c r="AB56" s="32" t="e">
        <v>#N/A</v>
      </c>
      <c r="AC56" s="32" t="e">
        <v>#N/A</v>
      </c>
    </row>
    <row r="57" spans="1:29" ht="16.2">
      <c r="A57" s="23" t="e">
        <v>#N/A</v>
      </c>
      <c r="B57" s="23">
        <v>24</v>
      </c>
      <c r="C57" s="24" t="s">
        <v>27</v>
      </c>
      <c r="D57" s="25" t="s">
        <v>26</v>
      </c>
      <c r="E57" s="26" t="s">
        <v>397</v>
      </c>
      <c r="F57" s="25">
        <v>5</v>
      </c>
      <c r="G57" s="26" t="s">
        <v>270</v>
      </c>
      <c r="H57" s="27">
        <v>44192</v>
      </c>
      <c r="I57" s="28">
        <v>0.58333333333333337</v>
      </c>
      <c r="J57" s="29">
        <v>44192.583333333336</v>
      </c>
      <c r="K57" s="30" t="s">
        <v>202</v>
      </c>
      <c r="L57" s="31">
        <v>17</v>
      </c>
      <c r="M57" s="25">
        <v>43.18</v>
      </c>
      <c r="O57" s="32" t="s">
        <v>406</v>
      </c>
      <c r="P57" s="32" t="s">
        <v>407</v>
      </c>
      <c r="R57" s="32" t="s">
        <v>408</v>
      </c>
      <c r="S57" s="32" t="s">
        <v>409</v>
      </c>
      <c r="T57" s="32">
        <v>9.5994999999999997E-2</v>
      </c>
      <c r="U57" s="33">
        <v>5.625</v>
      </c>
      <c r="V57" s="33">
        <v>2.5</v>
      </c>
      <c r="W57" s="33">
        <v>3.125</v>
      </c>
      <c r="X57" s="33">
        <v>0.44444444444444442</v>
      </c>
      <c r="Y57" s="32">
        <v>0.16700000000000001</v>
      </c>
      <c r="Z57" s="32">
        <v>7.1005000000000013E-2</v>
      </c>
      <c r="AA57" s="32">
        <v>0.57482035928143704</v>
      </c>
      <c r="AB57" s="32" t="e">
        <v>#N/A</v>
      </c>
      <c r="AC57" s="32" t="e">
        <v>#N/A</v>
      </c>
    </row>
    <row r="58" spans="1:29" ht="16.2">
      <c r="A58" s="23" t="e">
        <v>#N/A</v>
      </c>
      <c r="B58" s="23">
        <v>25</v>
      </c>
      <c r="C58" s="24" t="s">
        <v>27</v>
      </c>
      <c r="D58" s="25" t="s">
        <v>26</v>
      </c>
      <c r="E58" s="25" t="s">
        <v>397</v>
      </c>
      <c r="F58" s="25">
        <v>5</v>
      </c>
      <c r="G58" s="26"/>
      <c r="H58" s="27">
        <v>44282</v>
      </c>
      <c r="I58" s="28">
        <v>0.625</v>
      </c>
      <c r="J58" s="29">
        <v>44282.625</v>
      </c>
      <c r="K58" s="30" t="s">
        <v>202</v>
      </c>
      <c r="L58" s="31">
        <v>5</v>
      </c>
      <c r="M58" s="25">
        <v>12.7</v>
      </c>
      <c r="O58" s="32" t="s">
        <v>410</v>
      </c>
      <c r="P58" s="32" t="s">
        <v>411</v>
      </c>
      <c r="R58" s="32" t="s">
        <v>412</v>
      </c>
      <c r="S58" s="32" t="s">
        <v>412</v>
      </c>
      <c r="T58" s="32" t="e">
        <v>#DIV/0!</v>
      </c>
      <c r="U58" s="33">
        <v>27</v>
      </c>
      <c r="V58" s="33">
        <v>4</v>
      </c>
      <c r="W58" s="33">
        <v>23</v>
      </c>
      <c r="X58" s="33">
        <v>0.14814814814814814</v>
      </c>
      <c r="Y58" s="32">
        <v>9.3799999999999994E-2</v>
      </c>
      <c r="Z58" s="32">
        <v>7.1005000000000013E-2</v>
      </c>
      <c r="AA58" s="32">
        <v>0.57482035928143704</v>
      </c>
      <c r="AB58" s="32" t="e">
        <v>#N/A</v>
      </c>
      <c r="AC58" s="32" t="e">
        <v>#N/A</v>
      </c>
    </row>
    <row r="59" spans="1:29" ht="16.2">
      <c r="A59" s="23" t="e">
        <v>#N/A</v>
      </c>
      <c r="B59" s="23">
        <v>26</v>
      </c>
      <c r="C59" s="24" t="s">
        <v>36</v>
      </c>
      <c r="D59" s="25" t="s">
        <v>28</v>
      </c>
      <c r="E59" s="26">
        <v>0</v>
      </c>
      <c r="F59" s="25">
        <v>5</v>
      </c>
      <c r="G59" s="26" t="s">
        <v>270</v>
      </c>
      <c r="H59" s="27">
        <v>44191</v>
      </c>
      <c r="I59" s="28">
        <v>0.48958333333333331</v>
      </c>
      <c r="J59" s="29">
        <v>44191.489583333336</v>
      </c>
      <c r="K59" s="30" t="s">
        <v>202</v>
      </c>
      <c r="L59" s="31">
        <v>8</v>
      </c>
      <c r="M59" s="25">
        <v>20.32</v>
      </c>
      <c r="N59" s="35" t="s">
        <v>413</v>
      </c>
      <c r="O59" s="32" t="s">
        <v>414</v>
      </c>
      <c r="P59" s="32" t="s">
        <v>415</v>
      </c>
      <c r="R59" s="32" t="s">
        <v>416</v>
      </c>
      <c r="S59" s="32" t="s">
        <v>417</v>
      </c>
      <c r="T59" s="32">
        <v>5.4475000000000003E-2</v>
      </c>
      <c r="U59" s="33">
        <v>5.8750000000000036</v>
      </c>
      <c r="V59" s="33">
        <v>3.75</v>
      </c>
      <c r="W59" s="33">
        <v>2.1250000000000036</v>
      </c>
      <c r="X59" s="33">
        <v>0.63829787234042512</v>
      </c>
      <c r="Y59" s="32">
        <v>0.104</v>
      </c>
      <c r="Z59" s="32">
        <v>4.9524999999999993E-2</v>
      </c>
      <c r="AA59" s="32">
        <v>0.52379807692307701</v>
      </c>
      <c r="AB59" s="32">
        <v>-73.175799999999995</v>
      </c>
      <c r="AC59" s="32">
        <v>43.919670000000004</v>
      </c>
    </row>
    <row r="60" spans="1:29" ht="16.2">
      <c r="A60" s="23" t="e">
        <v>#N/A</v>
      </c>
      <c r="B60" s="23">
        <v>27</v>
      </c>
      <c r="C60" s="24" t="s">
        <v>36</v>
      </c>
      <c r="D60" s="25" t="s">
        <v>28</v>
      </c>
      <c r="E60" s="26">
        <v>0</v>
      </c>
      <c r="F60" s="25">
        <v>6</v>
      </c>
      <c r="G60" s="26" t="s">
        <v>270</v>
      </c>
      <c r="H60" s="27">
        <v>44191</v>
      </c>
      <c r="I60" s="28">
        <v>0.48958333333333331</v>
      </c>
      <c r="J60" s="29">
        <v>44191.489583333336</v>
      </c>
      <c r="K60" s="30" t="s">
        <v>202</v>
      </c>
      <c r="L60" s="31">
        <v>8</v>
      </c>
      <c r="M60" s="25">
        <v>20.32</v>
      </c>
      <c r="N60" s="35" t="s">
        <v>413</v>
      </c>
      <c r="O60" s="32" t="s">
        <v>418</v>
      </c>
      <c r="P60" s="32" t="s">
        <v>419</v>
      </c>
      <c r="R60" s="32" t="s">
        <v>420</v>
      </c>
      <c r="S60" s="32" t="s">
        <v>421</v>
      </c>
      <c r="T60" s="32">
        <v>9.5571000000000003E-2</v>
      </c>
      <c r="U60" s="33">
        <v>3.0000000000000071</v>
      </c>
      <c r="V60" s="33">
        <v>2.5</v>
      </c>
      <c r="W60" s="33">
        <v>0.50000000000000711</v>
      </c>
      <c r="X60" s="33">
        <v>0.83333333333333137</v>
      </c>
      <c r="Y60" s="32">
        <v>0.19700000000000001</v>
      </c>
      <c r="Z60" s="32">
        <v>0.10142900000000001</v>
      </c>
      <c r="AA60" s="32">
        <v>0.48513197969543148</v>
      </c>
      <c r="AB60" s="32">
        <v>-73.175799999999995</v>
      </c>
      <c r="AC60" s="32">
        <v>43.919670000000004</v>
      </c>
    </row>
    <row r="61" spans="1:29" ht="16.2">
      <c r="A61" s="23" t="e">
        <v>#N/A</v>
      </c>
      <c r="B61" s="23">
        <v>28</v>
      </c>
      <c r="C61" s="24" t="s">
        <v>36</v>
      </c>
      <c r="D61" s="25" t="s">
        <v>28</v>
      </c>
      <c r="E61" s="25">
        <v>0</v>
      </c>
      <c r="F61" s="25">
        <v>5</v>
      </c>
      <c r="G61" s="26"/>
      <c r="H61" s="27">
        <v>44281</v>
      </c>
      <c r="I61" s="36">
        <v>0.5625</v>
      </c>
      <c r="J61" s="29">
        <v>44281.5625</v>
      </c>
      <c r="K61" s="30" t="s">
        <v>202</v>
      </c>
      <c r="L61" s="31">
        <v>2.5</v>
      </c>
      <c r="M61" s="25">
        <v>6.35</v>
      </c>
      <c r="O61" s="32" t="s">
        <v>422</v>
      </c>
      <c r="P61" s="32" t="s">
        <v>423</v>
      </c>
      <c r="R61" s="32" t="s">
        <v>424</v>
      </c>
      <c r="S61" s="32" t="s">
        <v>424</v>
      </c>
      <c r="T61" s="32">
        <v>3.5922999999999997E-2</v>
      </c>
      <c r="U61" s="33">
        <v>1.5384615384615385</v>
      </c>
      <c r="V61" s="33">
        <v>1.5384615384615385</v>
      </c>
      <c r="W61" s="33">
        <v>0</v>
      </c>
      <c r="X61" s="33">
        <v>1</v>
      </c>
      <c r="Y61" s="32">
        <v>0.1115625</v>
      </c>
      <c r="Z61" s="32">
        <v>7.5639499999999998E-2</v>
      </c>
      <c r="AA61" s="32">
        <v>0.32199887955182072</v>
      </c>
      <c r="AB61" s="32">
        <v>-73.175799999999995</v>
      </c>
      <c r="AC61" s="32">
        <v>43.919670000000004</v>
      </c>
    </row>
    <row r="62" spans="1:29" ht="16.2">
      <c r="A62" s="23" t="e">
        <v>#N/A</v>
      </c>
      <c r="B62" s="23">
        <v>29</v>
      </c>
      <c r="C62" s="24" t="s">
        <v>36</v>
      </c>
      <c r="D62" s="25" t="s">
        <v>28</v>
      </c>
      <c r="E62" s="25">
        <v>0</v>
      </c>
      <c r="F62" s="25">
        <v>6</v>
      </c>
      <c r="G62" s="26"/>
      <c r="H62" s="27">
        <v>44281</v>
      </c>
      <c r="I62" s="36">
        <v>0.5625</v>
      </c>
      <c r="J62" s="29">
        <v>44281.5625</v>
      </c>
      <c r="K62" s="30" t="s">
        <v>202</v>
      </c>
      <c r="L62" s="31">
        <v>2.5</v>
      </c>
      <c r="M62" s="25">
        <v>6.35</v>
      </c>
      <c r="O62" s="32" t="s">
        <v>425</v>
      </c>
      <c r="P62" s="32" t="s">
        <v>426</v>
      </c>
      <c r="R62" s="32" t="s">
        <v>427</v>
      </c>
      <c r="S62" s="32" t="s">
        <v>427</v>
      </c>
      <c r="T62" s="32">
        <v>4.5233000000000002E-2</v>
      </c>
      <c r="U62" s="33">
        <v>19.500000000000007</v>
      </c>
      <c r="V62" s="33">
        <v>1.6666666666666679</v>
      </c>
      <c r="W62" s="33">
        <v>17.833333333333339</v>
      </c>
      <c r="X62" s="33">
        <v>8.54700854700855E-2</v>
      </c>
      <c r="Y62" s="32">
        <v>0.11899999999999999</v>
      </c>
      <c r="Z62" s="32">
        <v>7.3766999999999999E-2</v>
      </c>
      <c r="AA62" s="32">
        <v>0.380109243697479</v>
      </c>
      <c r="AB62" s="32">
        <v>-73.175799999999995</v>
      </c>
      <c r="AC62" s="32">
        <v>43.919670000000004</v>
      </c>
    </row>
    <row r="63" spans="1:29" ht="16.2">
      <c r="A63" s="23" t="e">
        <v>#N/A</v>
      </c>
      <c r="B63" s="23" t="s">
        <v>428</v>
      </c>
      <c r="C63" s="32" t="s">
        <v>36</v>
      </c>
      <c r="D63" s="25" t="s">
        <v>28</v>
      </c>
      <c r="E63" s="25" t="s">
        <v>208</v>
      </c>
      <c r="F63" s="25">
        <v>5</v>
      </c>
      <c r="G63" s="26">
        <v>1</v>
      </c>
      <c r="H63" s="27">
        <v>43756</v>
      </c>
      <c r="I63" s="28">
        <v>0.59027777777777779</v>
      </c>
      <c r="J63" s="29">
        <v>43756.590277777781</v>
      </c>
      <c r="K63" s="30" t="s">
        <v>202</v>
      </c>
      <c r="L63" s="31">
        <v>16</v>
      </c>
      <c r="M63" s="25">
        <v>40.64</v>
      </c>
      <c r="O63" s="32" t="s">
        <v>429</v>
      </c>
      <c r="P63" s="32" t="s">
        <v>430</v>
      </c>
      <c r="Q63" s="32" t="s">
        <v>431</v>
      </c>
      <c r="R63" s="32" t="s">
        <v>432</v>
      </c>
      <c r="S63" s="32" t="s">
        <v>432</v>
      </c>
      <c r="T63" s="32">
        <v>3.1739999999999997E-2</v>
      </c>
      <c r="U63" s="33">
        <v>6.6666666666666661</v>
      </c>
      <c r="V63" s="33">
        <v>0</v>
      </c>
      <c r="W63" s="33">
        <v>6.6666666666666661</v>
      </c>
      <c r="X63" s="33">
        <v>0</v>
      </c>
      <c r="Y63" s="32">
        <v>6.13E-2</v>
      </c>
      <c r="Z63" s="32">
        <v>2.9560000000000003E-2</v>
      </c>
      <c r="AA63" s="32">
        <v>0.51778140293637842</v>
      </c>
      <c r="AB63" s="32">
        <v>-73.175799999999995</v>
      </c>
      <c r="AC63" s="32">
        <v>43.919670000000004</v>
      </c>
    </row>
    <row r="64" spans="1:29" ht="16.2">
      <c r="A64" s="23" t="e">
        <v>#N/A</v>
      </c>
      <c r="B64" s="23" t="s">
        <v>428</v>
      </c>
      <c r="C64" s="32" t="s">
        <v>36</v>
      </c>
      <c r="D64" s="25" t="s">
        <v>28</v>
      </c>
      <c r="E64" s="25" t="s">
        <v>208</v>
      </c>
      <c r="F64" s="25">
        <v>6</v>
      </c>
      <c r="G64" s="26">
        <v>1</v>
      </c>
      <c r="H64" s="27">
        <v>43756</v>
      </c>
      <c r="I64" s="28">
        <v>0.59027777777777779</v>
      </c>
      <c r="J64" s="29">
        <v>43756.590277777781</v>
      </c>
      <c r="K64" s="30" t="s">
        <v>202</v>
      </c>
      <c r="L64" s="31">
        <v>15.625</v>
      </c>
      <c r="M64" s="25">
        <v>39.6875</v>
      </c>
      <c r="O64" s="32" t="s">
        <v>433</v>
      </c>
      <c r="P64" s="32" t="s">
        <v>434</v>
      </c>
      <c r="Q64" s="32" t="s">
        <v>435</v>
      </c>
      <c r="R64" s="32" t="s">
        <v>436</v>
      </c>
      <c r="S64" s="32" t="s">
        <v>436</v>
      </c>
      <c r="T64" s="32">
        <v>2.6190000000000001E-2</v>
      </c>
      <c r="U64" s="33">
        <v>5.8536585365853666</v>
      </c>
      <c r="V64" s="33">
        <v>0</v>
      </c>
      <c r="W64" s="33">
        <v>5.8536585365853666</v>
      </c>
      <c r="X64" s="33">
        <v>0</v>
      </c>
      <c r="Y64" s="32">
        <v>6.3600000000000004E-2</v>
      </c>
      <c r="Z64" s="32">
        <v>3.7409999999999999E-2</v>
      </c>
      <c r="AA64" s="32">
        <v>0.41179245283018867</v>
      </c>
      <c r="AB64" s="32">
        <v>-73.175799999999995</v>
      </c>
      <c r="AC64" s="32">
        <v>43.919670000000004</v>
      </c>
    </row>
    <row r="65" spans="1:29" ht="16.2">
      <c r="A65" s="23" t="e">
        <v>#N/A</v>
      </c>
      <c r="B65" s="23"/>
      <c r="C65" s="24" t="s">
        <v>39</v>
      </c>
      <c r="D65" s="25" t="s">
        <v>28</v>
      </c>
      <c r="E65" s="26">
        <v>1</v>
      </c>
      <c r="F65" s="25">
        <v>5</v>
      </c>
      <c r="G65" s="26" t="s">
        <v>270</v>
      </c>
      <c r="H65" s="27">
        <v>44191</v>
      </c>
      <c r="I65" s="28">
        <v>0.48958333333333331</v>
      </c>
      <c r="J65" s="29">
        <v>44191.489583333336</v>
      </c>
      <c r="K65" s="30" t="s">
        <v>202</v>
      </c>
      <c r="L65" s="31"/>
      <c r="M65" s="25"/>
      <c r="N65" s="35" t="s">
        <v>413</v>
      </c>
      <c r="O65" s="32" t="s">
        <v>437</v>
      </c>
      <c r="P65" s="32" t="s">
        <v>438</v>
      </c>
      <c r="R65" s="32" t="s">
        <v>439</v>
      </c>
      <c r="S65" s="32" t="s">
        <v>440</v>
      </c>
      <c r="T65" s="32">
        <v>0.15249199999999999</v>
      </c>
      <c r="U65" s="33">
        <v>6.1538461538461542</v>
      </c>
      <c r="V65" s="33">
        <v>6.1538461538461542</v>
      </c>
      <c r="W65" s="33">
        <v>0</v>
      </c>
      <c r="X65" s="33">
        <v>1</v>
      </c>
      <c r="Y65" s="32">
        <v>0.22800000000000001</v>
      </c>
      <c r="Z65" s="32">
        <v>7.550800000000002E-2</v>
      </c>
      <c r="AA65" s="32">
        <v>0.66882456140350866</v>
      </c>
      <c r="AB65" s="32">
        <v>-73.175399999999996</v>
      </c>
      <c r="AC65" s="32">
        <v>43.918349999999997</v>
      </c>
    </row>
    <row r="66" spans="1:29" ht="16.2">
      <c r="A66" s="23" t="e">
        <v>#N/A</v>
      </c>
      <c r="B66" s="23"/>
      <c r="C66" s="24" t="s">
        <v>39</v>
      </c>
      <c r="D66" s="25" t="s">
        <v>28</v>
      </c>
      <c r="E66" s="26">
        <v>1</v>
      </c>
      <c r="F66" s="25">
        <v>6</v>
      </c>
      <c r="G66" s="26" t="s">
        <v>270</v>
      </c>
      <c r="H66" s="27">
        <v>44191</v>
      </c>
      <c r="I66" s="28">
        <v>0.48958333333333331</v>
      </c>
      <c r="J66" s="29">
        <v>44191.489583333336</v>
      </c>
      <c r="K66" s="30" t="s">
        <v>202</v>
      </c>
      <c r="L66" s="31"/>
      <c r="M66" s="25"/>
      <c r="N66" s="35" t="s">
        <v>413</v>
      </c>
      <c r="O66" s="32" t="s">
        <v>441</v>
      </c>
      <c r="P66" s="32" t="s">
        <v>442</v>
      </c>
      <c r="R66" s="32" t="s">
        <v>443</v>
      </c>
      <c r="S66" s="32" t="s">
        <v>444</v>
      </c>
      <c r="T66" s="32">
        <v>5.0770000000000003E-2</v>
      </c>
      <c r="U66" s="33">
        <v>7</v>
      </c>
      <c r="V66" s="33">
        <v>7</v>
      </c>
      <c r="W66" s="33">
        <v>0</v>
      </c>
      <c r="X66" s="33">
        <v>1</v>
      </c>
      <c r="Y66" s="32">
        <v>0.22800000000000001</v>
      </c>
      <c r="Z66" s="32">
        <v>7.550800000000002E-2</v>
      </c>
      <c r="AA66" s="32">
        <v>0.66882456140350866</v>
      </c>
      <c r="AB66" s="32">
        <v>-73.175399999999996</v>
      </c>
      <c r="AC66" s="32">
        <v>43.918349999999997</v>
      </c>
    </row>
    <row r="67" spans="1:29" ht="16.2">
      <c r="A67" s="23" t="e">
        <v>#N/A</v>
      </c>
      <c r="B67" s="23">
        <v>1</v>
      </c>
      <c r="C67" s="24" t="s">
        <v>39</v>
      </c>
      <c r="D67" s="25" t="s">
        <v>28</v>
      </c>
      <c r="E67" s="25">
        <v>1</v>
      </c>
      <c r="F67" s="25">
        <v>5</v>
      </c>
      <c r="G67" s="26"/>
      <c r="H67" s="27">
        <v>44281</v>
      </c>
      <c r="I67" s="28">
        <v>0.58333333333333337</v>
      </c>
      <c r="J67" s="29">
        <v>44281.583333333336</v>
      </c>
      <c r="K67" s="30" t="s">
        <v>202</v>
      </c>
      <c r="L67" s="31">
        <v>4.5</v>
      </c>
      <c r="M67" s="25">
        <v>11.43</v>
      </c>
      <c r="O67" s="32" t="s">
        <v>445</v>
      </c>
      <c r="P67" s="32" t="s">
        <v>446</v>
      </c>
      <c r="R67" s="32" t="s">
        <v>447</v>
      </c>
      <c r="S67" s="32" t="s">
        <v>447</v>
      </c>
      <c r="T67" s="32">
        <v>2.4712999999999999E-2</v>
      </c>
      <c r="U67" s="33">
        <v>10.333333333333339</v>
      </c>
      <c r="V67" s="33">
        <v>1.6666666666666679</v>
      </c>
      <c r="W67" s="33">
        <v>8.6666666666666714</v>
      </c>
      <c r="X67" s="33">
        <v>0.16129032258064518</v>
      </c>
      <c r="Y67" s="32">
        <v>5.1400000000000001E-2</v>
      </c>
      <c r="Z67" s="32">
        <v>2.6687000000000002E-2</v>
      </c>
      <c r="AA67" s="32">
        <v>0.4807976653696498</v>
      </c>
      <c r="AB67" s="32">
        <v>-73.175399999999996</v>
      </c>
      <c r="AC67" s="32">
        <v>43.918349999999997</v>
      </c>
    </row>
    <row r="68" spans="1:29" ht="16.2">
      <c r="A68" s="23" t="e">
        <v>#N/A</v>
      </c>
      <c r="B68" s="23">
        <v>2</v>
      </c>
      <c r="C68" s="24" t="s">
        <v>39</v>
      </c>
      <c r="D68" s="25" t="s">
        <v>28</v>
      </c>
      <c r="E68" s="25">
        <v>1</v>
      </c>
      <c r="F68" s="25">
        <v>6</v>
      </c>
      <c r="G68" s="26"/>
      <c r="H68" s="27">
        <v>44281</v>
      </c>
      <c r="I68" s="28">
        <v>0.58333333333333337</v>
      </c>
      <c r="J68" s="29">
        <v>44281.583333333336</v>
      </c>
      <c r="K68" s="30" t="s">
        <v>202</v>
      </c>
      <c r="L68" s="31">
        <v>4.5</v>
      </c>
      <c r="M68" s="25">
        <v>11.43</v>
      </c>
      <c r="O68" s="32" t="s">
        <v>448</v>
      </c>
      <c r="P68" s="32" t="s">
        <v>449</v>
      </c>
      <c r="R68" s="32" t="s">
        <v>450</v>
      </c>
      <c r="S68" s="32" t="s">
        <v>450</v>
      </c>
      <c r="T68" s="32">
        <v>2.9531000000000002E-2</v>
      </c>
      <c r="U68" s="33">
        <v>45</v>
      </c>
      <c r="V68" s="33">
        <v>5</v>
      </c>
      <c r="W68" s="33">
        <v>40</v>
      </c>
      <c r="X68" s="33">
        <v>0.1111111111111111</v>
      </c>
      <c r="Y68" s="32">
        <v>5.2700000000000004E-2</v>
      </c>
      <c r="Z68" s="32">
        <v>2.3169000000000002E-2</v>
      </c>
      <c r="AA68" s="32">
        <v>0.56036053130929786</v>
      </c>
      <c r="AB68" s="32">
        <v>-73.175399999999996</v>
      </c>
      <c r="AC68" s="32">
        <v>43.918349999999997</v>
      </c>
    </row>
    <row r="69" spans="1:29" ht="16.2">
      <c r="A69" s="23" t="e">
        <v>#N/A</v>
      </c>
      <c r="B69" s="23" t="s">
        <v>451</v>
      </c>
      <c r="C69" s="32" t="s">
        <v>39</v>
      </c>
      <c r="D69" s="25" t="s">
        <v>28</v>
      </c>
      <c r="E69" s="25" t="s">
        <v>233</v>
      </c>
      <c r="F69" s="25">
        <v>5</v>
      </c>
      <c r="G69" s="26">
        <v>1</v>
      </c>
      <c r="H69" s="27">
        <v>43756</v>
      </c>
      <c r="I69" s="28">
        <v>0.58194444444444449</v>
      </c>
      <c r="J69" s="29">
        <v>43756.581944444442</v>
      </c>
      <c r="K69" s="30" t="s">
        <v>202</v>
      </c>
      <c r="L69" s="31">
        <v>10</v>
      </c>
      <c r="M69" s="25">
        <v>25.4</v>
      </c>
      <c r="O69" s="32" t="s">
        <v>452</v>
      </c>
      <c r="P69" s="32" t="s">
        <v>453</v>
      </c>
      <c r="Q69" s="32" t="s">
        <v>454</v>
      </c>
      <c r="R69" s="32" t="s">
        <v>455</v>
      </c>
      <c r="S69" s="32" t="s">
        <v>455</v>
      </c>
      <c r="T69" s="32">
        <v>2.2579999999999999E-2</v>
      </c>
      <c r="U69" s="33">
        <v>3</v>
      </c>
      <c r="V69" s="33">
        <v>0</v>
      </c>
      <c r="W69" s="33">
        <v>3</v>
      </c>
      <c r="X69" s="33">
        <v>0</v>
      </c>
      <c r="Y69" s="32">
        <v>4.65E-2</v>
      </c>
      <c r="Z69" s="32">
        <v>2.392E-2</v>
      </c>
      <c r="AA69" s="32">
        <v>0.48559139784946237</v>
      </c>
      <c r="AB69" s="32">
        <v>-73.175399999999996</v>
      </c>
      <c r="AC69" s="32">
        <v>43.918349999999997</v>
      </c>
    </row>
    <row r="70" spans="1:29" ht="16.2">
      <c r="A70" s="23" t="e">
        <v>#N/A</v>
      </c>
      <c r="B70" s="23" t="s">
        <v>451</v>
      </c>
      <c r="C70" s="32" t="s">
        <v>39</v>
      </c>
      <c r="D70" s="25" t="s">
        <v>28</v>
      </c>
      <c r="E70" s="25" t="s">
        <v>233</v>
      </c>
      <c r="F70" s="25">
        <v>6</v>
      </c>
      <c r="G70" s="26">
        <v>1</v>
      </c>
      <c r="H70" s="27">
        <v>43756</v>
      </c>
      <c r="I70" s="28">
        <v>0.58194444444444449</v>
      </c>
      <c r="J70" s="29">
        <v>43756.581944444442</v>
      </c>
      <c r="K70" s="30" t="s">
        <v>202</v>
      </c>
      <c r="L70" s="31">
        <v>10</v>
      </c>
      <c r="M70" s="25">
        <v>25.4</v>
      </c>
      <c r="O70" s="32" t="s">
        <v>456</v>
      </c>
      <c r="P70" s="32" t="s">
        <v>457</v>
      </c>
      <c r="Q70" s="32" t="s">
        <v>458</v>
      </c>
      <c r="R70" s="32" t="s">
        <v>459</v>
      </c>
      <c r="S70" s="32" t="s">
        <v>459</v>
      </c>
      <c r="T70" s="32">
        <v>2.3689999999999999E-2</v>
      </c>
      <c r="U70" s="33">
        <v>3</v>
      </c>
      <c r="V70" s="33">
        <v>0</v>
      </c>
      <c r="W70" s="33">
        <v>3</v>
      </c>
      <c r="X70" s="33">
        <v>0</v>
      </c>
      <c r="Y70" s="32">
        <v>5.0900000000000001E-2</v>
      </c>
      <c r="Z70" s="32">
        <v>2.7210000000000002E-2</v>
      </c>
      <c r="AA70" s="32">
        <v>0.46542239685658149</v>
      </c>
      <c r="AB70" s="32">
        <v>-73.175399999999996</v>
      </c>
      <c r="AC70" s="32">
        <v>43.918349999999997</v>
      </c>
    </row>
    <row r="71" spans="1:29" ht="16.2">
      <c r="A71" s="23" t="e">
        <v>#N/A</v>
      </c>
      <c r="B71" s="23" t="s">
        <v>460</v>
      </c>
      <c r="C71" s="32" t="s">
        <v>42</v>
      </c>
      <c r="D71" s="25" t="s">
        <v>28</v>
      </c>
      <c r="E71" s="25" t="s">
        <v>207</v>
      </c>
      <c r="F71" s="25">
        <v>5</v>
      </c>
      <c r="G71" s="26">
        <v>1</v>
      </c>
      <c r="H71" s="27">
        <v>43756</v>
      </c>
      <c r="I71" s="28">
        <v>0.5625</v>
      </c>
      <c r="J71" s="29">
        <v>43756.5625</v>
      </c>
      <c r="K71" s="30" t="s">
        <v>202</v>
      </c>
      <c r="L71" s="31">
        <v>10</v>
      </c>
      <c r="M71" s="25">
        <v>25.4</v>
      </c>
      <c r="O71" s="32" t="s">
        <v>461</v>
      </c>
      <c r="P71" s="32" t="s">
        <v>462</v>
      </c>
      <c r="Q71" s="32" t="s">
        <v>463</v>
      </c>
      <c r="R71" s="32" t="s">
        <v>464</v>
      </c>
      <c r="S71" s="32" t="s">
        <v>464</v>
      </c>
      <c r="T71" s="32">
        <v>0.12781999999999999</v>
      </c>
      <c r="U71" s="33">
        <v>11.5</v>
      </c>
      <c r="V71" s="33">
        <v>0</v>
      </c>
      <c r="W71" s="33">
        <v>11.5</v>
      </c>
      <c r="X71" s="33">
        <v>0</v>
      </c>
      <c r="Y71" s="32">
        <v>0.21099999999999999</v>
      </c>
      <c r="Z71" s="32">
        <v>8.3180000000000004E-2</v>
      </c>
      <c r="AA71" s="32">
        <v>0.60578199052132697</v>
      </c>
      <c r="AB71" s="32">
        <v>-73.174999999999997</v>
      </c>
      <c r="AC71" s="32">
        <v>43.918689999999998</v>
      </c>
    </row>
    <row r="72" spans="1:29" ht="16.2">
      <c r="A72" s="23" t="e">
        <v>#N/A</v>
      </c>
      <c r="B72" s="23" t="s">
        <v>460</v>
      </c>
      <c r="C72" s="32" t="s">
        <v>42</v>
      </c>
      <c r="D72" s="25" t="s">
        <v>28</v>
      </c>
      <c r="E72" s="25" t="s">
        <v>207</v>
      </c>
      <c r="F72" s="25">
        <v>6</v>
      </c>
      <c r="G72" s="26">
        <v>1</v>
      </c>
      <c r="H72" s="27">
        <v>43756</v>
      </c>
      <c r="I72" s="28">
        <v>0.5625</v>
      </c>
      <c r="J72" s="29">
        <v>43756.5625</v>
      </c>
      <c r="K72" s="30" t="s">
        <v>202</v>
      </c>
      <c r="L72" s="31">
        <v>10</v>
      </c>
      <c r="M72" s="25">
        <v>25.4</v>
      </c>
      <c r="O72" s="32" t="s">
        <v>465</v>
      </c>
      <c r="P72" s="32" t="s">
        <v>466</v>
      </c>
      <c r="Q72" s="32" t="s">
        <v>467</v>
      </c>
      <c r="R72" s="32" t="s">
        <v>468</v>
      </c>
      <c r="S72" s="32" t="s">
        <v>468</v>
      </c>
      <c r="T72" s="32">
        <v>0.11504</v>
      </c>
      <c r="U72" s="33">
        <v>8.7628865979381452</v>
      </c>
      <c r="V72" s="33">
        <v>0</v>
      </c>
      <c r="W72" s="33">
        <v>8.7628865979381452</v>
      </c>
      <c r="X72" s="33">
        <v>0</v>
      </c>
      <c r="Y72" s="32">
        <v>0.19800000000000001</v>
      </c>
      <c r="Z72" s="32">
        <v>8.2960000000000006E-2</v>
      </c>
      <c r="AA72" s="32">
        <v>0.58101010101010098</v>
      </c>
      <c r="AB72" s="32">
        <v>-73.174999999999997</v>
      </c>
      <c r="AC72" s="32">
        <v>43.918689999999998</v>
      </c>
    </row>
    <row r="73" spans="1:29" ht="16.2">
      <c r="A73" s="23" t="e">
        <v>#N/A</v>
      </c>
      <c r="B73" s="23"/>
      <c r="C73" s="24" t="s">
        <v>42</v>
      </c>
      <c r="D73" s="25" t="s">
        <v>28</v>
      </c>
      <c r="E73" s="25" t="s">
        <v>207</v>
      </c>
      <c r="F73" s="25">
        <v>5</v>
      </c>
      <c r="G73" s="26" t="s">
        <v>270</v>
      </c>
      <c r="H73" s="27">
        <v>44191</v>
      </c>
      <c r="I73" s="28">
        <v>0.47916666666666669</v>
      </c>
      <c r="J73" s="29">
        <v>44191.479166666664</v>
      </c>
      <c r="K73" s="30" t="s">
        <v>202</v>
      </c>
      <c r="L73" s="31">
        <v>1.5</v>
      </c>
      <c r="M73" s="25">
        <v>3.81</v>
      </c>
      <c r="N73" s="35" t="s">
        <v>413</v>
      </c>
      <c r="O73" s="32" t="s">
        <v>469</v>
      </c>
      <c r="P73" s="32" t="s">
        <v>470</v>
      </c>
      <c r="R73" s="32" t="s">
        <v>471</v>
      </c>
      <c r="S73" s="32" t="s">
        <v>472</v>
      </c>
      <c r="T73" s="32">
        <v>0.278586</v>
      </c>
      <c r="U73" s="33">
        <v>4.9999999999995453</v>
      </c>
      <c r="V73" s="33">
        <v>0</v>
      </c>
      <c r="W73" s="33">
        <v>4.9999999999995453</v>
      </c>
      <c r="X73" s="33">
        <v>0</v>
      </c>
      <c r="Y73" s="32">
        <v>0.373</v>
      </c>
      <c r="Z73" s="32">
        <v>9.4413999999999998E-2</v>
      </c>
      <c r="AA73" s="32">
        <v>0.74687935656836457</v>
      </c>
      <c r="AB73" s="32">
        <v>-73.174999999999997</v>
      </c>
      <c r="AC73" s="32">
        <v>43.918689999999998</v>
      </c>
    </row>
    <row r="74" spans="1:29" ht="16.2">
      <c r="A74" s="23" t="e">
        <v>#N/A</v>
      </c>
      <c r="B74" s="23"/>
      <c r="C74" s="24" t="s">
        <v>42</v>
      </c>
      <c r="D74" s="25" t="s">
        <v>28</v>
      </c>
      <c r="E74" s="25" t="s">
        <v>207</v>
      </c>
      <c r="F74" s="25">
        <v>6</v>
      </c>
      <c r="G74" s="26" t="s">
        <v>270</v>
      </c>
      <c r="H74" s="27">
        <v>44191</v>
      </c>
      <c r="I74" s="28">
        <v>0.47916666666666669</v>
      </c>
      <c r="J74" s="29">
        <v>44191.479166666664</v>
      </c>
      <c r="K74" s="30" t="s">
        <v>202</v>
      </c>
      <c r="L74" s="31">
        <v>1</v>
      </c>
      <c r="M74" s="25">
        <v>2.54</v>
      </c>
      <c r="N74" s="35" t="s">
        <v>413</v>
      </c>
      <c r="O74" s="32" t="s">
        <v>473</v>
      </c>
      <c r="P74" s="32" t="s">
        <v>474</v>
      </c>
      <c r="R74" s="32" t="s">
        <v>475</v>
      </c>
      <c r="S74" s="32" t="s">
        <v>476</v>
      </c>
      <c r="T74" s="32" t="e">
        <v>#DIV/0!</v>
      </c>
      <c r="U74" s="33">
        <v>4.5000000000004547</v>
      </c>
      <c r="V74" s="33">
        <v>0</v>
      </c>
      <c r="W74" s="33">
        <v>4.5000000000004547</v>
      </c>
      <c r="X74" s="33">
        <v>0</v>
      </c>
      <c r="Y74" s="32">
        <v>0.373</v>
      </c>
      <c r="Z74" s="32">
        <v>9.4413999999999998E-2</v>
      </c>
      <c r="AA74" s="32">
        <v>0.74687935656836457</v>
      </c>
      <c r="AB74" s="32">
        <v>-73.174999999999997</v>
      </c>
      <c r="AC74" s="32">
        <v>43.918689999999998</v>
      </c>
    </row>
    <row r="75" spans="1:29" ht="16.2">
      <c r="A75" s="23" t="e">
        <v>#N/A</v>
      </c>
      <c r="B75" s="23">
        <v>1</v>
      </c>
      <c r="C75" s="24" t="s">
        <v>45</v>
      </c>
      <c r="D75" s="25" t="s">
        <v>28</v>
      </c>
      <c r="E75" s="25">
        <v>3</v>
      </c>
      <c r="F75" s="25">
        <v>5</v>
      </c>
      <c r="G75" s="26"/>
      <c r="H75" s="27">
        <v>44290</v>
      </c>
      <c r="I75" s="28">
        <v>0.58333333333333337</v>
      </c>
      <c r="J75" s="29">
        <v>44290.583333333336</v>
      </c>
      <c r="K75" s="30" t="s">
        <v>202</v>
      </c>
      <c r="L75" s="31">
        <v>6</v>
      </c>
      <c r="M75" s="25">
        <v>15.24</v>
      </c>
      <c r="O75" s="32" t="s">
        <v>477</v>
      </c>
      <c r="P75" s="32" t="s">
        <v>478</v>
      </c>
      <c r="R75" s="32" t="s">
        <v>479</v>
      </c>
      <c r="S75" s="32" t="s">
        <v>479</v>
      </c>
      <c r="T75" s="32">
        <v>4.9893E-2</v>
      </c>
      <c r="U75" s="33">
        <v>1.9047619047619047</v>
      </c>
      <c r="V75" s="33">
        <v>0</v>
      </c>
      <c r="W75" s="33">
        <v>1.9047619047619047</v>
      </c>
      <c r="X75" s="33">
        <v>0</v>
      </c>
      <c r="Y75" s="32">
        <v>9.2799999999999994E-2</v>
      </c>
      <c r="Z75" s="32">
        <v>4.2906999999999994E-2</v>
      </c>
      <c r="AA75" s="32">
        <v>0.53764008620689663</v>
      </c>
      <c r="AB75" s="32">
        <v>-73.174400000000006</v>
      </c>
      <c r="AC75" s="32">
        <v>43.92015</v>
      </c>
    </row>
    <row r="76" spans="1:29" ht="16.2">
      <c r="A76" s="23" t="e">
        <v>#N/A</v>
      </c>
      <c r="B76" s="23">
        <v>2</v>
      </c>
      <c r="C76" s="24" t="s">
        <v>45</v>
      </c>
      <c r="D76" s="25" t="s">
        <v>28</v>
      </c>
      <c r="E76" s="25">
        <v>3</v>
      </c>
      <c r="F76" s="25">
        <v>6</v>
      </c>
      <c r="G76" s="26"/>
      <c r="H76" s="27">
        <v>44290</v>
      </c>
      <c r="I76" s="28">
        <v>0.58333333333333337</v>
      </c>
      <c r="J76" s="29">
        <v>44290.583333333336</v>
      </c>
      <c r="K76" s="30" t="s">
        <v>202</v>
      </c>
      <c r="L76" s="31">
        <v>6</v>
      </c>
      <c r="M76" s="25">
        <v>15.24</v>
      </c>
      <c r="O76" s="32" t="s">
        <v>480</v>
      </c>
      <c r="P76" s="32" t="s">
        <v>481</v>
      </c>
      <c r="R76" s="32" t="s">
        <v>482</v>
      </c>
      <c r="S76" s="32" t="s">
        <v>482</v>
      </c>
      <c r="T76" s="32">
        <v>4.8684999999999999E-2</v>
      </c>
      <c r="U76" s="33">
        <v>1.9047619047619047</v>
      </c>
      <c r="V76" s="33">
        <v>0</v>
      </c>
      <c r="W76" s="33">
        <v>1.9047619047619047</v>
      </c>
      <c r="X76" s="33">
        <v>0</v>
      </c>
      <c r="Y76" s="32">
        <v>0.1</v>
      </c>
      <c r="Z76" s="32">
        <v>5.1315000000000006E-2</v>
      </c>
      <c r="AA76" s="32">
        <v>0.48684999999999995</v>
      </c>
      <c r="AB76" s="32">
        <v>-73.174400000000006</v>
      </c>
      <c r="AC76" s="32">
        <v>43.92015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2843-BC46-4852-9E2D-7713D75EBCE4}">
  <dimension ref="A1:AP149"/>
  <sheetViews>
    <sheetView workbookViewId="0">
      <selection activeCell="W22" sqref="W22"/>
    </sheetView>
  </sheetViews>
  <sheetFormatPr defaultRowHeight="13.8"/>
  <cols>
    <col min="2" max="4" width="9.3984375" customWidth="1"/>
    <col min="11" max="11" width="9.69921875" customWidth="1"/>
    <col min="13" max="13" width="12.09765625" bestFit="1" customWidth="1"/>
    <col min="15" max="15" width="11.3984375" customWidth="1"/>
    <col min="16" max="16" width="8.8984375" customWidth="1"/>
    <col min="20" max="20" width="9.3984375" customWidth="1"/>
    <col min="21" max="21" width="13" customWidth="1"/>
    <col min="22" max="22" width="12.5" customWidth="1"/>
    <col min="23" max="23" width="11.09765625" customWidth="1"/>
    <col min="24" max="24" width="8.8984375" customWidth="1"/>
  </cols>
  <sheetData>
    <row r="1" spans="1:36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88</v>
      </c>
    </row>
    <row r="2" spans="1:36">
      <c r="A2" t="s">
        <v>15</v>
      </c>
      <c r="B2" t="s">
        <v>16</v>
      </c>
      <c r="C2">
        <v>2.0600000000000004E-2</v>
      </c>
      <c r="D2">
        <f>Table17[[#This Row],[iss]]/Table17[[#This Row],[tss]]</f>
        <v>0.7142857142857143</v>
      </c>
      <c r="E2">
        <v>3.5</v>
      </c>
      <c r="F2">
        <v>2.5</v>
      </c>
      <c r="G2">
        <v>1</v>
      </c>
      <c r="H2">
        <v>2.2800000000000001E-2</v>
      </c>
      <c r="I2">
        <v>9.4900000000000012E-2</v>
      </c>
      <c r="J2">
        <v>7.2100000000000011E-2</v>
      </c>
      <c r="K2">
        <v>0.24025289778714434</v>
      </c>
      <c r="L2">
        <f>Table17[[#This Row],[oss]]*INDEX(Table59[k_OSS2ROP],MATCH(Table17[[#This Row],[site]],Table59[site],FALSE))</f>
        <v>1E-3</v>
      </c>
      <c r="M2">
        <f>Table17[[#This Row],[srp]]*INDEX(Table59[k_SRP2PIP],MATCH(Table17[[#This Row],[site]],Table59[site],FALSE))</f>
        <v>2.0488818695427798E-2</v>
      </c>
      <c r="N2">
        <f>Table17[[#This Row],[iss]]*INDEX(Table59[k_ISS2PIP],MATCH(Table17[[#This Row],[site]],Table59[site],0))</f>
        <v>5.2893918563750135E-3</v>
      </c>
      <c r="O2">
        <f>Table17[[#This Row],[rop]]+Table17[[#This Row],[lop]]+Table17[[#This Row],[pip]]</f>
        <v>2.6778210551802812E-2</v>
      </c>
      <c r="P2">
        <f>(Table17[[#This Row],[nsrp_pred]]-Table17[[#This Row],[nsrp]])^2</f>
        <v>2.0540645987867194E-3</v>
      </c>
      <c r="Q2">
        <f>(Table17[[#This Row],[nsrp]]-INDEX(Table59[mean_nsrp],MATCH(Table17[[#This Row],[site]],Table59[site],0)))^2</f>
        <v>9.2115255703332784E-4</v>
      </c>
    </row>
    <row r="3" spans="1:36">
      <c r="A3" t="s">
        <v>15</v>
      </c>
      <c r="B3" t="s">
        <v>16</v>
      </c>
      <c r="C3">
        <v>1.4874749999999999E-2</v>
      </c>
      <c r="D3">
        <f>Table17[[#This Row],[iss]]/Table17[[#This Row],[tss]]</f>
        <v>1</v>
      </c>
      <c r="E3">
        <v>4.4444444444444446</v>
      </c>
      <c r="F3">
        <v>4.4444444444444446</v>
      </c>
      <c r="G3">
        <v>0</v>
      </c>
      <c r="H3">
        <v>2.1190000000000001E-2</v>
      </c>
      <c r="I3">
        <v>8.7300000000000003E-2</v>
      </c>
      <c r="J3">
        <v>6.6110000000000002E-2</v>
      </c>
      <c r="K3">
        <v>0.2427262313860252</v>
      </c>
      <c r="L3">
        <f>Table17[[#This Row],[oss]]*INDEX(Table59[k_OSS2ROP],MATCH(Table17[[#This Row],[site]],Table59[site],FALSE))</f>
        <v>0</v>
      </c>
      <c r="M3">
        <f>Table17[[#This Row],[srp]]*INDEX(Table59[k_SRP2PIP],MATCH(Table17[[#This Row],[site]],Table59[site],FALSE))</f>
        <v>1.9042020533162941E-2</v>
      </c>
      <c r="N3">
        <f>Table17[[#This Row],[iss]]*INDEX(Table59[k_ISS2PIP],MATCH(Table17[[#This Row],[site]],Table59[site],0))</f>
        <v>9.403363300222246E-3</v>
      </c>
      <c r="O3">
        <f>Table17[[#This Row],[rop]]+Table17[[#This Row],[lop]]+Table17[[#This Row],[pip]]</f>
        <v>2.8445383833385185E-2</v>
      </c>
      <c r="P3">
        <f>(Table17[[#This Row],[nsrp_pred]]-Table17[[#This Row],[nsrp]])^2</f>
        <v>1.4186233109784222E-3</v>
      </c>
      <c r="Q3">
        <f>(Table17[[#This Row],[nsrp]]-INDEX(Table59[mean_nsrp],MATCH(Table17[[#This Row],[site]],Table59[site],0)))^2</f>
        <v>5.9343372490281907E-4</v>
      </c>
      <c r="AD3" t="s">
        <v>18</v>
      </c>
    </row>
    <row r="4" spans="1:36">
      <c r="A4" t="s">
        <v>15</v>
      </c>
      <c r="B4" t="s">
        <v>16</v>
      </c>
      <c r="C4">
        <v>2.6512000000000001E-2</v>
      </c>
      <c r="D4">
        <f>Table17[[#This Row],[iss]]/Table17[[#This Row],[tss]]</f>
        <v>0.6</v>
      </c>
      <c r="E4">
        <v>2.5</v>
      </c>
      <c r="F4">
        <v>1.5</v>
      </c>
      <c r="G4">
        <v>1</v>
      </c>
      <c r="H4">
        <v>2.0119999999999999E-2</v>
      </c>
      <c r="I4">
        <v>8.6400000000000005E-2</v>
      </c>
      <c r="J4">
        <v>6.6280000000000006E-2</v>
      </c>
      <c r="K4">
        <v>0.23287037037037034</v>
      </c>
      <c r="L4">
        <f>Table17[[#This Row],[oss]]*INDEX(Table59[k_OSS2ROP],MATCH(Table17[[#This Row],[site]],Table59[site],FALSE))</f>
        <v>1E-3</v>
      </c>
      <c r="M4">
        <f>Table17[[#This Row],[srp]]*INDEX(Table59[k_SRP2PIP],MATCH(Table17[[#This Row],[site]],Table59[site],FALSE))</f>
        <v>1.8080483866316107E-2</v>
      </c>
      <c r="N4">
        <f>Table17[[#This Row],[iss]]*INDEX(Table59[k_ISS2PIP],MATCH(Table17[[#This Row],[site]],Table59[site],0))</f>
        <v>3.1736351138250078E-3</v>
      </c>
      <c r="O4">
        <f>Table17[[#This Row],[rop]]+Table17[[#This Row],[lop]]+Table17[[#This Row],[pip]]</f>
        <v>2.2254118980141117E-2</v>
      </c>
      <c r="P4">
        <f>(Table17[[#This Row],[nsrp_pred]]-Table17[[#This Row],[nsrp]])^2</f>
        <v>1.9382781995747711E-3</v>
      </c>
      <c r="Q4">
        <f>(Table17[[#This Row],[nsrp]]-INDEX(Table59[mean_nsrp],MATCH(Table17[[#This Row],[site]],Table59[site],0)))^2</f>
        <v>6.0174519326044638E-4</v>
      </c>
      <c r="AA4" t="s">
        <v>56</v>
      </c>
      <c r="AB4" t="s">
        <v>173</v>
      </c>
      <c r="AC4" t="s">
        <v>176</v>
      </c>
      <c r="AD4" t="s">
        <v>86</v>
      </c>
      <c r="AE4" t="s">
        <v>177</v>
      </c>
      <c r="AF4" t="s">
        <v>83</v>
      </c>
      <c r="AG4" t="s">
        <v>179</v>
      </c>
      <c r="AH4" t="s">
        <v>174</v>
      </c>
      <c r="AI4" t="s">
        <v>175</v>
      </c>
    </row>
    <row r="5" spans="1:36">
      <c r="A5" t="s">
        <v>15</v>
      </c>
      <c r="B5" t="s">
        <v>16</v>
      </c>
      <c r="C5">
        <v>4.9556875E-3</v>
      </c>
      <c r="D5">
        <f>Table17[[#This Row],[iss]]/Table17[[#This Row],[tss]]</f>
        <v>1</v>
      </c>
      <c r="E5">
        <v>8.108108108108107</v>
      </c>
      <c r="F5">
        <v>8.108108108108107</v>
      </c>
      <c r="G5">
        <v>0</v>
      </c>
      <c r="H5">
        <v>3.4849999999999999E-2</v>
      </c>
      <c r="I5">
        <v>7.5031249999999994E-2</v>
      </c>
      <c r="J5">
        <v>4.0181249999999995E-2</v>
      </c>
      <c r="K5">
        <v>0.46447313619325281</v>
      </c>
      <c r="L5">
        <f>Table17[[#This Row],[oss]]*INDEX(Table59[k_OSS2ROP],MATCH(Table17[[#This Row],[site]],Table59[site],FALSE))</f>
        <v>0</v>
      </c>
      <c r="M5">
        <f>Table17[[#This Row],[srp]]*INDEX(Table59[k_SRP2PIP],MATCH(Table17[[#This Row],[site]],Table59[site],FALSE))</f>
        <v>3.1317339102441173E-2</v>
      </c>
      <c r="N5">
        <f>Table17[[#This Row],[iss]]*INDEX(Table59[k_ISS2PIP],MATCH(Table17[[#This Row],[site]],Table59[site],0))</f>
        <v>1.7154784399054095E-2</v>
      </c>
      <c r="O5">
        <f>Table17[[#This Row],[rop]]+Table17[[#This Row],[lop]]+Table17[[#This Row],[pip]]</f>
        <v>4.8472123501495268E-2</v>
      </c>
      <c r="P5">
        <f>(Table17[[#This Row],[nsrp_pred]]-Table17[[#This Row],[nsrp]])^2</f>
        <v>6.8738583417796487E-5</v>
      </c>
      <c r="Q5">
        <f>(Table17[[#This Row],[nsrp]]-INDEX(Table59[mean_nsrp],MATCH(Table17[[#This Row],[site]],Table59[site],0)))^2</f>
        <v>2.4594232134132453E-6</v>
      </c>
      <c r="U5" t="s">
        <v>29</v>
      </c>
      <c r="AA5">
        <v>131</v>
      </c>
      <c r="AB5">
        <v>4</v>
      </c>
      <c r="AC5">
        <f>AA5-AB5</f>
        <v>127</v>
      </c>
      <c r="AD5">
        <v>6.4697411848947325E-2</v>
      </c>
      <c r="AE5">
        <f>SUM(Table17[mean_resid])</f>
        <v>9.6100529560651751E-2</v>
      </c>
      <c r="AF5">
        <f>1-AD5/AE5</f>
        <v>0.32677361774458313</v>
      </c>
      <c r="AG5">
        <f>1 - ((1-AF5)*(AA5-1)/(AA5-AB5-1))</f>
        <v>0.30540135164123661</v>
      </c>
      <c r="AH5">
        <v>-989.33331389926866</v>
      </c>
      <c r="AI5">
        <v>-989.0158535818083</v>
      </c>
    </row>
    <row r="6" spans="1:36">
      <c r="A6" t="s">
        <v>15</v>
      </c>
      <c r="B6" t="s">
        <v>16</v>
      </c>
      <c r="C6">
        <v>2.0053333333331813E-2</v>
      </c>
      <c r="D6">
        <f>Table17[[#This Row],[iss]]/Table17[[#This Row],[tss]]</f>
        <v>0.8333333333332702</v>
      </c>
      <c r="E6">
        <v>3.0000000000002274</v>
      </c>
      <c r="F6">
        <v>2.5</v>
      </c>
      <c r="G6">
        <v>0.50000000000022737</v>
      </c>
      <c r="H6">
        <v>3.0839999999999999E-2</v>
      </c>
      <c r="I6">
        <v>9.0999999999999998E-2</v>
      </c>
      <c r="J6">
        <v>6.0159999999999998E-2</v>
      </c>
      <c r="K6">
        <v>0.33890109890109893</v>
      </c>
      <c r="L6">
        <f>Table17[[#This Row],[oss]]*INDEX(Table59[k_OSS2ROP],MATCH(Table17[[#This Row],[site]],Table59[site],FALSE))</f>
        <v>5.0000000000022737E-4</v>
      </c>
      <c r="M6">
        <f>Table17[[#This Row],[srp]]*INDEX(Table59[k_SRP2PIP],MATCH(Table17[[#This Row],[site]],Table59[site],FALSE))</f>
        <v>2.7713823182762859E-2</v>
      </c>
      <c r="N6">
        <f>Table17[[#This Row],[iss]]*INDEX(Table59[k_ISS2PIP],MATCH(Table17[[#This Row],[site]],Table59[site],0))</f>
        <v>5.2893918563750135E-3</v>
      </c>
      <c r="O6">
        <f>Table17[[#This Row],[rop]]+Table17[[#This Row],[lop]]+Table17[[#This Row],[pip]]</f>
        <v>3.3503215039138098E-2</v>
      </c>
      <c r="P6">
        <f>(Table17[[#This Row],[nsrp_pred]]-Table17[[#This Row],[nsrp]])^2</f>
        <v>7.1058418444963319E-4</v>
      </c>
      <c r="Q6">
        <f>(Table17[[#This Row],[nsrp]]-INDEX(Table59[mean_nsrp],MATCH(Table17[[#This Row],[site]],Table59[site],0)))^2</f>
        <v>3.3894633238586998E-4</v>
      </c>
      <c r="U6" t="s">
        <v>30</v>
      </c>
      <c r="AA6">
        <v>131</v>
      </c>
      <c r="AB6">
        <f>AB5+6</f>
        <v>10</v>
      </c>
      <c r="AC6">
        <f t="shared" ref="AC6:AC7" si="0">AA6-AB6</f>
        <v>121</v>
      </c>
      <c r="AD6">
        <v>5.7798040251423127E-2</v>
      </c>
      <c r="AE6">
        <f>SUM(Table17[mean_resid])</f>
        <v>9.6100529560651751E-2</v>
      </c>
      <c r="AF6">
        <f t="shared" ref="AF6:AF7" si="1">1-AD6/AE6</f>
        <v>0.39856689119548339</v>
      </c>
      <c r="AG6">
        <f t="shared" ref="AG6:AG7" si="2">1 - ((1-AF6)*(AA6-1)/(AA6-AB6-1))</f>
        <v>0.34844746546177374</v>
      </c>
      <c r="AH6">
        <v>-992.10570299214805</v>
      </c>
      <c r="AI6">
        <v>-990.27236965881468</v>
      </c>
      <c r="AJ6">
        <v>0.53352036394340407</v>
      </c>
    </row>
    <row r="7" spans="1:36">
      <c r="A7" t="s">
        <v>15</v>
      </c>
      <c r="B7" t="s">
        <v>16</v>
      </c>
      <c r="C7">
        <v>2.2234499999999997E-2</v>
      </c>
      <c r="D7">
        <f>Table17[[#This Row],[iss]]/Table17[[#This Row],[tss]]</f>
        <v>0.2</v>
      </c>
      <c r="E7">
        <v>2.5</v>
      </c>
      <c r="F7">
        <v>0.5</v>
      </c>
      <c r="G7">
        <v>2</v>
      </c>
      <c r="H7">
        <v>3.7819999999999999E-2</v>
      </c>
      <c r="I7">
        <v>9.3406249999999996E-2</v>
      </c>
      <c r="J7">
        <v>5.5586249999999997E-2</v>
      </c>
      <c r="K7">
        <v>0.40489795918367349</v>
      </c>
      <c r="L7">
        <f>Table17[[#This Row],[oss]]*INDEX(Table59[k_OSS2ROP],MATCH(Table17[[#This Row],[site]],Table59[site],FALSE))</f>
        <v>2E-3</v>
      </c>
      <c r="M7">
        <f>Table17[[#This Row],[srp]]*INDEX(Table59[k_SRP2PIP],MATCH(Table17[[#This Row],[site]],Table59[site],FALSE))</f>
        <v>3.398627732724032E-2</v>
      </c>
      <c r="N7">
        <f>Table17[[#This Row],[iss]]*INDEX(Table59[k_ISS2PIP],MATCH(Table17[[#This Row],[site]],Table59[site],0))</f>
        <v>1.0578783712750027E-3</v>
      </c>
      <c r="O7">
        <f>Table17[[#This Row],[rop]]+Table17[[#This Row],[lop]]+Table17[[#This Row],[pip]]</f>
        <v>3.7044155698515324E-2</v>
      </c>
      <c r="P7">
        <f>(Table17[[#This Row],[nsrp_pred]]-Table17[[#This Row],[nsrp]])^2</f>
        <v>3.4380926108515039E-4</v>
      </c>
      <c r="Q7">
        <f>(Table17[[#This Row],[nsrp]]-INDEX(Table59[mean_nsrp],MATCH(Table17[[#This Row],[site]],Table59[site],0)))^2</f>
        <v>1.9145551688544641E-4</v>
      </c>
      <c r="U7" t="s">
        <v>31</v>
      </c>
      <c r="AA7">
        <v>131</v>
      </c>
      <c r="AB7">
        <f>AB5+9</f>
        <v>13</v>
      </c>
      <c r="AC7">
        <f t="shared" si="0"/>
        <v>118</v>
      </c>
      <c r="AD7">
        <v>4.9781863048481201E-2</v>
      </c>
      <c r="AE7">
        <f>SUM(Table17[mean_resid])</f>
        <v>9.6100529560651751E-2</v>
      </c>
      <c r="AF7">
        <f t="shared" si="1"/>
        <v>0.48198138682407088</v>
      </c>
      <c r="AG7">
        <f t="shared" si="2"/>
        <v>0.42442376313785657</v>
      </c>
      <c r="AH7">
        <v>-1005.6645463195246</v>
      </c>
      <c r="AI7">
        <v>-1002.5534352084135</v>
      </c>
      <c r="AJ7">
        <v>2.1537758350812972E-3</v>
      </c>
    </row>
    <row r="8" spans="1:36">
      <c r="A8" t="s">
        <v>15</v>
      </c>
      <c r="B8" t="s">
        <v>16</v>
      </c>
      <c r="C8">
        <v>6.1292708333333321E-3</v>
      </c>
      <c r="D8">
        <f>Table17[[#This Row],[iss]]/Table17[[#This Row],[tss]]</f>
        <v>0.83333333333333337</v>
      </c>
      <c r="E8">
        <v>6</v>
      </c>
      <c r="F8">
        <v>5</v>
      </c>
      <c r="G8">
        <v>1</v>
      </c>
      <c r="H8">
        <v>1.6490000000000001E-2</v>
      </c>
      <c r="I8">
        <v>5.3265624999999997E-2</v>
      </c>
      <c r="J8">
        <v>3.6775624999999992E-2</v>
      </c>
      <c r="K8">
        <v>0.30958052214725729</v>
      </c>
      <c r="L8">
        <f>Table17[[#This Row],[oss]]*INDEX(Table59[k_OSS2ROP],MATCH(Table17[[#This Row],[site]],Table59[site],FALSE))</f>
        <v>1E-3</v>
      </c>
      <c r="M8">
        <f>Table17[[#This Row],[srp]]*INDEX(Table59[k_SRP2PIP],MATCH(Table17[[#This Row],[site]],Table59[site],FALSE))</f>
        <v>1.4818448258228263E-2</v>
      </c>
      <c r="N8">
        <f>Table17[[#This Row],[iss]]*INDEX(Table59[k_ISS2PIP],MATCH(Table17[[#This Row],[site]],Table59[site],0))</f>
        <v>1.0578783712750027E-2</v>
      </c>
      <c r="O8">
        <f>Table17[[#This Row],[rop]]+Table17[[#This Row],[lop]]+Table17[[#This Row],[pip]]</f>
        <v>2.6397231970978291E-2</v>
      </c>
      <c r="P8">
        <f>(Table17[[#This Row],[nsrp_pred]]-Table17[[#This Row],[nsrp]])^2</f>
        <v>1.0771104186484625E-4</v>
      </c>
      <c r="Q8">
        <f>(Table17[[#This Row],[nsrp]]-INDEX(Table59[mean_nsrp],MATCH(Table17[[#This Row],[site]],Table59[site],0)))^2</f>
        <v>2.4739480568339292E-5</v>
      </c>
    </row>
    <row r="9" spans="1:36" ht="15.6">
      <c r="A9" t="s">
        <v>15</v>
      </c>
      <c r="B9" t="s">
        <v>16</v>
      </c>
      <c r="C9">
        <v>9.7771428571428575E-3</v>
      </c>
      <c r="D9">
        <f>Table17[[#This Row],[iss]]/Table17[[#This Row],[tss]]</f>
        <v>1</v>
      </c>
      <c r="E9">
        <v>3.5</v>
      </c>
      <c r="F9">
        <v>3.5</v>
      </c>
      <c r="G9">
        <v>0</v>
      </c>
      <c r="H9">
        <v>1.2880000000000001E-2</v>
      </c>
      <c r="I9">
        <v>4.7100000000000003E-2</v>
      </c>
      <c r="J9">
        <v>3.422E-2</v>
      </c>
      <c r="K9" s="3">
        <v>0.27346072186836518</v>
      </c>
      <c r="L9">
        <f>Table17[[#This Row],[oss]]*INDEX(Table59[k_OSS2ROP],MATCH(Table17[[#This Row],[site]],Table59[site],FALSE))</f>
        <v>0</v>
      </c>
      <c r="M9">
        <f>Table17[[#This Row],[srp]]*INDEX(Table59[k_SRP2PIP],MATCH(Table17[[#This Row],[site]],Table59[site],FALSE))</f>
        <v>1.1574385298118861E-2</v>
      </c>
      <c r="N9">
        <f>Table17[[#This Row],[iss]]*INDEX(Table59[k_ISS2PIP],MATCH(Table17[[#This Row],[site]],Table59[site],0))</f>
        <v>7.4051485989250184E-3</v>
      </c>
      <c r="O9">
        <f>Table17[[#This Row],[rop]]+Table17[[#This Row],[lop]]+Table17[[#This Row],[pip]]</f>
        <v>1.897953389704388E-2</v>
      </c>
      <c r="P9">
        <f>(Table17[[#This Row],[nsrp_pred]]-Table17[[#This Row],[nsrp]])^2</f>
        <v>2.3227180703535452E-4</v>
      </c>
      <c r="Q9">
        <f>(Table17[[#This Row],[nsrp]]-INDEX(Table59[mean_nsrp],MATCH(Table17[[#This Row],[site]],Table59[site],0)))^2</f>
        <v>5.6693442992650755E-5</v>
      </c>
      <c r="AF9" s="14" t="s">
        <v>178</v>
      </c>
    </row>
    <row r="10" spans="1:36">
      <c r="A10" t="s">
        <v>15</v>
      </c>
      <c r="B10" t="s">
        <v>16</v>
      </c>
      <c r="C10">
        <v>2.7289999999999997E-3</v>
      </c>
      <c r="D10">
        <f>Table17[[#This Row],[iss]]/Table17[[#This Row],[tss]]</f>
        <v>1</v>
      </c>
      <c r="E10">
        <v>20</v>
      </c>
      <c r="F10">
        <v>20</v>
      </c>
      <c r="G10">
        <v>0</v>
      </c>
      <c r="H10">
        <v>4.9419999999999999E-2</v>
      </c>
      <c r="I10">
        <v>0.104</v>
      </c>
      <c r="J10">
        <v>5.4579999999999997E-2</v>
      </c>
      <c r="K10">
        <v>0.47519230769230769</v>
      </c>
      <c r="L10">
        <f>Table17[[#This Row],[oss]]*INDEX(Table59[k_OSS2ROP],MATCH(Table17[[#This Row],[site]],Table59[site],FALSE))</f>
        <v>0</v>
      </c>
      <c r="M10">
        <f>Table17[[#This Row],[srp]]*INDEX(Table59[k_SRP2PIP],MATCH(Table17[[#This Row],[site]],Table59[site],FALSE))</f>
        <v>4.4410413154738669E-2</v>
      </c>
      <c r="N10">
        <f>Table17[[#This Row],[iss]]*INDEX(Table59[k_ISS2PIP],MATCH(Table17[[#This Row],[site]],Table59[site],0))</f>
        <v>4.2315134851000108E-2</v>
      </c>
      <c r="O10">
        <f>Table17[[#This Row],[rop]]+Table17[[#This Row],[lop]]+Table17[[#This Row],[pip]]</f>
        <v>8.6725548005738784E-2</v>
      </c>
      <c r="P10">
        <f>(Table17[[#This Row],[nsrp_pred]]-Table17[[#This Row],[nsrp]])^2</f>
        <v>1.0333362565892569E-3</v>
      </c>
      <c r="Q10">
        <f>(Table17[[#This Row],[nsrp]]-INDEX(Table59[mean_nsrp],MATCH(Table17[[#This Row],[site]],Table59[site],0)))^2</f>
        <v>1.6462160629434475E-4</v>
      </c>
    </row>
    <row r="11" spans="1:36">
      <c r="A11" t="s">
        <v>15</v>
      </c>
      <c r="B11" t="s">
        <v>16</v>
      </c>
      <c r="C11">
        <v>5.713333333333335E-3</v>
      </c>
      <c r="D11">
        <f>Table17[[#This Row],[iss]]/Table17[[#This Row],[tss]]</f>
        <v>1</v>
      </c>
      <c r="E11">
        <v>3</v>
      </c>
      <c r="F11">
        <v>3</v>
      </c>
      <c r="G11">
        <v>0</v>
      </c>
      <c r="H11">
        <v>2.0559999999999998E-2</v>
      </c>
      <c r="I11">
        <v>3.7700000000000004E-2</v>
      </c>
      <c r="J11">
        <v>1.7140000000000006E-2</v>
      </c>
      <c r="K11">
        <v>0.54535809018567627</v>
      </c>
      <c r="L11">
        <f>Table17[[#This Row],[oss]]*INDEX(Table59[k_OSS2ROP],MATCH(Table17[[#This Row],[site]],Table59[site],FALSE))</f>
        <v>0</v>
      </c>
      <c r="M11">
        <f>Table17[[#This Row],[srp]]*INDEX(Table59[k_SRP2PIP],MATCH(Table17[[#This Row],[site]],Table59[site],FALSE))</f>
        <v>1.8475882121841907E-2</v>
      </c>
      <c r="N11">
        <f>Table17[[#This Row],[iss]]*INDEX(Table59[k_ISS2PIP],MATCH(Table17[[#This Row],[site]],Table59[site],0))</f>
        <v>6.3472702276500155E-3</v>
      </c>
      <c r="O11">
        <f>Table17[[#This Row],[rop]]+Table17[[#This Row],[lop]]+Table17[[#This Row],[pip]]</f>
        <v>2.4823152349491923E-2</v>
      </c>
      <c r="P11">
        <f>(Table17[[#This Row],[nsrp_pred]]-Table17[[#This Row],[nsrp]])^2</f>
        <v>5.9030830025503159E-5</v>
      </c>
      <c r="Q11">
        <f>(Table17[[#This Row],[nsrp]]-INDEX(Table59[mean_nsrp],MATCH(Table17[[#This Row],[site]],Table59[site],0)))^2</f>
        <v>6.0562772800282065E-4</v>
      </c>
    </row>
    <row r="12" spans="1:36">
      <c r="A12" t="s">
        <v>15</v>
      </c>
      <c r="B12" t="s">
        <v>16</v>
      </c>
      <c r="C12">
        <v>4.3584999999999995E-3</v>
      </c>
      <c r="D12">
        <f>Table17[[#This Row],[iss]]/Table17[[#This Row],[tss]]</f>
        <v>0.66666666666666674</v>
      </c>
      <c r="E12">
        <v>10</v>
      </c>
      <c r="F12">
        <v>6.666666666666667</v>
      </c>
      <c r="G12">
        <v>3.333333333333333</v>
      </c>
      <c r="H12">
        <v>1.6514999999999998E-2</v>
      </c>
      <c r="I12">
        <v>6.0100000000000001E-2</v>
      </c>
      <c r="J12">
        <v>4.3584999999999999E-2</v>
      </c>
      <c r="K12">
        <v>0.27479201331114805</v>
      </c>
      <c r="L12">
        <f>Table17[[#This Row],[oss]]*INDEX(Table59[k_OSS2ROP],MATCH(Table17[[#This Row],[site]],Table59[site],FALSE))</f>
        <v>3.3333333333333331E-3</v>
      </c>
      <c r="M12">
        <f>Table17[[#This Row],[srp]]*INDEX(Table59[k_SRP2PIP],MATCH(Table17[[#This Row],[site]],Table59[site],FALSE))</f>
        <v>1.4840914068201316E-2</v>
      </c>
      <c r="N12">
        <f>Table17[[#This Row],[iss]]*INDEX(Table59[k_ISS2PIP],MATCH(Table17[[#This Row],[site]],Table59[site],0))</f>
        <v>1.410504495033337E-2</v>
      </c>
      <c r="O12">
        <f>Table17[[#This Row],[rop]]+Table17[[#This Row],[lop]]+Table17[[#This Row],[pip]]</f>
        <v>3.2279292351868022E-2</v>
      </c>
      <c r="P12">
        <f>(Table17[[#This Row],[nsrp_pred]]-Table17[[#This Row],[nsrp]])^2</f>
        <v>1.2781902542502988E-4</v>
      </c>
      <c r="Q12">
        <f>(Table17[[#This Row],[nsrp]]-INDEX(Table59[mean_nsrp],MATCH(Table17[[#This Row],[site]],Table59[site],0)))^2</f>
        <v>3.3690425172266438E-6</v>
      </c>
      <c r="T12" t="s">
        <v>1</v>
      </c>
      <c r="U12" t="s">
        <v>17</v>
      </c>
      <c r="V12" t="s">
        <v>19</v>
      </c>
      <c r="W12" t="s">
        <v>20</v>
      </c>
      <c r="X12" t="s">
        <v>14</v>
      </c>
    </row>
    <row r="13" spans="1:36">
      <c r="A13" t="s">
        <v>15</v>
      </c>
      <c r="B13" t="s">
        <v>16</v>
      </c>
      <c r="C13">
        <v>5.8340999999999992E-3</v>
      </c>
      <c r="D13">
        <f>Table17[[#This Row],[iss]]/Table17[[#This Row],[tss]]</f>
        <v>0.625</v>
      </c>
      <c r="E13">
        <v>13.333333333333334</v>
      </c>
      <c r="F13">
        <v>8.3333333333333339</v>
      </c>
      <c r="G13">
        <v>5</v>
      </c>
      <c r="H13">
        <v>1.4012E-2</v>
      </c>
      <c r="I13">
        <v>9.1799999999999993E-2</v>
      </c>
      <c r="J13">
        <v>7.7787999999999996E-2</v>
      </c>
      <c r="K13">
        <v>0.15263616557734205</v>
      </c>
      <c r="L13">
        <f>Table17[[#This Row],[oss]]*INDEX(Table59[k_OSS2ROP],MATCH(Table17[[#This Row],[site]],Table59[site],FALSE))</f>
        <v>5.0000000000000001E-3</v>
      </c>
      <c r="M13">
        <f>Table17[[#This Row],[srp]]*INDEX(Table59[k_SRP2PIP],MATCH(Table17[[#This Row],[site]],Table59[site],FALSE))</f>
        <v>1.2591637173698872E-2</v>
      </c>
      <c r="N13">
        <f>Table17[[#This Row],[iss]]*INDEX(Table59[k_ISS2PIP],MATCH(Table17[[#This Row],[site]],Table59[site],0))</f>
        <v>1.7631306187916713E-2</v>
      </c>
      <c r="O13">
        <f>Table17[[#This Row],[rop]]+Table17[[#This Row],[lop]]+Table17[[#This Row],[pip]]</f>
        <v>3.5222943361615584E-2</v>
      </c>
      <c r="P13">
        <f>(Table17[[#This Row],[nsrp_pred]]-Table17[[#This Row],[nsrp]])^2</f>
        <v>1.8117840466288729E-3</v>
      </c>
      <c r="Q13">
        <f>(Table17[[#This Row],[nsrp]]-INDEX(Table59[mean_nsrp],MATCH(Table17[[#This Row],[site]],Table59[site],0)))^2</f>
        <v>1.2987731340814623E-3</v>
      </c>
      <c r="T13" t="s">
        <v>16</v>
      </c>
      <c r="U13">
        <v>5.7925399353181044E-3</v>
      </c>
      <c r="V13">
        <v>0.70306778562903138</v>
      </c>
      <c r="W13">
        <v>1.9932417286596745E-3</v>
      </c>
      <c r="X13">
        <f>SUMIF(Table17[site.plot],Table38[[#This Row],[site.plot]],Table17[sqresid])</f>
        <v>1.5403220454724201E-2</v>
      </c>
    </row>
    <row r="14" spans="1:36">
      <c r="A14" t="s">
        <v>15</v>
      </c>
      <c r="B14" t="s">
        <v>16</v>
      </c>
      <c r="C14">
        <v>7.1549833333333333E-3</v>
      </c>
      <c r="D14">
        <f>Table17[[#This Row],[iss]]/Table17[[#This Row],[tss]]</f>
        <v>0.77777777777777768</v>
      </c>
      <c r="E14">
        <v>4.6153846153846159</v>
      </c>
      <c r="F14">
        <v>3.5897435897435899</v>
      </c>
      <c r="G14">
        <v>1.025641025641026</v>
      </c>
      <c r="H14">
        <v>2.0677000000000001E-2</v>
      </c>
      <c r="I14">
        <v>5.3700000000000005E-2</v>
      </c>
      <c r="J14">
        <v>3.3023000000000004E-2</v>
      </c>
      <c r="K14">
        <v>0.38504655493482309</v>
      </c>
      <c r="L14">
        <f>Table17[[#This Row],[oss]]*INDEX(Table59[k_OSS2ROP],MATCH(Table17[[#This Row],[site]],Table59[site],FALSE))</f>
        <v>1.0256410256410261E-3</v>
      </c>
      <c r="M14">
        <f>Table17[[#This Row],[srp]]*INDEX(Table59[k_SRP2PIP],MATCH(Table17[[#This Row],[site]],Table59[site],FALSE))</f>
        <v>1.8581022112515815E-2</v>
      </c>
      <c r="N14">
        <f>Table17[[#This Row],[iss]]*INDEX(Table59[k_ISS2PIP],MATCH(Table17[[#This Row],[site]],Table59[site],0))</f>
        <v>7.5950242040256606E-3</v>
      </c>
      <c r="O14">
        <f>Table17[[#This Row],[rop]]+Table17[[#This Row],[lop]]+Table17[[#This Row],[pip]]</f>
        <v>2.72016873421825E-2</v>
      </c>
      <c r="P14">
        <f>(Table17[[#This Row],[nsrp_pred]]-Table17[[#This Row],[nsrp]])^2</f>
        <v>3.388768106006629E-5</v>
      </c>
      <c r="Q14">
        <f>(Table17[[#This Row],[nsrp]]-INDEX(Table59[mean_nsrp],MATCH(Table17[[#This Row],[site]],Table59[site],0)))^2</f>
        <v>7.6151886556888039E-5</v>
      </c>
      <c r="T14" t="s">
        <v>21</v>
      </c>
      <c r="U14">
        <v>5.7918456171783964E-3</v>
      </c>
      <c r="V14">
        <v>0.72282630179956542</v>
      </c>
      <c r="W14">
        <v>2.3646169328979602E-3</v>
      </c>
      <c r="X14">
        <f>SUMIF(Table17[site.plot],Table38[[#This Row],[site.plot]],Table17[sqresid])</f>
        <v>8.0437029428334968E-3</v>
      </c>
    </row>
    <row r="15" spans="1:36">
      <c r="A15" t="s">
        <v>15</v>
      </c>
      <c r="B15" t="s">
        <v>16</v>
      </c>
      <c r="C15">
        <v>8.4908888888888881E-3</v>
      </c>
      <c r="D15">
        <f>Table17[[#This Row],[iss]]/Table17[[#This Row],[tss]]</f>
        <v>0.77777777777777779</v>
      </c>
      <c r="E15">
        <v>4.5</v>
      </c>
      <c r="F15">
        <v>3.5</v>
      </c>
      <c r="G15">
        <v>1</v>
      </c>
      <c r="H15">
        <v>1.6291E-2</v>
      </c>
      <c r="I15">
        <v>5.45E-2</v>
      </c>
      <c r="J15">
        <v>3.8209E-2</v>
      </c>
      <c r="K15">
        <v>0.29891743119266057</v>
      </c>
      <c r="L15">
        <f>Table17[[#This Row],[oss]]*INDEX(Table59[k_OSS2ROP],MATCH(Table17[[#This Row],[site]],Table59[site],FALSE))</f>
        <v>1E-3</v>
      </c>
      <c r="M15">
        <f>Table17[[#This Row],[srp]]*INDEX(Table59[k_SRP2PIP],MATCH(Table17[[#This Row],[site]],Table59[site],FALSE))</f>
        <v>1.4639620410842729E-2</v>
      </c>
      <c r="N15">
        <f>Table17[[#This Row],[iss]]*INDEX(Table59[k_ISS2PIP],MATCH(Table17[[#This Row],[site]],Table59[site],0))</f>
        <v>7.4051485989250184E-3</v>
      </c>
      <c r="O15">
        <f>Table17[[#This Row],[rop]]+Table17[[#This Row],[lop]]+Table17[[#This Row],[pip]]</f>
        <v>2.3044769009767745E-2</v>
      </c>
      <c r="P15">
        <f>(Table17[[#This Row],[nsrp_pred]]-Table17[[#This Row],[nsrp]])^2</f>
        <v>2.2995390152512032E-4</v>
      </c>
      <c r="Q15">
        <f>(Table17[[#This Row],[nsrp]]-INDEX(Table59[mean_nsrp],MATCH(Table17[[#This Row],[site]],Table59[site],0)))^2</f>
        <v>1.2535174454853988E-5</v>
      </c>
      <c r="T15" t="s">
        <v>22</v>
      </c>
      <c r="U15">
        <v>8.2715894564181023E-4</v>
      </c>
      <c r="V15">
        <v>5.8825843415643612E-2</v>
      </c>
      <c r="W15">
        <v>1.0729010235627431E-3</v>
      </c>
      <c r="X15">
        <f>SUMIF(Table17[site.plot],Table38[[#This Row],[site.plot]],Table17[sqresid])</f>
        <v>1.0647853003392958E-2</v>
      </c>
    </row>
    <row r="16" spans="1:36">
      <c r="A16" t="s">
        <v>15</v>
      </c>
      <c r="B16" t="s">
        <v>16</v>
      </c>
      <c r="C16">
        <v>9.2746875000000056E-4</v>
      </c>
      <c r="D16">
        <f>Table17[[#This Row],[iss]]/Table17[[#This Row],[tss]]</f>
        <v>0.5</v>
      </c>
      <c r="E16">
        <v>4.1025641025641031</v>
      </c>
      <c r="F16">
        <v>2.0512820512820515</v>
      </c>
      <c r="G16">
        <v>2.0512820512820515</v>
      </c>
      <c r="H16">
        <v>3.2594999999999999E-2</v>
      </c>
      <c r="I16">
        <v>3.6400000000000002E-2</v>
      </c>
      <c r="J16">
        <v>3.8050000000000028E-3</v>
      </c>
      <c r="K16">
        <v>0.89546703296703289</v>
      </c>
      <c r="L16">
        <f>Table17[[#This Row],[oss]]*INDEX(Table59[k_OSS2ROP],MATCH(Table17[[#This Row],[site]],Table59[site],FALSE))</f>
        <v>2.0512820512820517E-3</v>
      </c>
      <c r="M16">
        <f>Table17[[#This Row],[srp]]*INDEX(Table59[k_SRP2PIP],MATCH(Table17[[#This Row],[site]],Table59[site],FALSE))</f>
        <v>2.9290923042871446E-2</v>
      </c>
      <c r="N16">
        <f>Table17[[#This Row],[iss]]*INDEX(Table59[k_ISS2PIP],MATCH(Table17[[#This Row],[site]],Table59[site],0))</f>
        <v>4.3400138308718065E-3</v>
      </c>
      <c r="O16">
        <f>Table17[[#This Row],[rop]]+Table17[[#This Row],[lop]]+Table17[[#This Row],[pip]]</f>
        <v>3.5682218925025301E-2</v>
      </c>
      <c r="P16">
        <f>(Table17[[#This Row],[nsrp_pred]]-Table17[[#This Row],[nsrp]])^2</f>
        <v>1.0161570863939911E-3</v>
      </c>
      <c r="Q16">
        <f>(Table17[[#This Row],[nsrp]]-INDEX(Table59[mean_nsrp],MATCH(Table17[[#This Row],[site]],Table59[site],0)))^2</f>
        <v>1.4397854468324823E-3</v>
      </c>
      <c r="T16" t="s">
        <v>23</v>
      </c>
      <c r="U16">
        <v>7.2203893199727324E-4</v>
      </c>
      <c r="V16">
        <v>0.90473514968395097</v>
      </c>
      <c r="W16">
        <v>1.5816682018219236E-3</v>
      </c>
      <c r="X16">
        <f>SUMIF(Table17[site.plot],Table38[[#This Row],[site.plot]],Table17[sqresid])</f>
        <v>8.1760026520958182E-3</v>
      </c>
    </row>
    <row r="17" spans="1:42">
      <c r="A17" t="s">
        <v>15</v>
      </c>
      <c r="B17" t="s">
        <v>16</v>
      </c>
      <c r="C17">
        <v>3.1394080000000006E-3</v>
      </c>
      <c r="D17">
        <f>Table17[[#This Row],[iss]]/Table17[[#This Row],[tss]]</f>
        <v>0.8</v>
      </c>
      <c r="E17">
        <v>10.869565217391305</v>
      </c>
      <c r="F17">
        <v>8.6956521739130448</v>
      </c>
      <c r="G17">
        <v>2.1739130434782599</v>
      </c>
      <c r="H17">
        <v>4.3776000000000002E-2</v>
      </c>
      <c r="I17">
        <v>7.7900000000000011E-2</v>
      </c>
      <c r="J17">
        <v>3.4124000000000008E-2</v>
      </c>
      <c r="K17">
        <v>0.56195121951219507</v>
      </c>
      <c r="L17">
        <f>Table17[[#This Row],[oss]]*INDEX(Table59[k_OSS2ROP],MATCH(Table17[[#This Row],[site]],Table59[site],FALSE))</f>
        <v>2.17391304347826E-3</v>
      </c>
      <c r="M17">
        <f>Table17[[#This Row],[srp]]*INDEX(Table59[k_SRP2PIP],MATCH(Table17[[#This Row],[site]],Table59[site],FALSE))</f>
        <v>3.9338531895221372E-2</v>
      </c>
      <c r="N17">
        <f>Table17[[#This Row],[iss]]*INDEX(Table59[k_ISS2PIP],MATCH(Table17[[#This Row],[site]],Table59[site],0))</f>
        <v>1.8397884717826135E-2</v>
      </c>
      <c r="O17">
        <f>Table17[[#This Row],[rop]]+Table17[[#This Row],[lop]]+Table17[[#This Row],[pip]]</f>
        <v>5.991032965652577E-2</v>
      </c>
      <c r="P17">
        <f>(Table17[[#This Row],[nsrp_pred]]-Table17[[#This Row],[nsrp]])^2</f>
        <v>6.6493479715502E-4</v>
      </c>
      <c r="Q17">
        <f>(Table17[[#This Row],[nsrp]]-INDEX(Table59[mean_nsrp],MATCH(Table17[[#This Row],[site]],Table59[site],0)))^2</f>
        <v>5.8148323920108265E-5</v>
      </c>
      <c r="T17" t="s">
        <v>24</v>
      </c>
      <c r="U17">
        <v>9.6105408230054824E-4</v>
      </c>
      <c r="V17">
        <v>1.5304231652833185</v>
      </c>
      <c r="W17">
        <v>1.2769663279931904E-3</v>
      </c>
      <c r="X17">
        <f>SUMIF(Table17[site.plot],Table38[[#This Row],[site.plot]],Table17[sqresid])</f>
        <v>9.1871629021819876E-3</v>
      </c>
    </row>
    <row r="18" spans="1:42">
      <c r="A18" t="s">
        <v>15</v>
      </c>
      <c r="B18" t="s">
        <v>16</v>
      </c>
      <c r="C18">
        <v>5.5486800000000011E-3</v>
      </c>
      <c r="D18">
        <f>Table17[[#This Row],[iss]]/Table17[[#This Row],[tss]]</f>
        <v>0.8</v>
      </c>
      <c r="E18">
        <v>5.5555555555555554</v>
      </c>
      <c r="F18">
        <v>4.4444444444444446</v>
      </c>
      <c r="G18">
        <v>1.1111111111111107</v>
      </c>
      <c r="H18">
        <v>4.8874000000000001E-2</v>
      </c>
      <c r="I18">
        <v>7.9700000000000007E-2</v>
      </c>
      <c r="J18">
        <v>3.0826000000000006E-2</v>
      </c>
      <c r="K18">
        <v>0.61322459222082804</v>
      </c>
      <c r="L18">
        <f>Table17[[#This Row],[oss]]*INDEX(Table59[k_OSS2ROP],MATCH(Table17[[#This Row],[site]],Table59[site],FALSE))</f>
        <v>1.1111111111111107E-3</v>
      </c>
      <c r="M18">
        <f>Table17[[#This Row],[srp]]*INDEX(Table59[k_SRP2PIP],MATCH(Table17[[#This Row],[site]],Table59[site],FALSE))</f>
        <v>4.3919759864927112E-2</v>
      </c>
      <c r="N18">
        <f>Table17[[#This Row],[iss]]*INDEX(Table59[k_ISS2PIP],MATCH(Table17[[#This Row],[site]],Table59[site],0))</f>
        <v>9.403363300222246E-3</v>
      </c>
      <c r="O18">
        <f>Table17[[#This Row],[rop]]+Table17[[#This Row],[lop]]+Table17[[#This Row],[pip]]</f>
        <v>5.4434234276260471E-2</v>
      </c>
      <c r="P18">
        <f>(Table17[[#This Row],[nsrp_pred]]-Table17[[#This Row],[nsrp]])^2</f>
        <v>5.5734872564279947E-4</v>
      </c>
      <c r="Q18">
        <f>(Table17[[#This Row],[nsrp]]-INDEX(Table59[mean_nsrp],MATCH(Table17[[#This Row],[site]],Table59[site],0)))^2</f>
        <v>1.1932295778214229E-4</v>
      </c>
      <c r="T18" t="s">
        <v>25</v>
      </c>
      <c r="U18">
        <v>1</v>
      </c>
      <c r="V18">
        <v>8.8365487330849452E-4</v>
      </c>
      <c r="W18">
        <v>1.9370968098241187E-3</v>
      </c>
      <c r="X18">
        <f>SUMIF(Table17[site.plot],Table38[[#This Row],[site.plot]],Table17[sqresid])</f>
        <v>5.6184609923555324E-3</v>
      </c>
    </row>
    <row r="19" spans="1:42">
      <c r="A19" t="s">
        <v>15</v>
      </c>
      <c r="B19" t="s">
        <v>16</v>
      </c>
      <c r="C19">
        <v>1.6065899999999998E-2</v>
      </c>
      <c r="D19">
        <f>Table17[[#This Row],[iss]]/Table17[[#This Row],[tss]]</f>
        <v>1</v>
      </c>
      <c r="E19">
        <v>1.1111111111111112</v>
      </c>
      <c r="F19">
        <v>1.1111111111111112</v>
      </c>
      <c r="G19">
        <v>0</v>
      </c>
      <c r="H19">
        <v>3.2349000000000003E-2</v>
      </c>
      <c r="I19">
        <v>5.0200000000000002E-2</v>
      </c>
      <c r="J19">
        <v>1.7850999999999999E-2</v>
      </c>
      <c r="K19">
        <v>0.6444023904382471</v>
      </c>
      <c r="L19">
        <f>Table17[[#This Row],[oss]]*INDEX(Table59[k_OSS2ROP],MATCH(Table17[[#This Row],[site]],Table59[site],FALSE))</f>
        <v>0</v>
      </c>
      <c r="M19">
        <f>Table17[[#This Row],[srp]]*INDEX(Table59[k_SRP2PIP],MATCH(Table17[[#This Row],[site]],Table59[site],FALSE))</f>
        <v>2.9069859472736572E-2</v>
      </c>
      <c r="N19">
        <f>Table17[[#This Row],[iss]]*INDEX(Table59[k_ISS2PIP],MATCH(Table17[[#This Row],[site]],Table59[site],0))</f>
        <v>2.3508408250555615E-3</v>
      </c>
      <c r="O19">
        <f>Table17[[#This Row],[rop]]+Table17[[#This Row],[lop]]+Table17[[#This Row],[pip]]</f>
        <v>3.1420700297792134E-2</v>
      </c>
      <c r="P19">
        <f>(Table17[[#This Row],[nsrp_pred]]-Table17[[#This Row],[nsrp]])^2</f>
        <v>1.8413676617189996E-4</v>
      </c>
      <c r="Q19">
        <f>(Table17[[#This Row],[nsrp]]-INDEX(Table59[mean_nsrp],MATCH(Table17[[#This Row],[site]],Table59[site],0)))^2</f>
        <v>5.7113853313383797E-4</v>
      </c>
    </row>
    <row r="20" spans="1:42">
      <c r="A20" t="s">
        <v>15</v>
      </c>
      <c r="B20" t="s">
        <v>16</v>
      </c>
      <c r="C20">
        <v>7.2359259259259182E-3</v>
      </c>
      <c r="D20">
        <f>Table17[[#This Row],[iss]]/Table17[[#This Row],[tss]]</f>
        <v>0.18518518518518498</v>
      </c>
      <c r="E20">
        <v>5.4000000000000057</v>
      </c>
      <c r="F20">
        <v>1</v>
      </c>
      <c r="G20">
        <v>4.4000000000000057</v>
      </c>
      <c r="H20">
        <v>4.0826000000000001E-2</v>
      </c>
      <c r="I20">
        <v>7.9899999999999999E-2</v>
      </c>
      <c r="J20">
        <v>3.9073999999999998E-2</v>
      </c>
      <c r="K20">
        <v>0.51096370463078855</v>
      </c>
      <c r="L20">
        <f>Table17[[#This Row],[oss]]*INDEX(Table59[k_OSS2ROP],MATCH(Table17[[#This Row],[site]],Table59[site],FALSE))</f>
        <v>4.4000000000000055E-3</v>
      </c>
      <c r="M20">
        <f>Table17[[#This Row],[srp]]*INDEX(Table59[k_SRP2PIP],MATCH(Table17[[#This Row],[site]],Table59[site],FALSE))</f>
        <v>3.6687566318400665E-2</v>
      </c>
      <c r="N20">
        <f>Table17[[#This Row],[iss]]*INDEX(Table59[k_ISS2PIP],MATCH(Table17[[#This Row],[site]],Table59[site],0))</f>
        <v>2.1157567425500053E-3</v>
      </c>
      <c r="O20">
        <f>Table17[[#This Row],[rop]]+Table17[[#This Row],[lop]]+Table17[[#This Row],[pip]]</f>
        <v>4.3203323060950677E-2</v>
      </c>
      <c r="P20">
        <f>(Table17[[#This Row],[nsrp_pred]]-Table17[[#This Row],[nsrp]])^2</f>
        <v>1.7051308941699087E-5</v>
      </c>
      <c r="Q20">
        <f>(Table17[[#This Row],[nsrp]]-INDEX(Table59[mean_nsrp],MATCH(Table17[[#This Row],[site]],Table59[site],0)))^2</f>
        <v>7.1583260980743036E-6</v>
      </c>
    </row>
    <row r="21" spans="1:42">
      <c r="A21" t="s">
        <v>15</v>
      </c>
      <c r="B21" t="s">
        <v>16</v>
      </c>
      <c r="C21">
        <v>1.5758004347826107E-2</v>
      </c>
      <c r="D21">
        <f>Table17[[#This Row],[iss]]/Table17[[#This Row],[tss]]</f>
        <v>0</v>
      </c>
      <c r="E21">
        <v>2.2999999999999972</v>
      </c>
      <c r="F21">
        <v>0</v>
      </c>
      <c r="G21">
        <v>2.2999999999999972</v>
      </c>
      <c r="H21">
        <v>4.7565899999999998E-3</v>
      </c>
      <c r="I21">
        <v>4.1000000000000002E-2</v>
      </c>
      <c r="J21">
        <v>3.6243410000000004E-2</v>
      </c>
      <c r="K21">
        <v>0.11601439024390243</v>
      </c>
      <c r="L21">
        <f>Table17[[#This Row],[oss]]*INDEX(Table59[k_OSS2ROP],MATCH(Table17[[#This Row],[site]],Table59[site],FALSE))</f>
        <v>2.2999999999999974E-3</v>
      </c>
      <c r="M21">
        <f>Table17[[#This Row],[srp]]*INDEX(Table59[k_SRP2PIP],MATCH(Table17[[#This Row],[site]],Table59[site],FALSE))</f>
        <v>4.2744258823896883E-3</v>
      </c>
      <c r="N21">
        <f>Table17[[#This Row],[iss]]*INDEX(Table59[k_ISS2PIP],MATCH(Table17[[#This Row],[site]],Table59[site],0))</f>
        <v>0</v>
      </c>
      <c r="O21">
        <f>Table17[[#This Row],[rop]]+Table17[[#This Row],[lop]]+Table17[[#This Row],[pip]]</f>
        <v>6.5744258823896857E-3</v>
      </c>
      <c r="P21">
        <f>(Table17[[#This Row],[nsrp_pred]]-Table17[[#This Row],[nsrp]])^2</f>
        <v>8.8024861857101345E-4</v>
      </c>
      <c r="Q21">
        <f>(Table17[[#This Row],[nsrp]]-INDEX(Table59[mean_nsrp],MATCH(Table17[[#This Row],[site]],Table59[site],0)))^2</f>
        <v>3.0317080282552332E-5</v>
      </c>
      <c r="T21" t="s">
        <v>0</v>
      </c>
      <c r="U21" s="2" t="s">
        <v>56</v>
      </c>
      <c r="V21" s="1" t="s">
        <v>17</v>
      </c>
      <c r="W21" s="1" t="s">
        <v>483</v>
      </c>
      <c r="X21" s="1" t="s">
        <v>20</v>
      </c>
      <c r="Y21" s="2" t="s">
        <v>86</v>
      </c>
      <c r="Z21" s="4" t="s">
        <v>85</v>
      </c>
      <c r="AA21" s="4" t="s">
        <v>84</v>
      </c>
      <c r="AB21" s="4" t="s">
        <v>87</v>
      </c>
      <c r="AC21" s="4" t="s">
        <v>83</v>
      </c>
      <c r="AD21" s="4" t="s">
        <v>50</v>
      </c>
      <c r="AE21" s="4" t="s">
        <v>49</v>
      </c>
      <c r="AF21" s="4" t="s">
        <v>54</v>
      </c>
      <c r="AG21" s="2" t="s">
        <v>55</v>
      </c>
      <c r="AH21" s="4" t="s">
        <v>57</v>
      </c>
      <c r="AI21" s="4" t="s">
        <v>58</v>
      </c>
      <c r="AJ21" s="4" t="s">
        <v>59</v>
      </c>
      <c r="AK21" s="2" t="s">
        <v>60</v>
      </c>
    </row>
    <row r="22" spans="1:42">
      <c r="A22" t="s">
        <v>15</v>
      </c>
      <c r="B22" t="s">
        <v>16</v>
      </c>
      <c r="C22">
        <v>2.5928571428571322E-2</v>
      </c>
      <c r="D22">
        <f>Table17[[#This Row],[iss]]/Table17[[#This Row],[tss]]</f>
        <v>0</v>
      </c>
      <c r="E22">
        <v>0.70000000000000284</v>
      </c>
      <c r="F22">
        <v>0</v>
      </c>
      <c r="G22">
        <v>0.70000000000000284</v>
      </c>
      <c r="H22">
        <v>1.1950000000000001E-2</v>
      </c>
      <c r="I22">
        <v>3.0100000000000002E-2</v>
      </c>
      <c r="J22">
        <v>1.8149999999999999E-2</v>
      </c>
      <c r="K22">
        <v>0.39700996677740863</v>
      </c>
      <c r="L22">
        <f>Table17[[#This Row],[oss]]*INDEX(Table59[k_OSS2ROP],MATCH(Table17[[#This Row],[site]],Table59[site],FALSE))</f>
        <v>7.0000000000000281E-4</v>
      </c>
      <c r="M22">
        <f>Table17[[#This Row],[srp]]*INDEX(Table59[k_SRP2PIP],MATCH(Table17[[#This Row],[site]],Table59[site],FALSE))</f>
        <v>1.0738657167121147E-2</v>
      </c>
      <c r="N22">
        <f>Table17[[#This Row],[iss]]*INDEX(Table59[k_ISS2PIP],MATCH(Table17[[#This Row],[site]],Table59[site],0))</f>
        <v>0</v>
      </c>
      <c r="O22">
        <f>Table17[[#This Row],[rop]]+Table17[[#This Row],[lop]]+Table17[[#This Row],[pip]]</f>
        <v>1.143865716712115E-2</v>
      </c>
      <c r="P22">
        <f>(Table17[[#This Row],[nsrp_pred]]-Table17[[#This Row],[nsrp]])^2</f>
        <v>4.5042122620434301E-5</v>
      </c>
      <c r="Q22">
        <f>(Table17[[#This Row],[nsrp]]-INDEX(Table59[mean_nsrp],MATCH(Table17[[#This Row],[site]],Table59[site],0)))^2</f>
        <v>5.5693662824519378E-4</v>
      </c>
      <c r="T22" t="s">
        <v>15</v>
      </c>
      <c r="U22">
        <f>COUNTIF(Table17[site],Table59[[#This Row],[site]])</f>
        <v>59</v>
      </c>
      <c r="V22" s="37">
        <v>1E-3</v>
      </c>
      <c r="W22">
        <v>0.89863239892227176</v>
      </c>
      <c r="X22">
        <v>2.1157567425500053E-3</v>
      </c>
      <c r="Y22">
        <f>SUMIF(Table17[site],Table59[[#This Row],[site]],Table17[sqresid])</f>
        <v>2.3446923397557693E-2</v>
      </c>
      <c r="Z22">
        <f>Table59[[#This Row],[sse]]/COUNTIF(Table17[site],Table59[[#This Row],[site]])</f>
        <v>3.974054813145372E-4</v>
      </c>
      <c r="AA22">
        <f>AVERAGEIF(Table17[site],Table59[[#This Row],[site]],Table17[nsrp])</f>
        <v>4.1749504830508495E-2</v>
      </c>
      <c r="AB22">
        <f>SUMIF(Table17[site],Table59[[#This Row],[site]],Table17[mean_resid])</f>
        <v>2.0486142079133591E-2</v>
      </c>
      <c r="AC22">
        <f>1-Table59[[#This Row],[sse]]/Table59[[#This Row],[sst]]</f>
        <v>-0.14452605605229318</v>
      </c>
      <c r="AD22" cm="1">
        <f t="array" ref="AD22">MEDIAN(IF(Table17[site]=Table59[[#This Row],[site]],Table17[tss]))</f>
        <v>3.5</v>
      </c>
      <c r="AE22" cm="1">
        <f t="array" ref="AE22">MEDIAN(IF(Table17[site]=Table59[[#This Row],[site]],Table17[tp]))</f>
        <v>7.1749999999999994E-2</v>
      </c>
      <c r="AF22" cm="1">
        <f t="array" ref="AF22">MEDIAN(IF(Table17[site]=Table59[[#This Row],[site]],Table17[frac_iss]))</f>
        <v>0.65789473684210575</v>
      </c>
      <c r="AG22" cm="1">
        <f t="array" ref="AG22">MEDIAN(IF(Table17[site]=Table59[[#This Row],[site]],Table17[frac_srp]))</f>
        <v>0.40489795918367349</v>
      </c>
      <c r="AH22" cm="1">
        <f t="array" ref="AH22">STDEV(IF(Table17[site]=Table59[[#This Row],[site]],Table17[tss]))</f>
        <v>4.2582513377363416</v>
      </c>
    </row>
    <row r="23" spans="1:42">
      <c r="A23" t="s">
        <v>15</v>
      </c>
      <c r="B23" t="s">
        <v>16</v>
      </c>
      <c r="C23">
        <v>1.4208946428571442E-2</v>
      </c>
      <c r="D23">
        <f>Table17[[#This Row],[iss]]/Table17[[#This Row],[tss]]</f>
        <v>0.35714285714285754</v>
      </c>
      <c r="E23">
        <v>2.9473684210526288</v>
      </c>
      <c r="F23">
        <v>1.0526315789473686</v>
      </c>
      <c r="G23">
        <v>1.8947368421052602</v>
      </c>
      <c r="H23">
        <v>8.1209999999999997E-3</v>
      </c>
      <c r="I23">
        <v>0.05</v>
      </c>
      <c r="J23">
        <v>4.1879E-2</v>
      </c>
      <c r="K23">
        <v>0.16241999999999998</v>
      </c>
      <c r="L23">
        <f>Table17[[#This Row],[oss]]*INDEX(Table59[k_OSS2ROP],MATCH(Table17[[#This Row],[site]],Table59[site],FALSE))</f>
        <v>1.8947368421052603E-3</v>
      </c>
      <c r="M23">
        <f>Table17[[#This Row],[srp]]*INDEX(Table59[k_SRP2PIP],MATCH(Table17[[#This Row],[site]],Table59[site],FALSE))</f>
        <v>7.2977937116477688E-3</v>
      </c>
      <c r="N23">
        <f>Table17[[#This Row],[iss]]*INDEX(Table59[k_ISS2PIP],MATCH(Table17[[#This Row],[site]],Table59[site],0))</f>
        <v>2.2271123605789533E-3</v>
      </c>
      <c r="O23">
        <f>Table17[[#This Row],[rop]]+Table17[[#This Row],[lop]]+Table17[[#This Row],[pip]]</f>
        <v>1.1419642914331982E-2</v>
      </c>
      <c r="P23">
        <f>(Table17[[#This Row],[nsrp_pred]]-Table17[[#This Row],[nsrp]])^2</f>
        <v>9.2777243407223442E-4</v>
      </c>
      <c r="Q23">
        <f>(Table17[[#This Row],[nsrp]]-INDEX(Table59[mean_nsrp],MATCH(Table17[[#This Row],[site]],Table59[site],0)))^2</f>
        <v>1.676899892163347E-8</v>
      </c>
      <c r="T23" t="s">
        <v>26</v>
      </c>
      <c r="U23">
        <f>COUNTIF(Table17[site],Table59[[#This Row],[site]])</f>
        <v>38</v>
      </c>
      <c r="V23" s="37">
        <v>1E-3</v>
      </c>
      <c r="W23">
        <v>0.62269675417155712</v>
      </c>
      <c r="X23">
        <v>8.9984878039589403E-4</v>
      </c>
      <c r="Y23">
        <f>SUMIF(Table17[site],Table59[[#This Row],[site]],Table17[sqresid])</f>
        <v>1.954549295932791E-2</v>
      </c>
      <c r="Z23">
        <f>Table59[[#This Row],[sse]]/COUNTIF(Table17[site],Table59[[#This Row],[site]])</f>
        <v>5.1435507787705027E-4</v>
      </c>
      <c r="AA23">
        <f>AVERAGEIF(Table17[site],Table59[[#This Row],[site]],Table17[nsrp])</f>
        <v>4.7827558026315789E-2</v>
      </c>
      <c r="AB23">
        <f>SUMIF(Table17[site],Table59[[#This Row],[site]],Table17[mean_resid])</f>
        <v>4.0470186596686393E-2</v>
      </c>
      <c r="AC23">
        <f>1-Table59[[#This Row],[sse]]/Table59[[#This Row],[sst]]</f>
        <v>0.51703971236623225</v>
      </c>
      <c r="AD23" cm="1">
        <f t="array" ref="AD23">MEDIAN(IF(Table17[site]=Table59[[#This Row],[site]],Table17[tss]))</f>
        <v>23.854166666666664</v>
      </c>
      <c r="AE23" cm="1">
        <f t="array" ref="AE23">MEDIAN(IF(Table17[site]=Table59[[#This Row],[site]],Table17[tp]))</f>
        <v>5.9499999999999997E-2</v>
      </c>
      <c r="AF23" cm="1">
        <f t="array" ref="AF23">MEDIAN(IF(Table17[site]=Table59[[#This Row],[site]],Table17[frac_iss]))</f>
        <v>0.23310810810810811</v>
      </c>
      <c r="AG23" cm="1">
        <f t="array" ref="AG23">MEDIAN(IF(Table17[site]=Table59[[#This Row],[site]],Table17[frac_srp]))</f>
        <v>0.2587269102990033</v>
      </c>
      <c r="AH23" cm="1">
        <f t="array" ref="AH23">STDEV(IF(Table17[site]=Table59[[#This Row],[site]],Table17[tss]))</f>
        <v>38.306610463523818</v>
      </c>
    </row>
    <row r="24" spans="1:42">
      <c r="A24" t="s">
        <v>15</v>
      </c>
      <c r="B24" t="s">
        <v>16</v>
      </c>
      <c r="C24">
        <v>9.9186749999999966E-3</v>
      </c>
      <c r="D24">
        <f>Table17[[#This Row],[iss]]/Table17[[#This Row],[tss]]</f>
        <v>0</v>
      </c>
      <c r="E24">
        <v>2.0512820512820515</v>
      </c>
      <c r="F24">
        <v>0</v>
      </c>
      <c r="G24">
        <v>2.0512820512820515</v>
      </c>
      <c r="H24">
        <v>2.0954E-2</v>
      </c>
      <c r="I24">
        <v>4.1299999999999996E-2</v>
      </c>
      <c r="J24">
        <v>2.0345999999999996E-2</v>
      </c>
      <c r="K24">
        <v>0.50736077481840203</v>
      </c>
      <c r="L24">
        <f>Table17[[#This Row],[oss]]*INDEX(Table59[k_OSS2ROP],MATCH(Table17[[#This Row],[site]],Table59[site],FALSE))</f>
        <v>2.0512820512820517E-3</v>
      </c>
      <c r="M24">
        <f>Table17[[#This Row],[srp]]*INDEX(Table59[k_SRP2PIP],MATCH(Table17[[#This Row],[site]],Table59[site],FALSE))</f>
        <v>1.8829943287017283E-2</v>
      </c>
      <c r="N24">
        <f>Table17[[#This Row],[iss]]*INDEX(Table59[k_ISS2PIP],MATCH(Table17[[#This Row],[site]],Table59[site],0))</f>
        <v>0</v>
      </c>
      <c r="O24">
        <f>Table17[[#This Row],[rop]]+Table17[[#This Row],[lop]]+Table17[[#This Row],[pip]]</f>
        <v>2.0881225338299336E-2</v>
      </c>
      <c r="P24">
        <f>(Table17[[#This Row],[nsrp_pred]]-Table17[[#This Row],[nsrp]])^2</f>
        <v>2.8646616275764318E-7</v>
      </c>
      <c r="Q24">
        <f>(Table17[[#This Row],[nsrp]]-INDEX(Table59[mean_nsrp],MATCH(Table17[[#This Row],[site]],Table59[site],0)))^2</f>
        <v>4.5811001902960067E-4</v>
      </c>
      <c r="T24" t="s">
        <v>28</v>
      </c>
      <c r="U24">
        <f>COUNTIF(Table17[site],Table59[[#This Row],[site]])</f>
        <v>34</v>
      </c>
      <c r="V24" s="37">
        <v>1E-3</v>
      </c>
      <c r="W24">
        <v>1.4192113250241647</v>
      </c>
      <c r="X24">
        <v>9.383718100787632E-4</v>
      </c>
      <c r="Y24">
        <f>SUMIF(Table17[site],Table59[[#This Row],[site]],Table17[sqresid])</f>
        <v>1.4805623894537521E-2</v>
      </c>
      <c r="Z24">
        <f>Table59[[#This Row],[sse]]/COUNTIF(Table17[site],Table59[[#This Row],[site]])</f>
        <v>4.3545952630992708E-4</v>
      </c>
      <c r="AA24">
        <f>AVERAGEIF(Table17[site],Table59[[#This Row],[site]],Table17[nsrp])</f>
        <v>4.3817672205882348E-2</v>
      </c>
      <c r="AB24">
        <f>SUMIF(Table17[site],Table59[[#This Row],[site]],Table17[mean_resid])</f>
        <v>3.5144200884831764E-2</v>
      </c>
      <c r="AC24">
        <f>1-Table59[[#This Row],[sse]]/Table59[[#This Row],[sst]]</f>
        <v>0.57871786747816967</v>
      </c>
      <c r="AD24" cm="1">
        <f t="array" ref="AD24">MEDIAN(IF(Table17[site]=Table59[[#This Row],[site]],Table17[tss]))</f>
        <v>12.25</v>
      </c>
      <c r="AE24" cm="1">
        <f t="array" ref="AE24">MEDIAN(IF(Table17[site]=Table59[[#This Row],[site]],Table17[tp]))</f>
        <v>5.5999999999999994E-2</v>
      </c>
      <c r="AF24" cm="1">
        <f t="array" ref="AF24">MEDIAN(IF(Table17[site]=Table59[[#This Row],[site]],Table17[frac_iss]))</f>
        <v>0.54411764705882359</v>
      </c>
      <c r="AG24" cm="1">
        <f t="array" ref="AG24">MEDIAN(IF(Table17[site]=Table59[[#This Row],[site]],Table17[frac_srp]))</f>
        <v>0.27735426356589149</v>
      </c>
      <c r="AH24" cm="1">
        <f t="array" ref="AH24">STDEV(IF(Table17[site]=Table59[[#This Row],[site]],Table17[tss]))</f>
        <v>21.847246216857968</v>
      </c>
    </row>
    <row r="25" spans="1:42">
      <c r="A25" t="s">
        <v>15</v>
      </c>
      <c r="B25" t="s">
        <v>16</v>
      </c>
      <c r="C25">
        <v>7.9698000000000008E-3</v>
      </c>
      <c r="D25">
        <f>Table17[[#This Row],[iss]]/Table17[[#This Row],[tss]]</f>
        <v>0.33333333333333326</v>
      </c>
      <c r="E25">
        <v>3.333333333333333</v>
      </c>
      <c r="F25">
        <v>1.1111111111111107</v>
      </c>
      <c r="G25">
        <v>2.2222222222222223</v>
      </c>
      <c r="H25">
        <v>1.6233999999999998E-2</v>
      </c>
      <c r="I25">
        <v>4.2799999999999998E-2</v>
      </c>
      <c r="J25">
        <v>2.6565999999999999E-2</v>
      </c>
      <c r="K25">
        <v>0.37929906542056074</v>
      </c>
      <c r="L25">
        <f>Table17[[#This Row],[oss]]*INDEX(Table59[k_OSS2ROP],MATCH(Table17[[#This Row],[site]],Table59[site],FALSE))</f>
        <v>2.2222222222222222E-3</v>
      </c>
      <c r="M25">
        <f>Table17[[#This Row],[srp]]*INDEX(Table59[k_SRP2PIP],MATCH(Table17[[#This Row],[site]],Table59[site],FALSE))</f>
        <v>1.4588398364104159E-2</v>
      </c>
      <c r="N25">
        <f>Table17[[#This Row],[iss]]*INDEX(Table59[k_ISS2PIP],MATCH(Table17[[#This Row],[site]],Table59[site],0))</f>
        <v>2.3508408250555606E-3</v>
      </c>
      <c r="O25">
        <f>Table17[[#This Row],[rop]]+Table17[[#This Row],[lop]]+Table17[[#This Row],[pip]]</f>
        <v>1.9161461411381944E-2</v>
      </c>
      <c r="P25">
        <f>(Table17[[#This Row],[nsrp_pred]]-Table17[[#This Row],[nsrp]])^2</f>
        <v>5.4827191710333869E-5</v>
      </c>
      <c r="Q25">
        <f>(Table17[[#This Row],[nsrp]]-INDEX(Table59[mean_nsrp],MATCH(Table17[[#This Row],[site]],Table59[site],0)))^2</f>
        <v>2.3053881893807482E-4</v>
      </c>
      <c r="W25">
        <v>1</v>
      </c>
      <c r="X25" s="9"/>
    </row>
    <row r="26" spans="1:42">
      <c r="A26" t="s">
        <v>15</v>
      </c>
      <c r="B26" t="s">
        <v>16</v>
      </c>
      <c r="C26">
        <v>6.5342900000000008E-3</v>
      </c>
      <c r="D26">
        <f>Table17[[#This Row],[iss]]/Table17[[#This Row],[tss]]</f>
        <v>0</v>
      </c>
      <c r="E26">
        <v>5.2631578947368425</v>
      </c>
      <c r="F26">
        <v>0</v>
      </c>
      <c r="G26">
        <v>5.2631578947368425</v>
      </c>
      <c r="H26">
        <v>2.1708999999999999E-2</v>
      </c>
      <c r="I26">
        <v>5.6100000000000004E-2</v>
      </c>
      <c r="J26">
        <v>3.4391000000000005E-2</v>
      </c>
      <c r="K26">
        <v>0.38696969696969691</v>
      </c>
      <c r="L26">
        <f>Table17[[#This Row],[oss]]*INDEX(Table59[k_OSS2ROP],MATCH(Table17[[#This Row],[site]],Table59[site],FALSE))</f>
        <v>5.2631578947368429E-3</v>
      </c>
      <c r="M26">
        <f>Table17[[#This Row],[srp]]*INDEX(Table59[k_SRP2PIP],MATCH(Table17[[#This Row],[site]],Table59[site],FALSE))</f>
        <v>1.9508410748203597E-2</v>
      </c>
      <c r="N26">
        <f>Table17[[#This Row],[iss]]*INDEX(Table59[k_ISS2PIP],MATCH(Table17[[#This Row],[site]],Table59[site],0))</f>
        <v>0</v>
      </c>
      <c r="O26">
        <f>Table17[[#This Row],[rop]]+Table17[[#This Row],[lop]]+Table17[[#This Row],[pip]]</f>
        <v>2.4771568642940438E-2</v>
      </c>
      <c r="P26">
        <f>(Table17[[#This Row],[nsrp_pred]]-Table17[[#This Row],[nsrp]])^2</f>
        <v>9.2533459633180871E-5</v>
      </c>
      <c r="Q26">
        <f>(Table17[[#This Row],[nsrp]]-INDEX(Table59[mean_nsrp],MATCH(Table17[[#This Row],[site]],Table59[site],0)))^2</f>
        <v>5.4147593340616787E-5</v>
      </c>
      <c r="T26" s="8" t="s">
        <v>180</v>
      </c>
      <c r="U26" s="9">
        <f>SUM(Table59[n])</f>
        <v>131</v>
      </c>
      <c r="V26" s="9">
        <v>1</v>
      </c>
      <c r="W26" s="9">
        <f>AVERAGE(Table59[k_SRP2PIP])</f>
        <v>0.98018015937266456</v>
      </c>
      <c r="X26" s="9">
        <f>AVERAGE(Table59[k_ISS2PIP])</f>
        <v>1.3179924443415543E-3</v>
      </c>
      <c r="Y26">
        <f>SUM(Table59[sse])</f>
        <v>5.7798040251423127E-2</v>
      </c>
      <c r="AA26" s="12"/>
      <c r="AB26" s="12"/>
      <c r="AC26" s="12"/>
    </row>
    <row r="27" spans="1:42">
      <c r="A27" t="s">
        <v>15</v>
      </c>
      <c r="B27" t="s">
        <v>16</v>
      </c>
      <c r="C27">
        <v>5.5049785714285709E-3</v>
      </c>
      <c r="D27">
        <f>Table17[[#This Row],[iss]]/Table17[[#This Row],[tss]]</f>
        <v>0.28571428571428575</v>
      </c>
      <c r="E27">
        <v>7.3684210526315796</v>
      </c>
      <c r="F27">
        <v>2.1052631578947372</v>
      </c>
      <c r="G27">
        <v>5.2631578947368425</v>
      </c>
      <c r="H27">
        <v>1.8436999999999999E-2</v>
      </c>
      <c r="I27">
        <v>5.8999999999999997E-2</v>
      </c>
      <c r="J27">
        <v>4.0563000000000002E-2</v>
      </c>
      <c r="K27">
        <v>0.31249152542372882</v>
      </c>
      <c r="L27">
        <f>Table17[[#This Row],[oss]]*INDEX(Table59[k_OSS2ROP],MATCH(Table17[[#This Row],[site]],Table59[site],FALSE))</f>
        <v>5.2631578947368429E-3</v>
      </c>
      <c r="M27">
        <f>Table17[[#This Row],[srp]]*INDEX(Table59[k_SRP2PIP],MATCH(Table17[[#This Row],[site]],Table59[site],FALSE))</f>
        <v>1.6568085538929925E-2</v>
      </c>
      <c r="N27">
        <f>Table17[[#This Row],[iss]]*INDEX(Table59[k_ISS2PIP],MATCH(Table17[[#This Row],[site]],Table59[site],0))</f>
        <v>4.4542247211579065E-3</v>
      </c>
      <c r="O27">
        <f>Table17[[#This Row],[rop]]+Table17[[#This Row],[lop]]+Table17[[#This Row],[pip]]</f>
        <v>2.6285468154824677E-2</v>
      </c>
      <c r="P27">
        <f>(Table17[[#This Row],[nsrp_pred]]-Table17[[#This Row],[nsrp]])^2</f>
        <v>2.0384791558999553E-4</v>
      </c>
      <c r="Q27">
        <f>(Table17[[#This Row],[nsrp]]-INDEX(Table59[mean_nsrp],MATCH(Table17[[#This Row],[site]],Table59[site],0)))^2</f>
        <v>1.4077937128199884E-6</v>
      </c>
      <c r="W27">
        <f>STDEV(Table59[k_SRP2PIP])</f>
        <v>0.40447050982857147</v>
      </c>
      <c r="X27">
        <f>STDEV(Table59[k_ISS2PIP])</f>
        <v>6.9115259717084457E-4</v>
      </c>
      <c r="Y27" t="s">
        <v>172</v>
      </c>
      <c r="Z27" t="s">
        <v>171</v>
      </c>
    </row>
    <row r="28" spans="1:42">
      <c r="A28" t="s">
        <v>15</v>
      </c>
      <c r="B28" t="s">
        <v>16</v>
      </c>
      <c r="C28">
        <v>5.7770857142857143E-3</v>
      </c>
      <c r="D28">
        <f>Table17[[#This Row],[iss]]/Table17[[#This Row],[tss]]</f>
        <v>0.28571428571428575</v>
      </c>
      <c r="E28">
        <v>7.3684210526315796</v>
      </c>
      <c r="F28">
        <v>2.1052631578947372</v>
      </c>
      <c r="G28">
        <v>5.2631578947368425</v>
      </c>
      <c r="H28">
        <v>1.7132000000000001E-2</v>
      </c>
      <c r="I28">
        <v>5.9700000000000003E-2</v>
      </c>
      <c r="J28">
        <v>4.2568000000000002E-2</v>
      </c>
      <c r="K28">
        <v>0.28696817420435511</v>
      </c>
      <c r="L28">
        <f>Table17[[#This Row],[oss]]*INDEX(Table59[k_OSS2ROP],MATCH(Table17[[#This Row],[site]],Table59[site],FALSE))</f>
        <v>5.2631578947368429E-3</v>
      </c>
      <c r="M28">
        <f>Table17[[#This Row],[srp]]*INDEX(Table59[k_SRP2PIP],MATCH(Table17[[#This Row],[site]],Table59[site],FALSE))</f>
        <v>1.5395370258336361E-2</v>
      </c>
      <c r="N28">
        <f>Table17[[#This Row],[iss]]*INDEX(Table59[k_ISS2PIP],MATCH(Table17[[#This Row],[site]],Table59[site],0))</f>
        <v>4.4542247211579065E-3</v>
      </c>
      <c r="O28">
        <f>Table17[[#This Row],[rop]]+Table17[[#This Row],[lop]]+Table17[[#This Row],[pip]]</f>
        <v>2.511275287423111E-2</v>
      </c>
      <c r="P28">
        <f>(Table17[[#This Row],[nsrp_pred]]-Table17[[#This Row],[nsrp]])^2</f>
        <v>3.0468565222166314E-4</v>
      </c>
      <c r="Q28">
        <f>(Table17[[#This Row],[nsrp]]-INDEX(Table59[mean_nsrp],MATCH(Table17[[#This Row],[site]],Table59[site],0)))^2</f>
        <v>6.6993434248093005E-7</v>
      </c>
      <c r="Y28" s="13"/>
    </row>
    <row r="29" spans="1:42">
      <c r="A29" t="s">
        <v>15</v>
      </c>
      <c r="B29" t="s">
        <v>16</v>
      </c>
      <c r="C29">
        <v>6.9695799999999995E-3</v>
      </c>
      <c r="D29">
        <f>Table17[[#This Row],[iss]]/Table17[[#This Row],[tss]]</f>
        <v>0.20000000000000009</v>
      </c>
      <c r="E29">
        <v>5.2631578947368425</v>
      </c>
      <c r="F29">
        <v>1.052631578947369</v>
      </c>
      <c r="G29">
        <v>4.2105263157894735</v>
      </c>
      <c r="H29">
        <v>1.6618000000000001E-2</v>
      </c>
      <c r="I29">
        <v>5.33E-2</v>
      </c>
      <c r="J29">
        <v>3.6681999999999999E-2</v>
      </c>
      <c r="K29">
        <v>0.31178236397748593</v>
      </c>
      <c r="L29">
        <f>Table17[[#This Row],[oss]]*INDEX(Table59[k_OSS2ROP],MATCH(Table17[[#This Row],[site]],Table59[site],FALSE))</f>
        <v>4.2105263157894736E-3</v>
      </c>
      <c r="M29">
        <f>Table17[[#This Row],[srp]]*INDEX(Table59[k_SRP2PIP],MATCH(Table17[[#This Row],[site]],Table59[site],FALSE))</f>
        <v>1.4933473205290313E-2</v>
      </c>
      <c r="N29">
        <f>Table17[[#This Row],[iss]]*INDEX(Table59[k_ISS2PIP],MATCH(Table17[[#This Row],[site]],Table59[site],0))</f>
        <v>2.2271123605789541E-3</v>
      </c>
      <c r="O29">
        <f>Table17[[#This Row],[rop]]+Table17[[#This Row],[lop]]+Table17[[#This Row],[pip]]</f>
        <v>2.1371111881658741E-2</v>
      </c>
      <c r="P29">
        <f>(Table17[[#This Row],[nsrp_pred]]-Table17[[#This Row],[nsrp]])^2</f>
        <v>2.3442329497236353E-4</v>
      </c>
      <c r="Q29">
        <f>(Table17[[#This Row],[nsrp]]-INDEX(Table59[mean_nsrp],MATCH(Table17[[#This Row],[site]],Table59[site],0)))^2</f>
        <v>2.5679605207226937E-5</v>
      </c>
    </row>
    <row r="30" spans="1:42">
      <c r="A30" t="s">
        <v>15</v>
      </c>
      <c r="B30" t="s">
        <v>16</v>
      </c>
      <c r="C30">
        <v>1.6510900000000002E-2</v>
      </c>
      <c r="D30">
        <f>Table17[[#This Row],[iss]]/Table17[[#This Row],[tss]]</f>
        <v>1</v>
      </c>
      <c r="E30">
        <v>1.4285714285714286</v>
      </c>
      <c r="F30">
        <v>1.4285714285714286</v>
      </c>
      <c r="G30">
        <v>0</v>
      </c>
      <c r="H30">
        <v>1.5013E-2</v>
      </c>
      <c r="I30">
        <v>3.8600000000000002E-2</v>
      </c>
      <c r="J30">
        <v>2.3587000000000004E-2</v>
      </c>
      <c r="K30">
        <v>0.38893782383419689</v>
      </c>
      <c r="L30">
        <f>Table17[[#This Row],[oss]]*INDEX(Table59[k_OSS2ROP],MATCH(Table17[[#This Row],[site]],Table59[site],FALSE))</f>
        <v>0</v>
      </c>
      <c r="M30">
        <f>Table17[[#This Row],[srp]]*INDEX(Table59[k_SRP2PIP],MATCH(Table17[[#This Row],[site]],Table59[site],FALSE))</f>
        <v>1.3491168205020066E-2</v>
      </c>
      <c r="N30">
        <f>Table17[[#This Row],[iss]]*INDEX(Table59[k_ISS2PIP],MATCH(Table17[[#This Row],[site]],Table59[site],0))</f>
        <v>3.0225096322142935E-3</v>
      </c>
      <c r="O30">
        <f>Table17[[#This Row],[rop]]+Table17[[#This Row],[lop]]+Table17[[#This Row],[pip]]</f>
        <v>1.6513677837234359E-2</v>
      </c>
      <c r="P30">
        <f>(Table17[[#This Row],[nsrp_pred]]-Table17[[#This Row],[nsrp]])^2</f>
        <v>5.0031886418271659E-5</v>
      </c>
      <c r="Q30">
        <f>(Table17[[#This Row],[nsrp]]-INDEX(Table59[mean_nsrp],MATCH(Table17[[#This Row],[site]],Table59[site],0)))^2</f>
        <v>3.2987658171824426E-4</v>
      </c>
    </row>
    <row r="31" spans="1:42">
      <c r="A31" t="s">
        <v>15</v>
      </c>
      <c r="B31" t="s">
        <v>21</v>
      </c>
      <c r="C31">
        <v>2.4771111111109859E-2</v>
      </c>
      <c r="D31">
        <f>Table17[[#This Row],[iss]]/Table17[[#This Row],[tss]]</f>
        <v>0.33333333333336701</v>
      </c>
      <c r="E31">
        <v>4.5000000000002274</v>
      </c>
      <c r="F31">
        <v>1.5000000000002274</v>
      </c>
      <c r="G31">
        <v>3</v>
      </c>
      <c r="H31">
        <v>8.2530000000000006E-2</v>
      </c>
      <c r="I31">
        <v>0.19400000000000001</v>
      </c>
      <c r="J31">
        <v>0.11147</v>
      </c>
      <c r="K31">
        <v>0.42541237113402064</v>
      </c>
      <c r="L31">
        <f>Table17[[#This Row],[oss]]*INDEX(Table59[k_OSS2ROP],MATCH(Table17[[#This Row],[site]],Table59[site],FALSE))</f>
        <v>3.0000000000000001E-3</v>
      </c>
      <c r="M31">
        <f>Table17[[#This Row],[srp]]*INDEX(Table59[k_SRP2PIP],MATCH(Table17[[#This Row],[site]],Table59[site],FALSE))</f>
        <v>7.4164131883055096E-2</v>
      </c>
      <c r="N31">
        <f>Table17[[#This Row],[iss]]*INDEX(Table59[k_ISS2PIP],MATCH(Table17[[#This Row],[site]],Table59[site],0))</f>
        <v>3.1736351138254891E-3</v>
      </c>
      <c r="O31">
        <f>Table17[[#This Row],[rop]]+Table17[[#This Row],[lop]]+Table17[[#This Row],[pip]]</f>
        <v>8.0337766996880583E-2</v>
      </c>
      <c r="P31">
        <f>(Table17[[#This Row],[nsrp_pred]]-Table17[[#This Row],[nsrp]])^2</f>
        <v>9.6921593176051786E-4</v>
      </c>
      <c r="Q31">
        <f>(Table17[[#This Row],[nsrp]]-INDEX(Table59[mean_nsrp],MATCH(Table17[[#This Row],[site]],Table59[site],0)))^2</f>
        <v>4.860947446679087E-3</v>
      </c>
      <c r="T31" s="7" t="s">
        <v>0</v>
      </c>
      <c r="U31" s="2" t="s">
        <v>56</v>
      </c>
      <c r="V31" s="1" t="s">
        <v>17</v>
      </c>
      <c r="W31" s="1" t="s">
        <v>19</v>
      </c>
      <c r="X31" s="1" t="s">
        <v>20</v>
      </c>
      <c r="Y31" s="2" t="s">
        <v>14</v>
      </c>
      <c r="Z31" s="4"/>
      <c r="AA31" s="4"/>
      <c r="AB31" s="4"/>
      <c r="AC31" s="4"/>
      <c r="AG31" t="s">
        <v>0</v>
      </c>
      <c r="AH31" t="s">
        <v>56</v>
      </c>
      <c r="AI31" t="s">
        <v>17</v>
      </c>
      <c r="AJ31" t="s">
        <v>19</v>
      </c>
      <c r="AK31" t="s">
        <v>20</v>
      </c>
      <c r="AL31" t="s">
        <v>86</v>
      </c>
      <c r="AM31" t="s">
        <v>85</v>
      </c>
      <c r="AN31" t="s">
        <v>84</v>
      </c>
      <c r="AO31" t="s">
        <v>87</v>
      </c>
      <c r="AP31" t="s">
        <v>83</v>
      </c>
    </row>
    <row r="32" spans="1:42">
      <c r="A32" t="s">
        <v>15</v>
      </c>
      <c r="B32" t="s">
        <v>21</v>
      </c>
      <c r="C32">
        <v>1.8070000000001366E-2</v>
      </c>
      <c r="D32">
        <f>Table17[[#This Row],[iss]]/Table17[[#This Row],[tss]]</f>
        <v>0.16666666666667929</v>
      </c>
      <c r="E32">
        <v>2.9999999999997726</v>
      </c>
      <c r="F32">
        <v>0.5</v>
      </c>
      <c r="G32">
        <v>2.4999999999997726</v>
      </c>
      <c r="H32">
        <v>2.7089999999999999E-2</v>
      </c>
      <c r="I32">
        <v>8.1299999999999997E-2</v>
      </c>
      <c r="J32">
        <v>5.4209999999999994E-2</v>
      </c>
      <c r="K32">
        <v>0.33321033210332102</v>
      </c>
      <c r="L32">
        <f>Table17[[#This Row],[oss]]*INDEX(Table59[k_OSS2ROP],MATCH(Table17[[#This Row],[site]],Table59[site],FALSE))</f>
        <v>2.4999999999997728E-3</v>
      </c>
      <c r="M32">
        <f>Table17[[#This Row],[srp]]*INDEX(Table59[k_SRP2PIP],MATCH(Table17[[#This Row],[site]],Table59[site],FALSE))</f>
        <v>2.4343951686804342E-2</v>
      </c>
      <c r="N32">
        <f>Table17[[#This Row],[iss]]*INDEX(Table59[k_ISS2PIP],MATCH(Table17[[#This Row],[site]],Table59[site],0))</f>
        <v>1.0578783712750027E-3</v>
      </c>
      <c r="O32">
        <f>Table17[[#This Row],[rop]]+Table17[[#This Row],[lop]]+Table17[[#This Row],[pip]]</f>
        <v>2.7901830058079117E-2</v>
      </c>
      <c r="P32">
        <f>(Table17[[#This Row],[nsrp_pred]]-Table17[[#This Row],[nsrp]])^2</f>
        <v>6.9211980569298915E-4</v>
      </c>
      <c r="Q32">
        <f>(Table17[[#This Row],[nsrp]]-INDEX(Table59[mean_nsrp],MATCH(Table17[[#This Row],[site]],Table59[site],0)))^2</f>
        <v>1.5526393986892099E-4</v>
      </c>
      <c r="T32" s="8" t="s">
        <v>15</v>
      </c>
      <c r="U32" s="9">
        <v>60</v>
      </c>
      <c r="V32" s="9">
        <v>1E-3</v>
      </c>
      <c r="W32" s="9">
        <v>1</v>
      </c>
      <c r="X32" s="9">
        <v>1.7432453896406134E-3</v>
      </c>
      <c r="Y32" s="9">
        <v>2.4038297731241887E-2</v>
      </c>
      <c r="Z32" s="12"/>
      <c r="AA32" s="12"/>
      <c r="AB32" s="12"/>
      <c r="AC32" s="12"/>
      <c r="AG32" t="s">
        <v>15</v>
      </c>
      <c r="AH32">
        <v>59</v>
      </c>
      <c r="AI32">
        <v>5.6620260136264295E-3</v>
      </c>
      <c r="AJ32">
        <v>0.72542722165266882</v>
      </c>
      <c r="AK32">
        <v>2.1485308042792288E-3</v>
      </c>
      <c r="AL32">
        <v>1.9680674245036622E-2</v>
      </c>
      <c r="AM32">
        <v>3.3357074991587494E-4</v>
      </c>
      <c r="AN32">
        <v>4.1749504830508502E-2</v>
      </c>
      <c r="AO32">
        <v>2.0798218335709807E-2</v>
      </c>
      <c r="AP32">
        <v>5.3732683859482377E-2</v>
      </c>
    </row>
    <row r="33" spans="1:42">
      <c r="A33" t="s">
        <v>15</v>
      </c>
      <c r="B33" t="s">
        <v>21</v>
      </c>
      <c r="C33">
        <v>8.7015000000000009E-3</v>
      </c>
      <c r="D33">
        <f>Table17[[#This Row],[iss]]/Table17[[#This Row],[tss]]</f>
        <v>1</v>
      </c>
      <c r="E33">
        <v>5</v>
      </c>
      <c r="F33">
        <v>5</v>
      </c>
      <c r="G33">
        <v>0</v>
      </c>
      <c r="H33">
        <v>3.218E-2</v>
      </c>
      <c r="I33">
        <v>7.5687500000000005E-2</v>
      </c>
      <c r="J33">
        <v>4.3507500000000005E-2</v>
      </c>
      <c r="K33">
        <v>0.42516928158546652</v>
      </c>
      <c r="L33">
        <f>Table17[[#This Row],[oss]]*INDEX(Table59[k_OSS2ROP],MATCH(Table17[[#This Row],[site]],Table59[site],FALSE))</f>
        <v>0</v>
      </c>
      <c r="M33">
        <f>Table17[[#This Row],[srp]]*INDEX(Table59[k_SRP2PIP],MATCH(Table17[[#This Row],[site]],Table59[site],FALSE))</f>
        <v>2.8917990597318706E-2</v>
      </c>
      <c r="N33">
        <f>Table17[[#This Row],[iss]]*INDEX(Table59[k_ISS2PIP],MATCH(Table17[[#This Row],[site]],Table59[site],0))</f>
        <v>1.0578783712750027E-2</v>
      </c>
      <c r="O33">
        <f>Table17[[#This Row],[rop]]+Table17[[#This Row],[lop]]+Table17[[#This Row],[pip]]</f>
        <v>3.9496774310068733E-2</v>
      </c>
      <c r="P33">
        <f>(Table17[[#This Row],[nsrp_pred]]-Table17[[#This Row],[nsrp]])^2</f>
        <v>1.6085920559874673E-5</v>
      </c>
      <c r="Q33">
        <f>(Table17[[#This Row],[nsrp]]-INDEX(Table59[mean_nsrp],MATCH(Table17[[#This Row],[site]],Table59[site],0)))^2</f>
        <v>3.090547015955481E-6</v>
      </c>
      <c r="T33" s="10" t="s">
        <v>26</v>
      </c>
      <c r="U33" s="11">
        <v>38</v>
      </c>
      <c r="V33" s="11">
        <v>1E-3</v>
      </c>
      <c r="W33" s="11">
        <v>1</v>
      </c>
      <c r="X33" s="11">
        <v>7.4632024731575367E-4</v>
      </c>
      <c r="Y33" s="11">
        <v>2.0797813113382128E-2</v>
      </c>
      <c r="AG33" t="s">
        <v>26</v>
      </c>
      <c r="AH33">
        <v>38</v>
      </c>
      <c r="AI33">
        <v>7.5206830169834463E-4</v>
      </c>
      <c r="AJ33">
        <v>0.82726282947895668</v>
      </c>
      <c r="AK33">
        <v>8.969868779450989E-4</v>
      </c>
      <c r="AL33">
        <v>1.6882445704146477E-2</v>
      </c>
      <c r="AM33">
        <v>4.4427488695122306E-4</v>
      </c>
      <c r="AN33">
        <v>4.7827558026315789E-2</v>
      </c>
      <c r="AO33">
        <v>4.1012622363755913E-2</v>
      </c>
      <c r="AP33">
        <v>0.58835976021211456</v>
      </c>
    </row>
    <row r="34" spans="1:42">
      <c r="A34" t="s">
        <v>15</v>
      </c>
      <c r="B34" t="s">
        <v>21</v>
      </c>
      <c r="C34">
        <v>1.6393392857142856E-2</v>
      </c>
      <c r="D34">
        <f>Table17[[#This Row],[iss]]/Table17[[#This Row],[tss]]</f>
        <v>0.7142857142857143</v>
      </c>
      <c r="E34">
        <v>3.5</v>
      </c>
      <c r="F34">
        <v>2.5</v>
      </c>
      <c r="G34">
        <v>1</v>
      </c>
      <c r="H34">
        <v>3.5920000000000001E-2</v>
      </c>
      <c r="I34">
        <v>9.3296875000000001E-2</v>
      </c>
      <c r="J34">
        <v>5.7376875000000001E-2</v>
      </c>
      <c r="K34">
        <v>0.38500753642605928</v>
      </c>
      <c r="L34">
        <f>Table17[[#This Row],[oss]]*INDEX(Table59[k_OSS2ROP],MATCH(Table17[[#This Row],[site]],Table59[site],FALSE))</f>
        <v>1E-3</v>
      </c>
      <c r="M34">
        <f>Table17[[#This Row],[srp]]*INDEX(Table59[k_SRP2PIP],MATCH(Table17[[#This Row],[site]],Table59[site],FALSE))</f>
        <v>3.2278875769288E-2</v>
      </c>
      <c r="N34">
        <f>Table17[[#This Row],[iss]]*INDEX(Table59[k_ISS2PIP],MATCH(Table17[[#This Row],[site]],Table59[site],0))</f>
        <v>5.2893918563750135E-3</v>
      </c>
      <c r="O34">
        <f>Table17[[#This Row],[rop]]+Table17[[#This Row],[lop]]+Table17[[#This Row],[pip]]</f>
        <v>3.8568267625663011E-2</v>
      </c>
      <c r="P34">
        <f>(Table17[[#This Row],[nsrp_pred]]-Table17[[#This Row],[nsrp]])^2</f>
        <v>3.5376371136196379E-4</v>
      </c>
      <c r="Q34">
        <f>(Table17[[#This Row],[nsrp]]-INDEX(Table59[mean_nsrp],MATCH(Table17[[#This Row],[site]],Table59[site],0)))^2</f>
        <v>2.4421469841431296E-4</v>
      </c>
      <c r="T34" s="8" t="s">
        <v>28</v>
      </c>
      <c r="U34" s="9">
        <v>34</v>
      </c>
      <c r="V34" s="9">
        <v>1E-3</v>
      </c>
      <c r="W34" s="9">
        <v>1</v>
      </c>
      <c r="X34" s="9">
        <v>1.3456729032474061E-3</v>
      </c>
      <c r="Y34" s="9">
        <v>1.6988516589156059E-2</v>
      </c>
      <c r="Z34" s="12"/>
      <c r="AA34" s="12"/>
      <c r="AB34" s="12"/>
      <c r="AC34" s="12"/>
      <c r="AG34" t="s">
        <v>28</v>
      </c>
      <c r="AH34">
        <v>34</v>
      </c>
      <c r="AI34">
        <v>6.8395915387235262E-4</v>
      </c>
      <c r="AJ34">
        <v>1.4834243035980166</v>
      </c>
      <c r="AK34">
        <v>1.0653992559315271E-3</v>
      </c>
      <c r="AL34">
        <v>1.3218743099291172E-2</v>
      </c>
      <c r="AM34">
        <v>3.8878656174385799E-4</v>
      </c>
      <c r="AN34">
        <v>4.3817672205882348E-2</v>
      </c>
      <c r="AO34">
        <v>3.5146026301712763E-2</v>
      </c>
      <c r="AP34">
        <v>0.62389082094760206</v>
      </c>
    </row>
    <row r="35" spans="1:42">
      <c r="A35" t="s">
        <v>15</v>
      </c>
      <c r="B35" t="s">
        <v>21</v>
      </c>
      <c r="C35">
        <v>1.29975E-2</v>
      </c>
      <c r="D35">
        <f>Table17[[#This Row],[iss]]/Table17[[#This Row],[tss]]</f>
        <v>0.66666666666666663</v>
      </c>
      <c r="E35">
        <v>3</v>
      </c>
      <c r="F35">
        <v>2</v>
      </c>
      <c r="G35">
        <v>1</v>
      </c>
      <c r="H35">
        <v>3.057E-2</v>
      </c>
      <c r="I35">
        <v>6.9562499999999999E-2</v>
      </c>
      <c r="J35">
        <v>3.8992499999999999E-2</v>
      </c>
      <c r="K35">
        <v>0.43946091644204854</v>
      </c>
      <c r="L35">
        <f>Table17[[#This Row],[oss]]*INDEX(Table59[k_OSS2ROP],MATCH(Table17[[#This Row],[site]],Table59[site],FALSE))</f>
        <v>1E-3</v>
      </c>
      <c r="M35">
        <f>Table17[[#This Row],[srp]]*INDEX(Table59[k_SRP2PIP],MATCH(Table17[[#This Row],[site]],Table59[site],FALSE))</f>
        <v>2.7471192435053849E-2</v>
      </c>
      <c r="N35">
        <f>Table17[[#This Row],[iss]]*INDEX(Table59[k_ISS2PIP],MATCH(Table17[[#This Row],[site]],Table59[site],0))</f>
        <v>4.2315134851000106E-3</v>
      </c>
      <c r="O35">
        <f>Table17[[#This Row],[rop]]+Table17[[#This Row],[lop]]+Table17[[#This Row],[pip]]</f>
        <v>3.2702705920153861E-2</v>
      </c>
      <c r="P35">
        <f>(Table17[[#This Row],[nsrp_pred]]-Table17[[#This Row],[nsrp]])^2</f>
        <v>3.9561509566867525E-5</v>
      </c>
      <c r="Q35">
        <f>(Table17[[#This Row],[nsrp]]-INDEX(Table59[mean_nsrp],MATCH(Table17[[#This Row],[site]],Table59[site],0)))^2</f>
        <v>7.6010756354471789E-6</v>
      </c>
      <c r="AG35" t="s">
        <v>181</v>
      </c>
      <c r="AH35">
        <f>SUM(AH32:AH34)</f>
        <v>131</v>
      </c>
      <c r="AI35" t="str">
        <f>AVERAGE(AI32:AI34)&amp;" + "&amp;STDEV(AI32:AI34)</f>
        <v>0.00236601782306571 + 0.00285462995993998</v>
      </c>
      <c r="AJ35" t="str">
        <f>AVERAGE(AJ32:AJ34)&amp;" + "&amp;STDEV(AJ32:AJ34)</f>
        <v>1.01203811824321 + 0.411395581603463</v>
      </c>
      <c r="AK35" t="str">
        <f>AVERAGE(AK32:AK34)&amp;" + "&amp;STDEV(AK32:AK34)</f>
        <v>0.00137030564605195 + 0.00067920282680372</v>
      </c>
      <c r="AL35">
        <f>SUM(AL32:AL34)</f>
        <v>4.9781863048474269E-2</v>
      </c>
    </row>
    <row r="36" spans="1:42">
      <c r="A36" t="s">
        <v>15</v>
      </c>
      <c r="B36" t="s">
        <v>21</v>
      </c>
      <c r="C36">
        <v>1.3655535714285714E-2</v>
      </c>
      <c r="D36">
        <f>Table17[[#This Row],[iss]]/Table17[[#This Row],[tss]]</f>
        <v>0.42857142857142855</v>
      </c>
      <c r="E36">
        <v>3.5</v>
      </c>
      <c r="F36">
        <v>1.5</v>
      </c>
      <c r="G36">
        <v>2</v>
      </c>
      <c r="H36">
        <v>2.494E-2</v>
      </c>
      <c r="I36">
        <v>7.2734375000000004E-2</v>
      </c>
      <c r="J36">
        <v>4.7794375E-2</v>
      </c>
      <c r="K36">
        <v>0.34289151450053706</v>
      </c>
      <c r="L36">
        <f>Table17[[#This Row],[oss]]*INDEX(Table59[k_OSS2ROP],MATCH(Table17[[#This Row],[site]],Table59[site],FALSE))</f>
        <v>2E-3</v>
      </c>
      <c r="M36">
        <f>Table17[[#This Row],[srp]]*INDEX(Table59[k_SRP2PIP],MATCH(Table17[[#This Row],[site]],Table59[site],FALSE))</f>
        <v>2.2411892029121458E-2</v>
      </c>
      <c r="N36">
        <f>Table17[[#This Row],[iss]]*INDEX(Table59[k_ISS2PIP],MATCH(Table17[[#This Row],[site]],Table59[site],0))</f>
        <v>3.1736351138250078E-3</v>
      </c>
      <c r="O36">
        <f>Table17[[#This Row],[rop]]+Table17[[#This Row],[lop]]+Table17[[#This Row],[pip]]</f>
        <v>2.7585527142946466E-2</v>
      </c>
      <c r="P36">
        <f>(Table17[[#This Row],[nsrp_pred]]-Table17[[#This Row],[nsrp]])^2</f>
        <v>4.0839753170953725E-4</v>
      </c>
      <c r="Q36">
        <f>(Table17[[#This Row],[nsrp]]-INDEX(Table59[mean_nsrp],MATCH(Table17[[#This Row],[site]],Table59[site],0)))^2</f>
        <v>3.6540455366008253E-5</v>
      </c>
      <c r="T36" s="8" t="s">
        <v>15</v>
      </c>
      <c r="U36" s="9">
        <f>COUNTIF(Table17[site],Table59[[#This Row],[site]])</f>
        <v>0</v>
      </c>
      <c r="V36" s="9">
        <f>V$26</f>
        <v>1</v>
      </c>
      <c r="W36" s="9">
        <f t="shared" ref="W36:W38" si="3">W$26</f>
        <v>0.98018015937266456</v>
      </c>
      <c r="X36" s="9">
        <v>1.74324538964061E-3</v>
      </c>
      <c r="Y36" s="9">
        <f>SUMIF(Table17[site],Table59[[#This Row],[site]],Table17[sqresid])</f>
        <v>0</v>
      </c>
      <c r="Z36" s="12"/>
      <c r="AA36" s="12"/>
      <c r="AB36" s="12"/>
      <c r="AC36" s="12"/>
      <c r="AM36" s="9" t="e">
        <f>Table59[[#This Row],[sse]]/COUNTIF(Table17[site],Table59[[#This Row],[site]])</f>
        <v>#VALUE!</v>
      </c>
      <c r="AN36" s="9" t="e">
        <f>AVERAGEIF(Table17[site],Table59[[#This Row],[site]],Table17[nsrp])</f>
        <v>#DIV/0!</v>
      </c>
      <c r="AO36" s="9">
        <f>SUMIF(Table17[site],Table59[[#This Row],[site]],Table17[mean_resid])</f>
        <v>0</v>
      </c>
      <c r="AP36" s="9" t="e">
        <f>1-Table59[[#This Row],[sse]]/Table59[[#This Row],[sst]]</f>
        <v>#VALUE!</v>
      </c>
    </row>
    <row r="37" spans="1:42">
      <c r="A37" t="s">
        <v>15</v>
      </c>
      <c r="B37" t="s">
        <v>21</v>
      </c>
      <c r="C37">
        <v>1.1019999999999442E-2</v>
      </c>
      <c r="D37">
        <f>Table17[[#This Row],[iss]]/Table17[[#This Row],[tss]]</f>
        <v>1</v>
      </c>
      <c r="E37">
        <v>4.5000000000002274</v>
      </c>
      <c r="F37">
        <v>4.5000000000002274</v>
      </c>
      <c r="G37">
        <v>0</v>
      </c>
      <c r="H37">
        <v>2.2159999999999999E-2</v>
      </c>
      <c r="I37">
        <v>7.1749999999999994E-2</v>
      </c>
      <c r="J37">
        <v>4.9589999999999995E-2</v>
      </c>
      <c r="K37">
        <v>0.3088501742160279</v>
      </c>
      <c r="L37">
        <f>Table17[[#This Row],[oss]]*INDEX(Table59[k_OSS2ROP],MATCH(Table17[[#This Row],[site]],Table59[site],FALSE))</f>
        <v>0</v>
      </c>
      <c r="M37">
        <f>Table17[[#This Row],[srp]]*INDEX(Table59[k_SRP2PIP],MATCH(Table17[[#This Row],[site]],Table59[site],FALSE))</f>
        <v>1.9913693960117541E-2</v>
      </c>
      <c r="N37">
        <f>Table17[[#This Row],[iss]]*INDEX(Table59[k_ISS2PIP],MATCH(Table17[[#This Row],[site]],Table59[site],0))</f>
        <v>9.5209053414755055E-3</v>
      </c>
      <c r="O37">
        <f>Table17[[#This Row],[rop]]+Table17[[#This Row],[lop]]+Table17[[#This Row],[pip]]</f>
        <v>2.9434599301593048E-2</v>
      </c>
      <c r="P37">
        <f>(Table17[[#This Row],[nsrp_pred]]-Table17[[#This Row],[nsrp]])^2</f>
        <v>4.0624017731334325E-4</v>
      </c>
      <c r="Q37">
        <f>(Table17[[#This Row],[nsrp]]-INDEX(Table59[mean_nsrp],MATCH(Table17[[#This Row],[site]],Table59[site],0)))^2</f>
        <v>6.1473364502819542E-5</v>
      </c>
      <c r="T37" s="10" t="s">
        <v>26</v>
      </c>
      <c r="U37" s="11">
        <f>COUNTIF(Table17[site],Table59[[#This Row],[site]])</f>
        <v>0</v>
      </c>
      <c r="V37" s="11">
        <f t="shared" ref="V37:V38" si="4">V$26</f>
        <v>1</v>
      </c>
      <c r="W37" s="11">
        <f t="shared" si="3"/>
        <v>0.98018015937266456</v>
      </c>
      <c r="X37" s="11">
        <v>7.4632024731575367E-4</v>
      </c>
      <c r="Y37" s="11">
        <f>SUMIF(Table17[site],Table59[[#This Row],[site]],Table17[sqresid])</f>
        <v>0</v>
      </c>
      <c r="AG37" s="8" t="s">
        <v>15</v>
      </c>
      <c r="AH37" s="9">
        <f>COUNTIF(Table17[site],Table59[[#This Row],[site]])</f>
        <v>0</v>
      </c>
      <c r="AI37" s="9">
        <f t="shared" ref="AI37:AI38" si="5">0.001</f>
        <v>1E-3</v>
      </c>
      <c r="AJ37" s="9">
        <v>0.8986278826522377</v>
      </c>
      <c r="AK37" s="9">
        <v>2.115593053090576E-3</v>
      </c>
      <c r="AL37" s="9">
        <f>SUMIF(Table17[site],Table59[[#This Row],[site]],Table17[sqresid])</f>
        <v>0</v>
      </c>
      <c r="AM37" s="11" t="e">
        <f>Table59[[#This Row],[sse]]/COUNTIF(Table17[site],Table59[[#This Row],[site]])</f>
        <v>#VALUE!</v>
      </c>
      <c r="AN37" s="11" t="e">
        <f>AVERAGEIF(Table17[site],Table59[[#This Row],[site]],Table17[nsrp])</f>
        <v>#DIV/0!</v>
      </c>
      <c r="AO37" s="11">
        <f>SUMIF(Table17[site],Table59[[#This Row],[site]],Table17[mean_resid])</f>
        <v>0</v>
      </c>
      <c r="AP37" s="11" t="e">
        <f>1-Table59[[#This Row],[sse]]/Table59[[#This Row],[sst]]</f>
        <v>#VALUE!</v>
      </c>
    </row>
    <row r="38" spans="1:42">
      <c r="A38" t="s">
        <v>15</v>
      </c>
      <c r="B38" t="s">
        <v>21</v>
      </c>
      <c r="C38">
        <v>5.8857142857142734E-4</v>
      </c>
      <c r="D38">
        <f>Table17[[#This Row],[iss]]/Table17[[#This Row],[tss]]</f>
        <v>1</v>
      </c>
      <c r="E38">
        <v>3.5</v>
      </c>
      <c r="F38">
        <v>3.5</v>
      </c>
      <c r="G38">
        <v>0</v>
      </c>
      <c r="H38">
        <v>2.1340000000000001E-2</v>
      </c>
      <c r="I38">
        <v>2.3399999999999997E-2</v>
      </c>
      <c r="J38">
        <v>2.0599999999999959E-3</v>
      </c>
      <c r="K38">
        <v>0.91196581196581217</v>
      </c>
      <c r="L38">
        <f>Table17[[#This Row],[oss]]*INDEX(Table59[k_OSS2ROP],MATCH(Table17[[#This Row],[site]],Table59[site],FALSE))</f>
        <v>0</v>
      </c>
      <c r="M38">
        <f>Table17[[#This Row],[srp]]*INDEX(Table59[k_SRP2PIP],MATCH(Table17[[#This Row],[site]],Table59[site],FALSE))</f>
        <v>1.9176815393001281E-2</v>
      </c>
      <c r="N38">
        <f>Table17[[#This Row],[iss]]*INDEX(Table59[k_ISS2PIP],MATCH(Table17[[#This Row],[site]],Table59[site],0))</f>
        <v>7.4051485989250184E-3</v>
      </c>
      <c r="O38">
        <f>Table17[[#This Row],[rop]]+Table17[[#This Row],[lop]]+Table17[[#This Row],[pip]]</f>
        <v>2.6581963991926298E-2</v>
      </c>
      <c r="P38">
        <f>(Table17[[#This Row],[nsrp_pred]]-Table17[[#This Row],[nsrp]])^2</f>
        <v>6.0132671802133012E-4</v>
      </c>
      <c r="Q38">
        <f>(Table17[[#This Row],[nsrp]]-INDEX(Table59[mean_nsrp],MATCH(Table17[[#This Row],[site]],Table59[site],0)))^2</f>
        <v>1.5752567936909573E-3</v>
      </c>
      <c r="T38" s="8" t="s">
        <v>28</v>
      </c>
      <c r="U38" s="9">
        <f>COUNTIF(Table17[site],Table59[[#This Row],[site]])</f>
        <v>0</v>
      </c>
      <c r="V38" s="9">
        <f t="shared" si="4"/>
        <v>1</v>
      </c>
      <c r="W38" s="9">
        <f t="shared" si="3"/>
        <v>0.98018015937266456</v>
      </c>
      <c r="X38" s="9">
        <v>7.4633170786902331E-4</v>
      </c>
      <c r="Y38" s="9">
        <f>SUMIF(Table17[site],Table59[[#This Row],[site]],Table17[sqresid])</f>
        <v>0</v>
      </c>
      <c r="Z38" s="12"/>
      <c r="AA38" s="12"/>
      <c r="AB38" s="12"/>
      <c r="AC38" s="12"/>
      <c r="AG38" s="10" t="s">
        <v>26</v>
      </c>
      <c r="AH38" s="11">
        <f>COUNTIF(Table17[site],Table59[[#This Row],[site]])</f>
        <v>0</v>
      </c>
      <c r="AI38" s="9">
        <f t="shared" si="5"/>
        <v>1E-3</v>
      </c>
      <c r="AJ38" s="9">
        <v>0.62269703279947819</v>
      </c>
      <c r="AK38" s="11">
        <v>8.9984873098604813E-4</v>
      </c>
      <c r="AL38" s="11">
        <f>SUMIF(Table17[site],Table59[[#This Row],[site]],Table17[sqresid])</f>
        <v>0</v>
      </c>
      <c r="AM38" s="9" t="e">
        <f>Table59[[#This Row],[sse]]/COUNTIF(Table17[site],Table59[[#This Row],[site]])</f>
        <v>#VALUE!</v>
      </c>
      <c r="AN38" s="9" t="e">
        <f>AVERAGEIF(Table17[site],Table59[[#This Row],[site]],Table17[nsrp])</f>
        <v>#DIV/0!</v>
      </c>
      <c r="AO38" s="9">
        <f>SUMIF(Table17[site],Table59[[#This Row],[site]],Table17[mean_resid])</f>
        <v>0</v>
      </c>
      <c r="AP38" s="9" t="e">
        <f>1-Table59[[#This Row],[sse]]/Table59[[#This Row],[sst]]</f>
        <v>#VALUE!</v>
      </c>
    </row>
    <row r="39" spans="1:42">
      <c r="A39" t="s">
        <v>15</v>
      </c>
      <c r="B39" t="s">
        <v>21</v>
      </c>
      <c r="C39">
        <v>6.7537500000000002E-3</v>
      </c>
      <c r="D39">
        <f>Table17[[#This Row],[iss]]/Table17[[#This Row],[tss]]</f>
        <v>1</v>
      </c>
      <c r="E39">
        <v>8</v>
      </c>
      <c r="F39">
        <v>8</v>
      </c>
      <c r="G39">
        <v>0</v>
      </c>
      <c r="H39">
        <v>5.8970000000000002E-2</v>
      </c>
      <c r="I39">
        <v>0.113</v>
      </c>
      <c r="J39">
        <v>5.4030000000000002E-2</v>
      </c>
      <c r="K39">
        <v>0.52185840707964604</v>
      </c>
      <c r="L39">
        <f>Table17[[#This Row],[oss]]*INDEX(Table59[k_OSS2ROP],MATCH(Table17[[#This Row],[site]],Table59[site],FALSE))</f>
        <v>0</v>
      </c>
      <c r="M39">
        <f>Table17[[#This Row],[srp]]*INDEX(Table59[k_SRP2PIP],MATCH(Table17[[#This Row],[site]],Table59[site],FALSE))</f>
        <v>5.2992352564446364E-2</v>
      </c>
      <c r="N39">
        <f>Table17[[#This Row],[iss]]*INDEX(Table59[k_ISS2PIP],MATCH(Table17[[#This Row],[site]],Table59[site],0))</f>
        <v>1.6926053940400042E-2</v>
      </c>
      <c r="O39">
        <f>Table17[[#This Row],[rop]]+Table17[[#This Row],[lop]]+Table17[[#This Row],[pip]]</f>
        <v>6.9918406504846403E-2</v>
      </c>
      <c r="P39">
        <f>(Table17[[#This Row],[nsrp_pred]]-Table17[[#This Row],[nsrp]])^2</f>
        <v>2.5244146126324543E-4</v>
      </c>
      <c r="Q39">
        <f>(Table17[[#This Row],[nsrp]]-INDEX(Table59[mean_nsrp],MATCH(Table17[[#This Row],[site]],Table59[site],0)))^2</f>
        <v>1.5081056160790423E-4</v>
      </c>
      <c r="AG39" s="8" t="s">
        <v>28</v>
      </c>
      <c r="AH39" s="9">
        <f>COUNTIF(Table17[site],Table59[[#This Row],[site]])</f>
        <v>0</v>
      </c>
      <c r="AI39" s="9">
        <f>0.001</f>
        <v>1E-3</v>
      </c>
      <c r="AJ39" s="9">
        <v>1.4267167668911698</v>
      </c>
      <c r="AK39" s="9">
        <v>9.312478156546654E-4</v>
      </c>
      <c r="AL39" s="9">
        <f>SUMIF(Table17[site],Table59[[#This Row],[site]],Table17[sqresid])</f>
        <v>0</v>
      </c>
    </row>
    <row r="40" spans="1:42">
      <c r="A40" t="s">
        <v>15</v>
      </c>
      <c r="B40" t="s">
        <v>21</v>
      </c>
      <c r="C40">
        <v>3.3250526315789473E-3</v>
      </c>
      <c r="D40">
        <f>Table17[[#This Row],[iss]]/Table17[[#This Row],[tss]]</f>
        <v>1</v>
      </c>
      <c r="E40">
        <v>23.75</v>
      </c>
      <c r="F40">
        <v>23.75</v>
      </c>
      <c r="G40">
        <v>0</v>
      </c>
      <c r="H40">
        <v>2.8029999999999999E-2</v>
      </c>
      <c r="I40">
        <v>0.107</v>
      </c>
      <c r="J40">
        <v>7.8969999999999999E-2</v>
      </c>
      <c r="K40">
        <v>0.26196261682242988</v>
      </c>
      <c r="L40">
        <f>Table17[[#This Row],[oss]]*INDEX(Table59[k_OSS2ROP],MATCH(Table17[[#This Row],[site]],Table59[site],FALSE))</f>
        <v>0</v>
      </c>
      <c r="M40">
        <f>Table17[[#This Row],[srp]]*INDEX(Table59[k_SRP2PIP],MATCH(Table17[[#This Row],[site]],Table59[site],FALSE))</f>
        <v>2.5188666141791275E-2</v>
      </c>
      <c r="N40">
        <f>Table17[[#This Row],[iss]]*INDEX(Table59[k_ISS2PIP],MATCH(Table17[[#This Row],[site]],Table59[site],0))</f>
        <v>5.0249222635562626E-2</v>
      </c>
      <c r="O40">
        <f>Table17[[#This Row],[rop]]+Table17[[#This Row],[lop]]+Table17[[#This Row],[pip]]</f>
        <v>7.5437888777353898E-2</v>
      </c>
      <c r="P40">
        <f>(Table17[[#This Row],[nsrp_pred]]-Table17[[#This Row],[nsrp]])^2</f>
        <v>1.2475809689142531E-5</v>
      </c>
      <c r="Q40">
        <f>(Table17[[#This Row],[nsrp]]-INDEX(Table59[mean_nsrp],MATCH(Table17[[#This Row],[site]],Table59[site],0)))^2</f>
        <v>1.3853652606621403E-3</v>
      </c>
      <c r="AG40" t="s">
        <v>180</v>
      </c>
      <c r="AH40">
        <v>131</v>
      </c>
      <c r="AI40">
        <f>AVERAGE(AI37:AI39)</f>
        <v>1E-3</v>
      </c>
      <c r="AJ40">
        <f t="shared" ref="AJ40:AL40" si="6">AVERAGE(AJ37:AJ39)</f>
        <v>0.98268056078096189</v>
      </c>
      <c r="AK40">
        <f t="shared" si="6"/>
        <v>1.3155631999104299E-3</v>
      </c>
      <c r="AL40">
        <f t="shared" si="6"/>
        <v>0</v>
      </c>
    </row>
    <row r="41" spans="1:42">
      <c r="A41" t="s">
        <v>15</v>
      </c>
      <c r="B41" t="s">
        <v>21</v>
      </c>
      <c r="C41">
        <v>2.3292999999999998E-2</v>
      </c>
      <c r="D41">
        <f>Table17[[#This Row],[iss]]/Table17[[#This Row],[tss]]</f>
        <v>0.5</v>
      </c>
      <c r="E41">
        <v>2</v>
      </c>
      <c r="F41">
        <v>1</v>
      </c>
      <c r="G41">
        <v>1</v>
      </c>
      <c r="H41">
        <v>4.7213999999999999E-2</v>
      </c>
      <c r="I41">
        <v>9.3799999999999994E-2</v>
      </c>
      <c r="J41">
        <v>4.6585999999999995E-2</v>
      </c>
      <c r="K41">
        <v>0.50334754797441361</v>
      </c>
      <c r="L41">
        <f>Table17[[#This Row],[oss]]*INDEX(Table59[k_OSS2ROP],MATCH(Table17[[#This Row],[site]],Table59[site],FALSE))</f>
        <v>1E-3</v>
      </c>
      <c r="M41">
        <f>Table17[[#This Row],[srp]]*INDEX(Table59[k_SRP2PIP],MATCH(Table17[[#This Row],[site]],Table59[site],FALSE))</f>
        <v>4.2428030082716138E-2</v>
      </c>
      <c r="N41">
        <f>Table17[[#This Row],[iss]]*INDEX(Table59[k_ISS2PIP],MATCH(Table17[[#This Row],[site]],Table59[site],0))</f>
        <v>2.1157567425500053E-3</v>
      </c>
      <c r="O41">
        <f>Table17[[#This Row],[rop]]+Table17[[#This Row],[lop]]+Table17[[#This Row],[pip]]</f>
        <v>4.5543786825266143E-2</v>
      </c>
      <c r="P41">
        <f>(Table17[[#This Row],[nsrp_pred]]-Table17[[#This Row],[nsrp]])^2</f>
        <v>1.0862083015888158E-6</v>
      </c>
      <c r="Q41">
        <f>(Table17[[#This Row],[nsrp]]-INDEX(Table59[mean_nsrp],MATCH(Table17[[#This Row],[site]],Table59[site],0)))^2</f>
        <v>2.3391685524514616E-5</v>
      </c>
    </row>
    <row r="42" spans="1:42">
      <c r="A42" t="s">
        <v>15</v>
      </c>
      <c r="B42" t="s">
        <v>21</v>
      </c>
      <c r="C42">
        <v>2.4419500000000004E-2</v>
      </c>
      <c r="D42">
        <f>Table17[[#This Row],[iss]]/Table17[[#This Row],[tss]]</f>
        <v>0</v>
      </c>
      <c r="E42">
        <v>2</v>
      </c>
      <c r="F42">
        <v>0</v>
      </c>
      <c r="G42">
        <v>2</v>
      </c>
      <c r="H42">
        <v>8.1160999999999997E-2</v>
      </c>
      <c r="I42">
        <v>0.13</v>
      </c>
      <c r="J42">
        <v>4.8839000000000007E-2</v>
      </c>
      <c r="K42">
        <v>0.62431538461538461</v>
      </c>
      <c r="L42">
        <f>Table17[[#This Row],[oss]]*INDEX(Table59[k_OSS2ROP],MATCH(Table17[[#This Row],[site]],Table59[site],FALSE))</f>
        <v>2E-3</v>
      </c>
      <c r="M42">
        <f>Table17[[#This Row],[srp]]*INDEX(Table59[k_SRP2PIP],MATCH(Table17[[#This Row],[site]],Table59[site],FALSE))</f>
        <v>7.2933904128930499E-2</v>
      </c>
      <c r="N42">
        <f>Table17[[#This Row],[iss]]*INDEX(Table59[k_ISS2PIP],MATCH(Table17[[#This Row],[site]],Table59[site],0))</f>
        <v>0</v>
      </c>
      <c r="O42">
        <f>Table17[[#This Row],[rop]]+Table17[[#This Row],[lop]]+Table17[[#This Row],[pip]]</f>
        <v>7.4933904128930501E-2</v>
      </c>
      <c r="P42">
        <f>(Table17[[#This Row],[nsrp_pred]]-Table17[[#This Row],[nsrp]])^2</f>
        <v>6.8094402149807367E-4</v>
      </c>
      <c r="Q42">
        <f>(Table17[[#This Row],[nsrp]]-INDEX(Table59[mean_nsrp],MATCH(Table17[[#This Row],[site]],Table59[site],0)))^2</f>
        <v>5.0260941758243488E-5</v>
      </c>
      <c r="AG42" t="s">
        <v>15</v>
      </c>
      <c r="AH42">
        <v>59</v>
      </c>
      <c r="AI42">
        <v>1.5E-3</v>
      </c>
      <c r="AJ42">
        <v>0.88005664761450175</v>
      </c>
      <c r="AK42">
        <v>2.1192751763272782E-3</v>
      </c>
      <c r="AL42">
        <v>2.2682386651714653E-2</v>
      </c>
    </row>
    <row r="43" spans="1:42">
      <c r="A43" t="s">
        <v>15</v>
      </c>
      <c r="B43" t="s">
        <v>21</v>
      </c>
      <c r="C43">
        <v>2.3924399999999998E-2</v>
      </c>
      <c r="D43">
        <f>Table17[[#This Row],[iss]]/Table17[[#This Row],[tss]]</f>
        <v>0.2</v>
      </c>
      <c r="E43">
        <v>2.5</v>
      </c>
      <c r="F43">
        <v>0.5</v>
      </c>
      <c r="G43">
        <v>2</v>
      </c>
      <c r="H43">
        <v>5.9188999999999999E-2</v>
      </c>
      <c r="I43">
        <v>0.11899999999999999</v>
      </c>
      <c r="J43">
        <v>5.9810999999999996E-2</v>
      </c>
      <c r="K43">
        <v>0.49738655462184878</v>
      </c>
      <c r="L43">
        <f>Table17[[#This Row],[oss]]*INDEX(Table59[k_OSS2ROP],MATCH(Table17[[#This Row],[site]],Table59[site],FALSE))</f>
        <v>2E-3</v>
      </c>
      <c r="M43">
        <f>Table17[[#This Row],[srp]]*INDEX(Table59[k_SRP2PIP],MATCH(Table17[[#This Row],[site]],Table59[site],FALSE))</f>
        <v>5.318915305981034E-2</v>
      </c>
      <c r="N43">
        <f>Table17[[#This Row],[iss]]*INDEX(Table59[k_ISS2PIP],MATCH(Table17[[#This Row],[site]],Table59[site],0))</f>
        <v>1.0578783712750027E-3</v>
      </c>
      <c r="O43">
        <f>Table17[[#This Row],[rop]]+Table17[[#This Row],[lop]]+Table17[[#This Row],[pip]]</f>
        <v>5.6247031431085344E-2</v>
      </c>
      <c r="P43">
        <f>(Table17[[#This Row],[nsrp_pred]]-Table17[[#This Row],[nsrp]])^2</f>
        <v>1.2701871960211553E-5</v>
      </c>
      <c r="Q43">
        <f>(Table17[[#This Row],[nsrp]]-INDEX(Table59[mean_nsrp],MATCH(Table17[[#This Row],[site]],Table59[site],0)))^2</f>
        <v>3.2621760775756483E-4</v>
      </c>
      <c r="AG43" t="s">
        <v>26</v>
      </c>
      <c r="AH43">
        <v>38</v>
      </c>
      <c r="AI43">
        <v>1.5E-3</v>
      </c>
      <c r="AJ43">
        <v>0.21015128112837184</v>
      </c>
      <c r="AK43">
        <v>9.0562238239288203E-4</v>
      </c>
      <c r="AL43">
        <v>4.1117335424359393E-2</v>
      </c>
    </row>
    <row r="44" spans="1:42">
      <c r="A44" t="s">
        <v>15</v>
      </c>
      <c r="B44" t="s">
        <v>21</v>
      </c>
      <c r="C44">
        <v>0.11045969999999999</v>
      </c>
      <c r="D44">
        <f>Table17[[#This Row],[iss]]/Table17[[#This Row],[tss]]</f>
        <v>0</v>
      </c>
      <c r="E44">
        <v>0.51282051282051289</v>
      </c>
      <c r="F44">
        <v>0</v>
      </c>
      <c r="G44">
        <v>0.51282051282051289</v>
      </c>
      <c r="H44">
        <v>5.5354E-2</v>
      </c>
      <c r="I44">
        <v>0.112</v>
      </c>
      <c r="J44">
        <v>5.6646000000000002E-2</v>
      </c>
      <c r="K44">
        <v>0.49423214285714284</v>
      </c>
      <c r="L44">
        <f>Table17[[#This Row],[oss]]*INDEX(Table59[k_OSS2ROP],MATCH(Table17[[#This Row],[site]],Table59[site],FALSE))</f>
        <v>5.1282051282051293E-4</v>
      </c>
      <c r="M44">
        <f>Table17[[#This Row],[srp]]*INDEX(Table59[k_SRP2PIP],MATCH(Table17[[#This Row],[site]],Table59[site],FALSE))</f>
        <v>4.9742897809943433E-2</v>
      </c>
      <c r="N44">
        <f>Table17[[#This Row],[iss]]*INDEX(Table59[k_ISS2PIP],MATCH(Table17[[#This Row],[site]],Table59[site],0))</f>
        <v>0</v>
      </c>
      <c r="O44">
        <f>Table17[[#This Row],[rop]]+Table17[[#This Row],[lop]]+Table17[[#This Row],[pip]]</f>
        <v>5.0255718322763945E-2</v>
      </c>
      <c r="P44">
        <f>(Table17[[#This Row],[nsrp_pred]]-Table17[[#This Row],[nsrp]])^2</f>
        <v>4.0835699914418867E-5</v>
      </c>
      <c r="Q44">
        <f>(Table17[[#This Row],[nsrp]]-INDEX(Table59[mean_nsrp],MATCH(Table17[[#This Row],[site]],Table59[site],0)))^2</f>
        <v>2.2190556833468381E-4</v>
      </c>
      <c r="AG44" t="s">
        <v>28</v>
      </c>
      <c r="AH44">
        <v>34</v>
      </c>
      <c r="AI44">
        <v>1.5E-3</v>
      </c>
      <c r="AJ44">
        <v>1.3176216917132855</v>
      </c>
      <c r="AK44">
        <v>7.3740567953355768E-4</v>
      </c>
      <c r="AL44">
        <v>2.379863905951865E-2</v>
      </c>
    </row>
    <row r="45" spans="1:42">
      <c r="A45" t="s">
        <v>15</v>
      </c>
      <c r="B45" t="s">
        <v>21</v>
      </c>
      <c r="C45">
        <v>1.8155666666666667E-2</v>
      </c>
      <c r="D45">
        <f>Table17[[#This Row],[iss]]/Table17[[#This Row],[tss]]</f>
        <v>0.33333333333333331</v>
      </c>
      <c r="E45">
        <v>3</v>
      </c>
      <c r="F45">
        <v>1</v>
      </c>
      <c r="G45">
        <v>2</v>
      </c>
      <c r="H45">
        <v>1.8332999999999999E-2</v>
      </c>
      <c r="I45">
        <v>7.2800000000000004E-2</v>
      </c>
      <c r="J45">
        <v>5.4467000000000002E-2</v>
      </c>
      <c r="K45">
        <v>0.25182692307692306</v>
      </c>
      <c r="L45">
        <f>Table17[[#This Row],[oss]]*INDEX(Table59[k_OSS2ROP],MATCH(Table17[[#This Row],[site]],Table59[site],FALSE))</f>
        <v>2E-3</v>
      </c>
      <c r="M45">
        <f>Table17[[#This Row],[srp]]*INDEX(Table59[k_SRP2PIP],MATCH(Table17[[#This Row],[site]],Table59[site],FALSE))</f>
        <v>1.6474627769442005E-2</v>
      </c>
      <c r="N45">
        <f>Table17[[#This Row],[iss]]*INDEX(Table59[k_ISS2PIP],MATCH(Table17[[#This Row],[site]],Table59[site],0))</f>
        <v>2.1157567425500053E-3</v>
      </c>
      <c r="O45">
        <f>Table17[[#This Row],[rop]]+Table17[[#This Row],[lop]]+Table17[[#This Row],[pip]]</f>
        <v>2.0590384511992008E-2</v>
      </c>
      <c r="P45">
        <f>(Table17[[#This Row],[nsrp_pred]]-Table17[[#This Row],[nsrp]])^2</f>
        <v>1.1476250769223431E-3</v>
      </c>
      <c r="Q45">
        <f>(Table17[[#This Row],[nsrp]]-INDEX(Table59[mean_nsrp],MATCH(Table17[[#This Row],[site]],Table59[site],0)))^2</f>
        <v>1.6173468338603981E-4</v>
      </c>
      <c r="AG45" t="s">
        <v>180</v>
      </c>
      <c r="AH45">
        <v>131</v>
      </c>
      <c r="AI45">
        <v>1.5000000000000002E-3</v>
      </c>
      <c r="AJ45">
        <v>0.80260987348538626</v>
      </c>
      <c r="AK45">
        <v>1.2541010794179059E-3</v>
      </c>
      <c r="AL45">
        <v>8.7598361135592689E-2</v>
      </c>
    </row>
    <row r="46" spans="1:42">
      <c r="A46" t="s">
        <v>15</v>
      </c>
      <c r="B46" t="s">
        <v>21</v>
      </c>
      <c r="C46">
        <v>1.6076130000000001E-2</v>
      </c>
      <c r="D46">
        <f>Table17[[#This Row],[iss]]/Table17[[#This Row],[tss]]</f>
        <v>0.6</v>
      </c>
      <c r="E46">
        <v>2.7027027027027026</v>
      </c>
      <c r="F46">
        <v>1.6216216216216215</v>
      </c>
      <c r="G46">
        <v>1.0810810810810811</v>
      </c>
      <c r="H46">
        <v>7.1551000000000003E-2</v>
      </c>
      <c r="I46">
        <v>0.115</v>
      </c>
      <c r="J46">
        <v>4.3449000000000002E-2</v>
      </c>
      <c r="K46">
        <v>0.62218260869565223</v>
      </c>
      <c r="L46">
        <f>Table17[[#This Row],[oss]]*INDEX(Table59[k_OSS2ROP],MATCH(Table17[[#This Row],[site]],Table59[site],FALSE))</f>
        <v>1.0810810810810811E-3</v>
      </c>
      <c r="M46">
        <f>Table17[[#This Row],[srp]]*INDEX(Table59[k_SRP2PIP],MATCH(Table17[[#This Row],[site]],Table59[site],FALSE))</f>
        <v>6.4298046775287471E-2</v>
      </c>
      <c r="N46">
        <f>Table17[[#This Row],[iss]]*INDEX(Table59[k_ISS2PIP],MATCH(Table17[[#This Row],[site]],Table59[site],0))</f>
        <v>3.430956879810819E-3</v>
      </c>
      <c r="O46">
        <f>Table17[[#This Row],[rop]]+Table17[[#This Row],[lop]]+Table17[[#This Row],[pip]]</f>
        <v>6.8810084736179375E-2</v>
      </c>
      <c r="P46">
        <f>(Table17[[#This Row],[nsrp_pred]]-Table17[[#This Row],[nsrp]])^2</f>
        <v>6.4318461899567035E-4</v>
      </c>
      <c r="Q46">
        <f>(Table17[[#This Row],[nsrp]]-INDEX(Table59[mean_nsrp],MATCH(Table17[[#This Row],[site]],Table59[site],0)))^2</f>
        <v>2.8882838311249643E-6</v>
      </c>
    </row>
    <row r="47" spans="1:42">
      <c r="A47" t="s">
        <v>15</v>
      </c>
      <c r="B47" t="s">
        <v>21</v>
      </c>
      <c r="C47">
        <v>5.3840655555555542E-3</v>
      </c>
      <c r="D47">
        <f>Table17[[#This Row],[iss]]/Table17[[#This Row],[tss]]</f>
        <v>0.66666666666666674</v>
      </c>
      <c r="E47">
        <v>9.8901098901098905</v>
      </c>
      <c r="F47">
        <v>6.593406593406594</v>
      </c>
      <c r="G47">
        <v>3.2967032967032965</v>
      </c>
      <c r="H47">
        <v>6.8751000000000007E-2</v>
      </c>
      <c r="I47">
        <v>0.122</v>
      </c>
      <c r="J47">
        <v>5.3248999999999991E-2</v>
      </c>
      <c r="K47">
        <v>0.563532786885246</v>
      </c>
      <c r="L47">
        <f>Table17[[#This Row],[oss]]*INDEX(Table59[k_OSS2ROP],MATCH(Table17[[#This Row],[site]],Table59[site],FALSE))</f>
        <v>3.2967032967032967E-3</v>
      </c>
      <c r="M47">
        <f>Table17[[#This Row],[srp]]*INDEX(Table59[k_SRP2PIP],MATCH(Table17[[#This Row],[site]],Table59[site],FALSE))</f>
        <v>6.178187605830511E-2</v>
      </c>
      <c r="N47">
        <f>Table17[[#This Row],[iss]]*INDEX(Table59[k_ISS2PIP],MATCH(Table17[[#This Row],[site]],Table59[site],0))</f>
        <v>1.3950044456373663E-2</v>
      </c>
      <c r="O47">
        <f>Table17[[#This Row],[rop]]+Table17[[#This Row],[lop]]+Table17[[#This Row],[pip]]</f>
        <v>7.9028623811382065E-2</v>
      </c>
      <c r="P47">
        <f>(Table17[[#This Row],[nsrp_pred]]-Table17[[#This Row],[nsrp]])^2</f>
        <v>6.6458900385637761E-4</v>
      </c>
      <c r="Q47">
        <f>(Table17[[#This Row],[nsrp]]-INDEX(Table59[mean_nsrp],MATCH(Table17[[#This Row],[site]],Table59[site],0)))^2</f>
        <v>1.3223838915315826E-4</v>
      </c>
    </row>
    <row r="48" spans="1:42">
      <c r="A48" t="s">
        <v>15</v>
      </c>
      <c r="B48" t="s">
        <v>21</v>
      </c>
      <c r="C48">
        <v>5.0265600000000014E-2</v>
      </c>
      <c r="D48">
        <f>Table17[[#This Row],[iss]]/Table17[[#This Row],[tss]]</f>
        <v>1</v>
      </c>
      <c r="E48">
        <v>0.59523809523809523</v>
      </c>
      <c r="F48">
        <v>0.59523809523809523</v>
      </c>
      <c r="G48">
        <v>0</v>
      </c>
      <c r="H48">
        <v>5.5079999999999997E-2</v>
      </c>
      <c r="I48">
        <v>8.5000000000000006E-2</v>
      </c>
      <c r="J48">
        <v>2.9920000000000009E-2</v>
      </c>
      <c r="K48">
        <v>0.64799999999999991</v>
      </c>
      <c r="L48">
        <f>Table17[[#This Row],[oss]]*INDEX(Table59[k_OSS2ROP],MATCH(Table17[[#This Row],[site]],Table59[site],FALSE))</f>
        <v>0</v>
      </c>
      <c r="M48">
        <f>Table17[[#This Row],[srp]]*INDEX(Table59[k_SRP2PIP],MATCH(Table17[[#This Row],[site]],Table59[site],FALSE))</f>
        <v>4.9496672532638723E-2</v>
      </c>
      <c r="N48">
        <f>Table17[[#This Row],[iss]]*INDEX(Table59[k_ISS2PIP],MATCH(Table17[[#This Row],[site]],Table59[site],0))</f>
        <v>1.2593790134226221E-3</v>
      </c>
      <c r="O48">
        <f>Table17[[#This Row],[rop]]+Table17[[#This Row],[lop]]+Table17[[#This Row],[pip]]</f>
        <v>5.0756051546061345E-2</v>
      </c>
      <c r="P48">
        <f>(Table17[[#This Row],[nsrp_pred]]-Table17[[#This Row],[nsrp]])^2</f>
        <v>4.3414104403012501E-4</v>
      </c>
      <c r="Q48">
        <f>(Table17[[#This Row],[nsrp]]-INDEX(Table59[mean_nsrp],MATCH(Table17[[#This Row],[site]],Table59[site],0)))^2</f>
        <v>1.399371845350236E-4</v>
      </c>
    </row>
    <row r="49" spans="1:17" hidden="1">
      <c r="A49" t="s">
        <v>15</v>
      </c>
      <c r="B49" t="s">
        <v>21</v>
      </c>
      <c r="C49">
        <v>2.1259199999999999E-2</v>
      </c>
      <c r="D49">
        <f>Table17[[#This Row],[iss]]/Table17[[#This Row],[tss]]</f>
        <v>-0.4</v>
      </c>
      <c r="E49">
        <v>2.5</v>
      </c>
      <c r="F49">
        <v>-1</v>
      </c>
      <c r="G49">
        <v>3.5</v>
      </c>
      <c r="H49">
        <v>5.2852000000000003E-2</v>
      </c>
      <c r="I49">
        <v>0.106</v>
      </c>
      <c r="J49">
        <v>5.3147999999999994E-2</v>
      </c>
      <c r="K49">
        <v>0.49860377358490571</v>
      </c>
      <c r="L49">
        <f>Table17[[#This Row],[oss]]*INDEX(Table59[k_OSS2ROP],MATCH(Table17[[#This Row],[site]],Table59[site],FALSE))</f>
        <v>3.5000000000000001E-3</v>
      </c>
      <c r="M49">
        <f>Table17[[#This Row],[srp]]*INDEX(Table59[k_SRP2PIP],MATCH(Table17[[#This Row],[site]],Table59[site],FALSE))</f>
        <v>4.7494519547839911E-2</v>
      </c>
      <c r="N49">
        <f>Table17[[#This Row],[iss]]*INDEX(Table59[k_ISS2PIP],MATCH(Table17[[#This Row],[site]],Table59[site],FALSE))</f>
        <v>-2.1157567425500053E-3</v>
      </c>
      <c r="O49">
        <f>Table17[[#This Row],[rop]]+Table17[[#This Row],[lop]]+Table17[[#This Row],[pip]]</f>
        <v>4.887876280528991E-2</v>
      </c>
      <c r="P49">
        <f>(Table17[[#This Row],[nsrp_pred]]-Table17[[#This Row],[nsrp]])^2</f>
        <v>1.8226386224696022E-5</v>
      </c>
      <c r="Q49">
        <f>(Table17[[#This Row],[nsrp]]-INDEX(Table59[mean_nsrp],MATCH(Table17[[#This Row],[site]],Table59[site],0)))^2</f>
        <v>1.2992569212892104E-4</v>
      </c>
    </row>
    <row r="50" spans="1:17">
      <c r="A50" t="s">
        <v>15</v>
      </c>
      <c r="B50" t="s">
        <v>21</v>
      </c>
      <c r="C50">
        <v>1.6550800000000001E-2</v>
      </c>
      <c r="D50">
        <f>Table17[[#This Row],[iss]]/Table17[[#This Row],[tss]]</f>
        <v>0.4</v>
      </c>
      <c r="E50">
        <v>2.5</v>
      </c>
      <c r="F50">
        <v>1</v>
      </c>
      <c r="G50">
        <v>1.5</v>
      </c>
      <c r="H50">
        <v>4.6023000000000001E-2</v>
      </c>
      <c r="I50">
        <v>8.7400000000000005E-2</v>
      </c>
      <c r="J50">
        <v>4.1377000000000004E-2</v>
      </c>
      <c r="K50">
        <v>0.52657894736842104</v>
      </c>
      <c r="L50">
        <f>Table17[[#This Row],[oss]]*INDEX(Table59[k_OSS2ROP],MATCH(Table17[[#This Row],[site]],Table59[site],FALSE))</f>
        <v>1.5E-3</v>
      </c>
      <c r="M50">
        <f>Table17[[#This Row],[srp]]*INDEX(Table59[k_SRP2PIP],MATCH(Table17[[#This Row],[site]],Table59[site],FALSE))</f>
        <v>4.1357758895599714E-2</v>
      </c>
      <c r="N50">
        <f>Table17[[#This Row],[iss]]*INDEX(Table59[k_ISS2PIP],MATCH(Table17[[#This Row],[site]],Table59[site],0))</f>
        <v>2.1157567425500053E-3</v>
      </c>
      <c r="O50">
        <f>Table17[[#This Row],[rop]]+Table17[[#This Row],[lop]]+Table17[[#This Row],[pip]]</f>
        <v>4.4973515638149719E-2</v>
      </c>
      <c r="P50">
        <f>(Table17[[#This Row],[nsrp_pred]]-Table17[[#This Row],[nsrp]])^2</f>
        <v>1.2934924735455453E-5</v>
      </c>
      <c r="Q50">
        <f>(Table17[[#This Row],[nsrp]]-INDEX(Table59[mean_nsrp],MATCH(Table17[[#This Row],[site]],Table59[site],0)))^2</f>
        <v>1.3875984875215963E-7</v>
      </c>
    </row>
    <row r="51" spans="1:17" hidden="1">
      <c r="A51" t="s">
        <v>15</v>
      </c>
      <c r="B51" t="s">
        <v>21</v>
      </c>
      <c r="C51">
        <v>3.7738181818182011E-2</v>
      </c>
      <c r="D51">
        <f>Table17[[#This Row],[iss]]/Table17[[#This Row],[tss]]</f>
        <v>1.8181818181818277</v>
      </c>
      <c r="E51">
        <v>1.0999999999999943</v>
      </c>
      <c r="F51">
        <v>2</v>
      </c>
      <c r="G51">
        <v>-0.90000000000000568</v>
      </c>
      <c r="H51">
        <v>2.5388000000000001E-2</v>
      </c>
      <c r="I51">
        <v>6.6900000000000001E-2</v>
      </c>
      <c r="J51">
        <v>4.1512E-2</v>
      </c>
      <c r="K51">
        <v>0.37949177877428997</v>
      </c>
      <c r="L51">
        <f>Table17[[#This Row],[oss]]*INDEX(Table59[k_OSS2ROP],MATCH(Table17[[#This Row],[site]],Table59[site],FALSE))</f>
        <v>-9.0000000000000572E-4</v>
      </c>
      <c r="M51">
        <f>Table17[[#This Row],[srp]]*INDEX(Table59[k_SRP2PIP],MATCH(Table17[[#This Row],[site]],Table59[site],FALSE))</f>
        <v>2.2814479343838637E-2</v>
      </c>
      <c r="N51">
        <f>Table17[[#This Row],[iss]]*INDEX(Table59[k_ISS2PIP],MATCH(Table17[[#This Row],[site]],Table59[site],FALSE))</f>
        <v>4.2315134851000106E-3</v>
      </c>
      <c r="O51">
        <f>Table17[[#This Row],[rop]]+Table17[[#This Row],[lop]]+Table17[[#This Row],[pip]]</f>
        <v>2.6145992828938643E-2</v>
      </c>
      <c r="P51">
        <f>(Table17[[#This Row],[nsrp_pred]]-Table17[[#This Row],[nsrp]])^2</f>
        <v>2.3611417638110904E-4</v>
      </c>
      <c r="Q51">
        <f>(Table17[[#This Row],[nsrp]]-INDEX(Table59[mean_nsrp],MATCH(Table17[[#This Row],[site]],Table59[site],0)))^2</f>
        <v>5.6408544514868844E-8</v>
      </c>
    </row>
    <row r="52" spans="1:17">
      <c r="A52" t="s">
        <v>15</v>
      </c>
      <c r="B52" t="s">
        <v>21</v>
      </c>
      <c r="C52">
        <v>3.7377631578947401E-3</v>
      </c>
      <c r="D52">
        <f>Table17[[#This Row],[iss]]/Table17[[#This Row],[tss]]</f>
        <v>0.65789473684210575</v>
      </c>
      <c r="E52">
        <v>7.5999999999999943</v>
      </c>
      <c r="F52">
        <v>5</v>
      </c>
      <c r="G52">
        <v>2.5999999999999943</v>
      </c>
      <c r="H52">
        <v>1.8793000000000001E-2</v>
      </c>
      <c r="I52">
        <v>4.7200000000000006E-2</v>
      </c>
      <c r="J52">
        <v>2.8407000000000005E-2</v>
      </c>
      <c r="K52">
        <v>0.39815677966101692</v>
      </c>
      <c r="L52">
        <f>Table17[[#This Row],[oss]]*INDEX(Table59[k_OSS2ROP],MATCH(Table17[[#This Row],[site]],Table59[site],FALSE))</f>
        <v>2.5999999999999942E-3</v>
      </c>
      <c r="M52">
        <f>Table17[[#This Row],[srp]]*INDEX(Table59[k_SRP2PIP],MATCH(Table17[[#This Row],[site]],Table59[site],FALSE))</f>
        <v>1.6887998672946252E-2</v>
      </c>
      <c r="N52">
        <f>Table17[[#This Row],[iss]]*INDEX(Table59[k_ISS2PIP],MATCH(Table17[[#This Row],[site]],Table59[site],0))</f>
        <v>1.0578783712750027E-2</v>
      </c>
      <c r="O52">
        <f>Table17[[#This Row],[rop]]+Table17[[#This Row],[lop]]+Table17[[#This Row],[pip]]</f>
        <v>3.0066782385696274E-2</v>
      </c>
      <c r="P52">
        <f>(Table17[[#This Row],[nsrp_pred]]-Table17[[#This Row],[nsrp]])^2</f>
        <v>2.7548775678675969E-6</v>
      </c>
      <c r="Q52">
        <f>(Table17[[#This Row],[nsrp]]-INDEX(Table59[mean_nsrp],MATCH(Table17[[#This Row],[site]],Table59[site],0)))^2</f>
        <v>1.7802243515214238E-4</v>
      </c>
    </row>
    <row r="53" spans="1:17">
      <c r="A53" t="s">
        <v>15</v>
      </c>
      <c r="B53" t="s">
        <v>21</v>
      </c>
      <c r="C53">
        <v>2.4968849999999994E-2</v>
      </c>
      <c r="D53">
        <f>Table17[[#This Row],[iss]]/Table17[[#This Row],[tss]]</f>
        <v>1</v>
      </c>
      <c r="E53">
        <v>1.0526315789473684</v>
      </c>
      <c r="F53">
        <v>1.0526315789473684</v>
      </c>
      <c r="G53">
        <v>0</v>
      </c>
      <c r="H53">
        <v>3.1517000000000003E-2</v>
      </c>
      <c r="I53">
        <v>5.7799999999999997E-2</v>
      </c>
      <c r="J53">
        <v>2.6282999999999994E-2</v>
      </c>
      <c r="K53">
        <v>0.54527681660899663</v>
      </c>
      <c r="L53">
        <f>Table17[[#This Row],[oss]]*INDEX(Table59[k_OSS2ROP],MATCH(Table17[[#This Row],[site]],Table59[site],FALSE))</f>
        <v>0</v>
      </c>
      <c r="M53">
        <f>Table17[[#This Row],[srp]]*INDEX(Table59[k_SRP2PIP],MATCH(Table17[[#This Row],[site]],Table59[site],FALSE))</f>
        <v>2.8322197316833241E-2</v>
      </c>
      <c r="N53">
        <f>Table17[[#This Row],[iss]]*INDEX(Table59[k_ISS2PIP],MATCH(Table17[[#This Row],[site]],Table59[site],0))</f>
        <v>2.2271123605789528E-3</v>
      </c>
      <c r="O53">
        <f>Table17[[#This Row],[rop]]+Table17[[#This Row],[lop]]+Table17[[#This Row],[pip]]</f>
        <v>3.0549309677412192E-2</v>
      </c>
      <c r="P53">
        <f>(Table17[[#This Row],[nsrp_pred]]-Table17[[#This Row],[nsrp]])^2</f>
        <v>1.8201398263580979E-5</v>
      </c>
      <c r="Q53">
        <f>(Table17[[#This Row],[nsrp]]-INDEX(Table59[mean_nsrp],MATCH(Table17[[#This Row],[site]],Table59[site],0)))^2</f>
        <v>2.3921277167214281E-4</v>
      </c>
    </row>
    <row r="54" spans="1:17">
      <c r="A54" t="s">
        <v>15</v>
      </c>
      <c r="B54" t="s">
        <v>21</v>
      </c>
      <c r="C54">
        <v>2.4251000000000005E-2</v>
      </c>
      <c r="D54">
        <f>Table17[[#This Row],[iss]]/Table17[[#This Row],[tss]]</f>
        <v>1</v>
      </c>
      <c r="E54">
        <v>1</v>
      </c>
      <c r="F54">
        <v>1</v>
      </c>
      <c r="G54">
        <v>0</v>
      </c>
      <c r="H54">
        <v>2.0948999999999999E-2</v>
      </c>
      <c r="I54">
        <v>4.5200000000000004E-2</v>
      </c>
      <c r="J54">
        <v>2.4251000000000005E-2</v>
      </c>
      <c r="K54">
        <v>0.46347345132743356</v>
      </c>
      <c r="L54">
        <f>Table17[[#This Row],[oss]]*INDEX(Table59[k_OSS2ROP],MATCH(Table17[[#This Row],[site]],Table59[site],FALSE))</f>
        <v>0</v>
      </c>
      <c r="M54">
        <f>Table17[[#This Row],[srp]]*INDEX(Table59[k_SRP2PIP],MATCH(Table17[[#This Row],[site]],Table59[site],FALSE))</f>
        <v>1.882545012502267E-2</v>
      </c>
      <c r="N54">
        <f>Table17[[#This Row],[iss]]*INDEX(Table59[k_ISS2PIP],MATCH(Table17[[#This Row],[site]],Table59[site],0))</f>
        <v>2.1157567425500053E-3</v>
      </c>
      <c r="O54">
        <f>Table17[[#This Row],[rop]]+Table17[[#This Row],[lop]]+Table17[[#This Row],[pip]]</f>
        <v>2.0941206867572674E-2</v>
      </c>
      <c r="P54">
        <f>(Table17[[#This Row],[nsrp_pred]]-Table17[[#This Row],[nsrp]])^2</f>
        <v>1.0954730579463126E-5</v>
      </c>
      <c r="Q54">
        <f>(Table17[[#This Row],[nsrp]]-INDEX(Table59[mean_nsrp],MATCH(Table17[[#This Row],[site]],Table59[site],0)))^2</f>
        <v>3.0619767130332897E-4</v>
      </c>
    </row>
    <row r="55" spans="1:17">
      <c r="A55" t="s">
        <v>15</v>
      </c>
      <c r="B55" t="s">
        <v>21</v>
      </c>
      <c r="C55">
        <v>1.6122000000000004E-2</v>
      </c>
      <c r="D55">
        <f>Table17[[#This Row],[iss]]/Table17[[#This Row],[tss]]</f>
        <v>0</v>
      </c>
      <c r="E55">
        <v>1</v>
      </c>
      <c r="F55">
        <v>0</v>
      </c>
      <c r="G55">
        <v>1</v>
      </c>
      <c r="H55">
        <v>2.6377999999999999E-2</v>
      </c>
      <c r="I55">
        <v>4.2500000000000003E-2</v>
      </c>
      <c r="J55">
        <v>1.6122000000000004E-2</v>
      </c>
      <c r="K55">
        <v>0.62065882352941171</v>
      </c>
      <c r="L55">
        <f>Table17[[#This Row],[oss]]*INDEX(Table59[k_OSS2ROP],MATCH(Table17[[#This Row],[site]],Table59[site],FALSE))</f>
        <v>1E-3</v>
      </c>
      <c r="M55">
        <f>Table17[[#This Row],[srp]]*INDEX(Table59[k_SRP2PIP],MATCH(Table17[[#This Row],[site]],Table59[site],FALSE))</f>
        <v>2.3704125418771683E-2</v>
      </c>
      <c r="N55">
        <f>Table17[[#This Row],[iss]]*INDEX(Table59[k_ISS2PIP],MATCH(Table17[[#This Row],[site]],Table59[site],0))</f>
        <v>0</v>
      </c>
      <c r="O55">
        <f>Table17[[#This Row],[rop]]+Table17[[#This Row],[lop]]+Table17[[#This Row],[pip]]</f>
        <v>2.4704125418771684E-2</v>
      </c>
      <c r="P55">
        <f>(Table17[[#This Row],[nsrp_pred]]-Table17[[#This Row],[nsrp]])^2</f>
        <v>7.3652876703526987E-5</v>
      </c>
      <c r="Q55">
        <f>(Table17[[#This Row],[nsrp]]-INDEX(Table59[mean_nsrp],MATCH(Table17[[#This Row],[site]],Table59[site],0)))^2</f>
        <v>6.5676900383773598E-4</v>
      </c>
    </row>
    <row r="56" spans="1:17">
      <c r="A56" t="s">
        <v>15</v>
      </c>
      <c r="B56" t="s">
        <v>21</v>
      </c>
      <c r="C56">
        <v>2.0159950000000003E-2</v>
      </c>
      <c r="D56">
        <f>Table17[[#This Row],[iss]]/Table17[[#This Row],[tss]]</f>
        <v>1</v>
      </c>
      <c r="E56">
        <v>1.0526315789473684</v>
      </c>
      <c r="F56">
        <v>1.0526315789473684</v>
      </c>
      <c r="G56">
        <v>0</v>
      </c>
      <c r="H56">
        <v>2.0479000000000001E-2</v>
      </c>
      <c r="I56">
        <v>4.1700000000000001E-2</v>
      </c>
      <c r="J56">
        <v>2.1221E-2</v>
      </c>
      <c r="K56">
        <v>0.49110311750599522</v>
      </c>
      <c r="L56">
        <f>Table17[[#This Row],[oss]]*INDEX(Table59[k_OSS2ROP],MATCH(Table17[[#This Row],[site]],Table59[site],FALSE))</f>
        <v>0</v>
      </c>
      <c r="M56">
        <f>Table17[[#This Row],[srp]]*INDEX(Table59[k_SRP2PIP],MATCH(Table17[[#This Row],[site]],Table59[site],FALSE))</f>
        <v>1.8403092897529203E-2</v>
      </c>
      <c r="N56">
        <f>Table17[[#This Row],[iss]]*INDEX(Table59[k_ISS2PIP],MATCH(Table17[[#This Row],[site]],Table59[site],0))</f>
        <v>2.2271123605789528E-3</v>
      </c>
      <c r="O56">
        <f>Table17[[#This Row],[rop]]+Table17[[#This Row],[lop]]+Table17[[#This Row],[pip]]</f>
        <v>2.0630205258108155E-2</v>
      </c>
      <c r="P56">
        <f>(Table17[[#This Row],[nsrp_pred]]-Table17[[#This Row],[nsrp]])^2</f>
        <v>3.4903842704705201E-7</v>
      </c>
      <c r="Q56">
        <f>(Table17[[#This Row],[nsrp]]-INDEX(Table59[mean_nsrp],MATCH(Table17[[#This Row],[site]],Table59[site],0)))^2</f>
        <v>4.2141951057621062E-4</v>
      </c>
    </row>
    <row r="57" spans="1:17">
      <c r="A57" t="s">
        <v>15</v>
      </c>
      <c r="B57" t="s">
        <v>21</v>
      </c>
      <c r="C57">
        <v>1.1393225E-2</v>
      </c>
      <c r="D57">
        <f>Table17[[#This Row],[iss]]/Table17[[#This Row],[tss]]</f>
        <v>0.33333333333333337</v>
      </c>
      <c r="E57">
        <v>3.243243243243243</v>
      </c>
      <c r="F57">
        <v>1.0810810810810811</v>
      </c>
      <c r="G57">
        <v>2.1621621621621618</v>
      </c>
      <c r="H57">
        <v>4.3449000000000002E-2</v>
      </c>
      <c r="I57">
        <v>8.0399999999999999E-2</v>
      </c>
      <c r="J57">
        <v>3.6950999999999998E-2</v>
      </c>
      <c r="K57">
        <v>0.54041044776119407</v>
      </c>
      <c r="L57">
        <f>Table17[[#This Row],[oss]]*INDEX(Table59[k_OSS2ROP],MATCH(Table17[[#This Row],[site]],Table59[site],FALSE))</f>
        <v>2.1621621621621618E-3</v>
      </c>
      <c r="M57">
        <f>Table17[[#This Row],[srp]]*INDEX(Table59[k_SRP2PIP],MATCH(Table17[[#This Row],[site]],Table59[site],FALSE))</f>
        <v>3.9044679100773784E-2</v>
      </c>
      <c r="N57">
        <f>Table17[[#This Row],[iss]]*INDEX(Table59[k_ISS2PIP],MATCH(Table17[[#This Row],[site]],Table59[site],0))</f>
        <v>2.2873045865405466E-3</v>
      </c>
      <c r="O57">
        <f>Table17[[#This Row],[rop]]+Table17[[#This Row],[lop]]+Table17[[#This Row],[pip]]</f>
        <v>4.3494145849476494E-2</v>
      </c>
      <c r="P57">
        <f>(Table17[[#This Row],[nsrp_pred]]-Table17[[#This Row],[nsrp]])^2</f>
        <v>4.28127576075215E-5</v>
      </c>
      <c r="Q57">
        <f>(Table17[[#This Row],[nsrp]]-INDEX(Table59[mean_nsrp],MATCH(Table17[[#This Row],[site]],Table59[site],0)))^2</f>
        <v>2.3025648608413381E-5</v>
      </c>
    </row>
    <row r="58" spans="1:17">
      <c r="A58" t="s">
        <v>15</v>
      </c>
      <c r="B58" t="s">
        <v>21</v>
      </c>
      <c r="C58">
        <v>2.7803699999999997E-2</v>
      </c>
      <c r="D58">
        <f>Table17[[#This Row],[iss]]/Table17[[#This Row],[tss]]</f>
        <v>1</v>
      </c>
      <c r="E58">
        <v>1.1111111111111112</v>
      </c>
      <c r="F58">
        <v>1.1111111111111112</v>
      </c>
      <c r="G58">
        <v>0</v>
      </c>
      <c r="H58">
        <v>1.7507000000000002E-2</v>
      </c>
      <c r="I58">
        <v>4.8399999999999999E-2</v>
      </c>
      <c r="J58">
        <v>3.0892999999999997E-2</v>
      </c>
      <c r="K58">
        <v>0.36171487603305791</v>
      </c>
      <c r="L58">
        <f>Table17[[#This Row],[oss]]*INDEX(Table59[k_OSS2ROP],MATCH(Table17[[#This Row],[site]],Table59[site],FALSE))</f>
        <v>0</v>
      </c>
      <c r="M58">
        <f>Table17[[#This Row],[srp]]*INDEX(Table59[k_SRP2PIP],MATCH(Table17[[#This Row],[site]],Table59[site],FALSE))</f>
        <v>1.5732357407932215E-2</v>
      </c>
      <c r="N58">
        <f>Table17[[#This Row],[iss]]*INDEX(Table59[k_ISS2PIP],MATCH(Table17[[#This Row],[site]],Table59[site],0))</f>
        <v>2.3508408250555615E-3</v>
      </c>
      <c r="O58">
        <f>Table17[[#This Row],[rop]]+Table17[[#This Row],[lop]]+Table17[[#This Row],[pip]]</f>
        <v>1.8083198232987777E-2</v>
      </c>
      <c r="P58">
        <f>(Table17[[#This Row],[nsrp_pred]]-Table17[[#This Row],[nsrp]])^2</f>
        <v>1.6409102131014939E-4</v>
      </c>
      <c r="Q58">
        <f>(Table17[[#This Row],[nsrp]]-INDEX(Table59[mean_nsrp],MATCH(Table17[[#This Row],[site]],Table59[site],0)))^2</f>
        <v>1.1786369713485435E-4</v>
      </c>
    </row>
    <row r="59" spans="1:17">
      <c r="A59" t="s">
        <v>15</v>
      </c>
      <c r="B59" t="s">
        <v>21</v>
      </c>
      <c r="C59">
        <v>7.9351124999999991E-3</v>
      </c>
      <c r="D59">
        <f>Table17[[#This Row],[iss]]/Table17[[#This Row],[tss]]</f>
        <v>0.5</v>
      </c>
      <c r="E59">
        <v>4.2105263157894735</v>
      </c>
      <c r="F59">
        <v>2.1052631578947367</v>
      </c>
      <c r="G59">
        <v>2.1052631578947367</v>
      </c>
      <c r="H59">
        <v>3.1489000000000003E-2</v>
      </c>
      <c r="I59">
        <v>6.4899999999999999E-2</v>
      </c>
      <c r="J59">
        <v>3.3410999999999996E-2</v>
      </c>
      <c r="K59">
        <v>0.48519260400616337</v>
      </c>
      <c r="L59">
        <f>Table17[[#This Row],[oss]]*INDEX(Table59[k_OSS2ROP],MATCH(Table17[[#This Row],[site]],Table59[site],FALSE))</f>
        <v>2.1052631578947368E-3</v>
      </c>
      <c r="M59">
        <f>Table17[[#This Row],[srp]]*INDEX(Table59[k_SRP2PIP],MATCH(Table17[[#This Row],[site]],Table59[site],FALSE))</f>
        <v>2.8297035609663419E-2</v>
      </c>
      <c r="N59">
        <f>Table17[[#This Row],[iss]]*INDEX(Table59[k_ISS2PIP],MATCH(Table17[[#This Row],[site]],Table59[site],0))</f>
        <v>4.4542247211579056E-3</v>
      </c>
      <c r="O59">
        <f>Table17[[#This Row],[rop]]+Table17[[#This Row],[lop]]+Table17[[#This Row],[pip]]</f>
        <v>3.4856523488716061E-2</v>
      </c>
      <c r="P59">
        <f>(Table17[[#This Row],[nsrp_pred]]-Table17[[#This Row],[nsrp]])^2</f>
        <v>2.0895381564298633E-6</v>
      </c>
      <c r="Q59">
        <f>(Table17[[#This Row],[nsrp]]-INDEX(Table59[mean_nsrp],MATCH(Table17[[#This Row],[site]],Table59[site],0)))^2</f>
        <v>6.9530662808413575E-5</v>
      </c>
    </row>
    <row r="60" spans="1:17">
      <c r="A60" t="s">
        <v>15</v>
      </c>
      <c r="B60" t="s">
        <v>21</v>
      </c>
      <c r="C60">
        <v>8.8439812499999972E-3</v>
      </c>
      <c r="D60">
        <f>Table17[[#This Row],[iss]]/Table17[[#This Row],[tss]]</f>
        <v>0.5</v>
      </c>
      <c r="E60">
        <v>4.1025641025641031</v>
      </c>
      <c r="F60">
        <v>2.0512820512820515</v>
      </c>
      <c r="G60">
        <v>2.0512820512820515</v>
      </c>
      <c r="H60">
        <v>2.3016999999999999E-2</v>
      </c>
      <c r="I60">
        <v>5.9299999999999999E-2</v>
      </c>
      <c r="J60">
        <v>3.6282999999999996E-2</v>
      </c>
      <c r="K60">
        <v>0.38814502529510964</v>
      </c>
      <c r="L60">
        <f>Table17[[#This Row],[oss]]*INDEX(Table59[k_OSS2ROP],MATCH(Table17[[#This Row],[site]],Table59[site],FALSE))</f>
        <v>2.0512820512820517E-3</v>
      </c>
      <c r="M60">
        <f>Table17[[#This Row],[srp]]*INDEX(Table59[k_SRP2PIP],MATCH(Table17[[#This Row],[site]],Table59[site],FALSE))</f>
        <v>2.0683821925993929E-2</v>
      </c>
      <c r="N60">
        <f>Table17[[#This Row],[iss]]*INDEX(Table59[k_ISS2PIP],MATCH(Table17[[#This Row],[site]],Table59[site],0))</f>
        <v>4.3400138308718065E-3</v>
      </c>
      <c r="O60">
        <f>Table17[[#This Row],[rop]]+Table17[[#This Row],[lop]]+Table17[[#This Row],[pip]]</f>
        <v>2.7075117808147788E-2</v>
      </c>
      <c r="P60">
        <f>(Table17[[#This Row],[nsrp_pred]]-Table17[[#This Row],[nsrp]])^2</f>
        <v>8.4785094459029027E-5</v>
      </c>
      <c r="Q60">
        <f>(Table17[[#This Row],[nsrp]]-INDEX(Table59[mean_nsrp],MATCH(Table17[[#This Row],[site]],Table59[site],0)))^2</f>
        <v>2.9882675061972755E-5</v>
      </c>
    </row>
    <row r="61" spans="1:17">
      <c r="A61" t="s">
        <v>26</v>
      </c>
      <c r="B61" t="s">
        <v>22</v>
      </c>
      <c r="C61">
        <v>1.0859897260274017E-3</v>
      </c>
      <c r="D61">
        <f>Table17[[#This Row],[iss]]/Table17[[#This Row],[tss]]</f>
        <v>0.93607305936073026</v>
      </c>
      <c r="E61">
        <v>121.66666666666616</v>
      </c>
      <c r="F61">
        <v>113.88888888888837</v>
      </c>
      <c r="G61">
        <v>7.7777777777777857</v>
      </c>
      <c r="H61">
        <v>3.0839999999999999E-2</v>
      </c>
      <c r="I61">
        <v>0.16296875</v>
      </c>
      <c r="J61">
        <v>0.13212874999999999</v>
      </c>
      <c r="K61">
        <v>0.18923873441994246</v>
      </c>
      <c r="L61">
        <f>Table17[[#This Row],[oss]]*INDEX(Table59[k_OSS2ROP],MATCH(Table17[[#This Row],[site]],Table59[site],FALSE))</f>
        <v>7.7777777777777862E-3</v>
      </c>
      <c r="M61">
        <f>Table17[[#This Row],[srp]]*INDEX(Table59[k_SRP2PIP],MATCH(Table17[[#This Row],[site]],Table59[site],FALSE))</f>
        <v>1.9203967898650823E-2</v>
      </c>
      <c r="N61">
        <f>Table17[[#This Row],[iss]]*INDEX(Table59[k_ISS2PIP],MATCH(Table17[[#This Row],[site]],Table59[site],0))</f>
        <v>0.10248277776730969</v>
      </c>
      <c r="O61">
        <f>Table17[[#This Row],[rop]]+Table17[[#This Row],[lop]]+Table17[[#This Row],[pip]]</f>
        <v>0.12946452344373829</v>
      </c>
      <c r="P61">
        <f>(Table17[[#This Row],[nsrp_pred]]-Table17[[#This Row],[nsrp]])^2</f>
        <v>7.0981031430900514E-6</v>
      </c>
      <c r="Q61">
        <f>(Table17[[#This Row],[nsrp]]-INDEX(Table59[mean_nsrp],MATCH(Table17[[#This Row],[site]],Table59[site],0)))^2</f>
        <v>7.1066909681839572E-3</v>
      </c>
    </row>
    <row r="62" spans="1:17">
      <c r="A62" t="s">
        <v>26</v>
      </c>
      <c r="B62" t="s">
        <v>22</v>
      </c>
      <c r="C62">
        <v>9.574805194805195E-4</v>
      </c>
      <c r="D62">
        <f>Table17[[#This Row],[iss]]/Table17[[#This Row],[tss]]</f>
        <v>0.92207792207792205</v>
      </c>
      <c r="E62">
        <v>96.25</v>
      </c>
      <c r="F62">
        <v>88.75</v>
      </c>
      <c r="G62">
        <v>7.5</v>
      </c>
      <c r="H62">
        <v>2.3779999999999999E-2</v>
      </c>
      <c r="I62">
        <v>0.1159375</v>
      </c>
      <c r="J62">
        <v>9.2157500000000003E-2</v>
      </c>
      <c r="K62">
        <v>0.20511051212938006</v>
      </c>
      <c r="L62">
        <f>Table17[[#This Row],[oss]]*INDEX(Table59[k_OSS2ROP],MATCH(Table17[[#This Row],[site]],Table59[site],FALSE))</f>
        <v>7.4999999999999997E-3</v>
      </c>
      <c r="M62">
        <f>Table17[[#This Row],[srp]]*INDEX(Table59[k_SRP2PIP],MATCH(Table17[[#This Row],[site]],Table59[site],FALSE))</f>
        <v>1.4807728814199627E-2</v>
      </c>
      <c r="N62">
        <f>Table17[[#This Row],[iss]]*INDEX(Table59[k_ISS2PIP],MATCH(Table17[[#This Row],[site]],Table59[site],0))</f>
        <v>7.9861579260135596E-2</v>
      </c>
      <c r="O62">
        <f>Table17[[#This Row],[rop]]+Table17[[#This Row],[lop]]+Table17[[#This Row],[pip]]</f>
        <v>0.10216930807433522</v>
      </c>
      <c r="P62">
        <f>(Table17[[#This Row],[nsrp_pred]]-Table17[[#This Row],[nsrp]])^2</f>
        <v>1.0023630091732382E-4</v>
      </c>
      <c r="Q62">
        <f>(Table17[[#This Row],[nsrp]]-INDEX(Table59[mean_nsrp],MATCH(Table17[[#This Row],[site]],Table59[site],0)))^2</f>
        <v>1.9651437553902095E-3</v>
      </c>
    </row>
    <row r="63" spans="1:17">
      <c r="A63" t="s">
        <v>26</v>
      </c>
      <c r="B63" t="s">
        <v>22</v>
      </c>
      <c r="C63">
        <v>9.2215384615384631E-4</v>
      </c>
      <c r="D63">
        <f>Table17[[#This Row],[iss]]/Table17[[#This Row],[tss]]</f>
        <v>1</v>
      </c>
      <c r="E63">
        <v>14.444444444444445</v>
      </c>
      <c r="F63">
        <v>14.444444444444445</v>
      </c>
      <c r="G63">
        <v>0</v>
      </c>
      <c r="H63">
        <v>1.3979999999999999E-2</v>
      </c>
      <c r="I63">
        <v>2.7300000000000001E-2</v>
      </c>
      <c r="J63">
        <v>1.3320000000000002E-2</v>
      </c>
      <c r="K63">
        <v>0.51208791208791204</v>
      </c>
      <c r="L63">
        <f>Table17[[#This Row],[oss]]*INDEX(Table59[k_OSS2ROP],MATCH(Table17[[#This Row],[site]],Table59[site],FALSE))</f>
        <v>0</v>
      </c>
      <c r="M63">
        <f>Table17[[#This Row],[srp]]*INDEX(Table59[k_SRP2PIP],MATCH(Table17[[#This Row],[site]],Table59[site],FALSE))</f>
        <v>8.7053006233183683E-3</v>
      </c>
      <c r="N63">
        <f>Table17[[#This Row],[iss]]*INDEX(Table59[k_ISS2PIP],MATCH(Table17[[#This Row],[site]],Table59[site],0))</f>
        <v>1.2997815716829581E-2</v>
      </c>
      <c r="O63">
        <f>Table17[[#This Row],[rop]]+Table17[[#This Row],[lop]]+Table17[[#This Row],[pip]]</f>
        <v>2.1703116340147949E-2</v>
      </c>
      <c r="P63">
        <f>(Table17[[#This Row],[nsrp_pred]]-Table17[[#This Row],[nsrp]])^2</f>
        <v>7.0276639572455519E-5</v>
      </c>
      <c r="Q63">
        <f>(Table17[[#This Row],[nsrp]]-INDEX(Table59[mean_nsrp],MATCH(Table17[[#This Row],[site]],Table59[site],0)))^2</f>
        <v>1.1907715609395513E-3</v>
      </c>
    </row>
    <row r="64" spans="1:17">
      <c r="A64" t="s">
        <v>26</v>
      </c>
      <c r="B64" t="s">
        <v>22</v>
      </c>
      <c r="C64">
        <v>1.0638235294117646E-3</v>
      </c>
      <c r="D64">
        <f>Table17[[#This Row],[iss]]/Table17[[#This Row],[tss]]</f>
        <v>1</v>
      </c>
      <c r="E64">
        <v>34</v>
      </c>
      <c r="F64">
        <v>34</v>
      </c>
      <c r="G64">
        <v>0</v>
      </c>
      <c r="H64">
        <v>2.163E-2</v>
      </c>
      <c r="I64">
        <v>5.7799999999999997E-2</v>
      </c>
      <c r="J64">
        <v>3.6169999999999994E-2</v>
      </c>
      <c r="K64">
        <v>0.37422145328719725</v>
      </c>
      <c r="L64">
        <f>Table17[[#This Row],[oss]]*INDEX(Table59[k_OSS2ROP],MATCH(Table17[[#This Row],[site]],Table59[site],FALSE))</f>
        <v>0</v>
      </c>
      <c r="M64">
        <f>Table17[[#This Row],[srp]]*INDEX(Table59[k_SRP2PIP],MATCH(Table17[[#This Row],[site]],Table59[site],FALSE))</f>
        <v>1.3468930792730781E-2</v>
      </c>
      <c r="N64">
        <f>Table17[[#This Row],[iss]]*INDEX(Table59[k_ISS2PIP],MATCH(Table17[[#This Row],[site]],Table59[site],0))</f>
        <v>3.0594858533460396E-2</v>
      </c>
      <c r="O64">
        <f>Table17[[#This Row],[rop]]+Table17[[#This Row],[lop]]+Table17[[#This Row],[pip]]</f>
        <v>4.4063789326191177E-2</v>
      </c>
      <c r="P64">
        <f>(Table17[[#This Row],[nsrp_pred]]-Table17[[#This Row],[nsrp]])^2</f>
        <v>6.2311909926289854E-5</v>
      </c>
      <c r="Q64">
        <f>(Table17[[#This Row],[nsrp]]-INDEX(Table59[mean_nsrp],MATCH(Table17[[#This Row],[site]],Table59[site],0)))^2</f>
        <v>1.3589865913691981E-4</v>
      </c>
    </row>
    <row r="65" spans="1:17">
      <c r="A65" t="s">
        <v>26</v>
      </c>
      <c r="B65" t="s">
        <v>22</v>
      </c>
      <c r="C65">
        <v>1.4419607843137257E-3</v>
      </c>
      <c r="D65">
        <f>Table17[[#This Row],[iss]]/Table17[[#This Row],[tss]]</f>
        <v>0.9509803921568627</v>
      </c>
      <c r="E65">
        <v>51</v>
      </c>
      <c r="F65">
        <v>48.5</v>
      </c>
      <c r="G65">
        <v>2.5</v>
      </c>
      <c r="H65">
        <v>1.8159999999999999E-2</v>
      </c>
      <c r="I65">
        <v>9.1700000000000004E-2</v>
      </c>
      <c r="J65">
        <v>7.3540000000000008E-2</v>
      </c>
      <c r="K65">
        <v>0.19803707742639037</v>
      </c>
      <c r="L65">
        <f>Table17[[#This Row],[oss]]*INDEX(Table59[k_OSS2ROP],MATCH(Table17[[#This Row],[site]],Table59[site],FALSE))</f>
        <v>2.5000000000000001E-3</v>
      </c>
      <c r="M65">
        <f>Table17[[#This Row],[srp]]*INDEX(Table59[k_SRP2PIP],MATCH(Table17[[#This Row],[site]],Table59[site],FALSE))</f>
        <v>1.1308173055755476E-2</v>
      </c>
      <c r="N65">
        <f>Table17[[#This Row],[iss]]*INDEX(Table59[k_ISS2PIP],MATCH(Table17[[#This Row],[site]],Table59[site],0))</f>
        <v>4.364266584920086E-2</v>
      </c>
      <c r="O65">
        <f>Table17[[#This Row],[rop]]+Table17[[#This Row],[lop]]+Table17[[#This Row],[pip]]</f>
        <v>5.7450838904956336E-2</v>
      </c>
      <c r="P65">
        <f>(Table17[[#This Row],[nsrp_pred]]-Table17[[#This Row],[nsrp]])^2</f>
        <v>2.5886110474226688E-4</v>
      </c>
      <c r="Q65">
        <f>(Table17[[#This Row],[nsrp]]-INDEX(Table59[mean_nsrp],MATCH(Table17[[#This Row],[site]],Table59[site],0)))^2</f>
        <v>6.6112967225007797E-4</v>
      </c>
    </row>
    <row r="66" spans="1:17">
      <c r="A66" t="s">
        <v>26</v>
      </c>
      <c r="B66" t="s">
        <v>22</v>
      </c>
      <c r="C66">
        <v>1.2584466019417474E-3</v>
      </c>
      <c r="D66">
        <f>Table17[[#This Row],[iss]]/Table17[[#This Row],[tss]]</f>
        <v>0.93203883495145634</v>
      </c>
      <c r="E66">
        <v>51.5</v>
      </c>
      <c r="F66">
        <v>48</v>
      </c>
      <c r="G66">
        <v>3.5</v>
      </c>
      <c r="H66">
        <v>2.2689999999999998E-2</v>
      </c>
      <c r="I66">
        <v>8.7499999999999994E-2</v>
      </c>
      <c r="J66">
        <v>6.4809999999999993E-2</v>
      </c>
      <c r="K66">
        <v>0.25931428571428572</v>
      </c>
      <c r="L66">
        <f>Table17[[#This Row],[oss]]*INDEX(Table59[k_OSS2ROP],MATCH(Table17[[#This Row],[site]],Table59[site],FALSE))</f>
        <v>3.5000000000000001E-3</v>
      </c>
      <c r="M66">
        <f>Table17[[#This Row],[srp]]*INDEX(Table59[k_SRP2PIP],MATCH(Table17[[#This Row],[site]],Table59[site],FALSE))</f>
        <v>1.412898935215263E-2</v>
      </c>
      <c r="N66">
        <f>Table17[[#This Row],[iss]]*INDEX(Table59[k_ISS2PIP],MATCH(Table17[[#This Row],[site]],Table59[site],0))</f>
        <v>4.3192741459002912E-2</v>
      </c>
      <c r="O66">
        <f>Table17[[#This Row],[rop]]+Table17[[#This Row],[lop]]+Table17[[#This Row],[pip]]</f>
        <v>6.0821730811155543E-2</v>
      </c>
      <c r="P66">
        <f>(Table17[[#This Row],[nsrp_pred]]-Table17[[#This Row],[nsrp]])^2</f>
        <v>1.5906291122685966E-5</v>
      </c>
      <c r="Q66">
        <f>(Table17[[#This Row],[nsrp]]-INDEX(Table59[mean_nsrp],MATCH(Table17[[#This Row],[site]],Table59[site],0)))^2</f>
        <v>2.8840333538955105E-4</v>
      </c>
    </row>
    <row r="67" spans="1:17">
      <c r="A67" t="s">
        <v>26</v>
      </c>
      <c r="B67" t="s">
        <v>22</v>
      </c>
      <c r="C67">
        <v>1.8362999999999999E-3</v>
      </c>
      <c r="D67">
        <f>Table17[[#This Row],[iss]]/Table17[[#This Row],[tss]]</f>
        <v>0.85714285714285721</v>
      </c>
      <c r="E67">
        <v>23.333333333333332</v>
      </c>
      <c r="F67">
        <v>20</v>
      </c>
      <c r="G67">
        <v>3.3333333333333321</v>
      </c>
      <c r="H67">
        <v>1.2052999999999999E-2</v>
      </c>
      <c r="I67">
        <v>5.4899999999999997E-2</v>
      </c>
      <c r="J67">
        <v>4.2846999999999996E-2</v>
      </c>
      <c r="K67">
        <v>0.21954462659380691</v>
      </c>
      <c r="L67">
        <f>Table17[[#This Row],[oss]]*INDEX(Table59[k_OSS2ROP],MATCH(Table17[[#This Row],[site]],Table59[site],FALSE))</f>
        <v>3.3333333333333322E-3</v>
      </c>
      <c r="M67">
        <f>Table17[[#This Row],[srp]]*INDEX(Table59[k_SRP2PIP],MATCH(Table17[[#This Row],[site]],Table59[site],FALSE))</f>
        <v>7.505363978029778E-3</v>
      </c>
      <c r="N67">
        <f>Table17[[#This Row],[iss]]*INDEX(Table59[k_ISS2PIP],MATCH(Table17[[#This Row],[site]],Table59[site],0))</f>
        <v>1.7996975607917881E-2</v>
      </c>
      <c r="O67">
        <f>Table17[[#This Row],[rop]]+Table17[[#This Row],[lop]]+Table17[[#This Row],[pip]]</f>
        <v>2.8835672919280991E-2</v>
      </c>
      <c r="P67">
        <f>(Table17[[#This Row],[nsrp_pred]]-Table17[[#This Row],[nsrp]])^2</f>
        <v>1.9631728656288976E-4</v>
      </c>
      <c r="Q67">
        <f>(Table17[[#This Row],[nsrp]]-INDEX(Table59[mean_nsrp],MATCH(Table17[[#This Row],[site]],Table59[site],0)))^2</f>
        <v>2.4805958253498666E-5</v>
      </c>
    </row>
    <row r="68" spans="1:17">
      <c r="A68" t="s">
        <v>26</v>
      </c>
      <c r="B68" t="s">
        <v>22</v>
      </c>
      <c r="C68">
        <v>5.823973770491803E-4</v>
      </c>
      <c r="D68">
        <f>Table17[[#This Row],[iss]]/Table17[[#This Row],[tss]]</f>
        <v>0.1901639344262295</v>
      </c>
      <c r="E68">
        <v>169.44444444444446</v>
      </c>
      <c r="F68">
        <v>32.222222222222221</v>
      </c>
      <c r="G68">
        <v>137.22222222222223</v>
      </c>
      <c r="H68">
        <v>1.6316000000000001E-2</v>
      </c>
      <c r="I68">
        <v>0.115</v>
      </c>
      <c r="J68">
        <v>9.8684000000000008E-2</v>
      </c>
      <c r="K68">
        <v>0.1418782608695652</v>
      </c>
      <c r="L68">
        <f>Table17[[#This Row],[oss]]*INDEX(Table59[k_OSS2ROP],MATCH(Table17[[#This Row],[site]],Table59[site],FALSE))</f>
        <v>0.13722222222222222</v>
      </c>
      <c r="M68">
        <f>Table17[[#This Row],[srp]]*INDEX(Table59[k_SRP2PIP],MATCH(Table17[[#This Row],[site]],Table59[site],FALSE))</f>
        <v>1.0159920241063127E-2</v>
      </c>
      <c r="N68">
        <f>Table17[[#This Row],[iss]]*INDEX(Table59[k_ISS2PIP],MATCH(Table17[[#This Row],[site]],Table59[site],0))</f>
        <v>2.899512736831214E-2</v>
      </c>
      <c r="O68">
        <f>Table17[[#This Row],[rop]]+Table17[[#This Row],[lop]]+Table17[[#This Row],[pip]]</f>
        <v>0.17637726983159749</v>
      </c>
      <c r="P68">
        <f>(Table17[[#This Row],[nsrp_pred]]-Table17[[#This Row],[nsrp]])^2</f>
        <v>6.0362441771254155E-3</v>
      </c>
      <c r="Q68">
        <f>(Table17[[#This Row],[nsrp]]-INDEX(Table59[mean_nsrp],MATCH(Table17[[#This Row],[site]],Table59[site],0)))^2</f>
        <v>2.5863776902227101E-3</v>
      </c>
    </row>
    <row r="69" spans="1:17">
      <c r="A69" t="s">
        <v>26</v>
      </c>
      <c r="B69" t="s">
        <v>22</v>
      </c>
      <c r="C69">
        <v>1.0577368421052632E-3</v>
      </c>
      <c r="D69">
        <f>Table17[[#This Row],[iss]]/Table17[[#This Row],[tss]]</f>
        <v>0.1315789473684211</v>
      </c>
      <c r="E69">
        <v>42.222222222222221</v>
      </c>
      <c r="F69">
        <v>5.5555555555555571</v>
      </c>
      <c r="G69">
        <v>36.666666666666664</v>
      </c>
      <c r="H69">
        <v>1.554E-2</v>
      </c>
      <c r="I69">
        <v>6.0200000000000004E-2</v>
      </c>
      <c r="J69">
        <v>4.4660000000000005E-2</v>
      </c>
      <c r="K69">
        <v>0.25813953488372093</v>
      </c>
      <c r="L69">
        <f>Table17[[#This Row],[oss]]*INDEX(Table59[k_OSS2ROP],MATCH(Table17[[#This Row],[site]],Table59[site],FALSE))</f>
        <v>3.6666666666666667E-2</v>
      </c>
      <c r="M69">
        <f>Table17[[#This Row],[srp]]*INDEX(Table59[k_SRP2PIP],MATCH(Table17[[#This Row],[site]],Table59[site],FALSE))</f>
        <v>9.6767075598259977E-3</v>
      </c>
      <c r="N69">
        <f>Table17[[#This Row],[iss]]*INDEX(Table59[k_ISS2PIP],MATCH(Table17[[#This Row],[site]],Table59[site],0))</f>
        <v>4.9991598910883017E-3</v>
      </c>
      <c r="O69">
        <f>Table17[[#This Row],[rop]]+Table17[[#This Row],[lop]]+Table17[[#This Row],[pip]]</f>
        <v>5.1342534117580968E-2</v>
      </c>
      <c r="P69">
        <f>(Table17[[#This Row],[nsrp_pred]]-Table17[[#This Row],[nsrp]])^2</f>
        <v>4.4656262232633578E-5</v>
      </c>
      <c r="Q69">
        <f>(Table17[[#This Row],[nsrp]]-INDEX(Table59[mean_nsrp],MATCH(Table17[[#This Row],[site]],Table59[site],0)))^2</f>
        <v>1.0033423850077544E-5</v>
      </c>
    </row>
    <row r="70" spans="1:17">
      <c r="A70" t="s">
        <v>26</v>
      </c>
      <c r="B70" t="s">
        <v>22</v>
      </c>
      <c r="C70">
        <v>2.6378749999999996E-3</v>
      </c>
      <c r="D70">
        <f>Table17[[#This Row],[iss]]/Table17[[#This Row],[tss]]</f>
        <v>0.125</v>
      </c>
      <c r="E70">
        <v>8</v>
      </c>
      <c r="F70">
        <v>1</v>
      </c>
      <c r="G70">
        <v>7</v>
      </c>
      <c r="H70">
        <v>1.5197E-2</v>
      </c>
      <c r="I70">
        <v>3.6299999999999999E-2</v>
      </c>
      <c r="J70">
        <v>2.1102999999999997E-2</v>
      </c>
      <c r="K70">
        <v>0.41865013774104687</v>
      </c>
      <c r="L70">
        <f>Table17[[#This Row],[oss]]*INDEX(Table59[k_OSS2ROP],MATCH(Table17[[#This Row],[site]],Table59[site],FALSE))</f>
        <v>7.0000000000000001E-3</v>
      </c>
      <c r="M70">
        <f>Table17[[#This Row],[srp]]*INDEX(Table59[k_SRP2PIP],MATCH(Table17[[#This Row],[site]],Table59[site],FALSE))</f>
        <v>9.4631225731451538E-3</v>
      </c>
      <c r="N70">
        <f>Table17[[#This Row],[iss]]*INDEX(Table59[k_ISS2PIP],MATCH(Table17[[#This Row],[site]],Table59[site],0))</f>
        <v>8.9984878039589403E-4</v>
      </c>
      <c r="O70">
        <f>Table17[[#This Row],[rop]]+Table17[[#This Row],[lop]]+Table17[[#This Row],[pip]]</f>
        <v>1.7362971353541048E-2</v>
      </c>
      <c r="P70">
        <f>(Table17[[#This Row],[nsrp_pred]]-Table17[[#This Row],[nsrp]])^2</f>
        <v>1.3987814276333552E-5</v>
      </c>
      <c r="Q70">
        <f>(Table17[[#This Row],[nsrp]]-INDEX(Table59[mean_nsrp],MATCH(Table17[[#This Row],[site]],Table59[site],0)))^2</f>
        <v>7.1420200170191979E-4</v>
      </c>
    </row>
    <row r="71" spans="1:17">
      <c r="A71" t="s">
        <v>26</v>
      </c>
      <c r="B71" t="s">
        <v>22</v>
      </c>
      <c r="C71">
        <v>1.3761799999999996E-3</v>
      </c>
      <c r="D71">
        <f>Table17[[#This Row],[iss]]/Table17[[#This Row],[tss]]</f>
        <v>0.26666666666666666</v>
      </c>
      <c r="E71">
        <v>7.6923076923076925</v>
      </c>
      <c r="F71">
        <v>2.0512820512820511</v>
      </c>
      <c r="G71">
        <v>5.6410256410256414</v>
      </c>
      <c r="H71">
        <v>1.8114000000000002E-2</v>
      </c>
      <c r="I71">
        <v>2.87E-2</v>
      </c>
      <c r="J71">
        <v>1.0585999999999998E-2</v>
      </c>
      <c r="K71">
        <v>0.63114982578397216</v>
      </c>
      <c r="L71">
        <f>Table17[[#This Row],[oss]]*INDEX(Table59[k_OSS2ROP],MATCH(Table17[[#This Row],[site]],Table59[site],FALSE))</f>
        <v>5.6410256410256415E-3</v>
      </c>
      <c r="M71">
        <f>Table17[[#This Row],[srp]]*INDEX(Table59[k_SRP2PIP],MATCH(Table17[[#This Row],[site]],Table59[site],FALSE))</f>
        <v>1.1279529005063587E-2</v>
      </c>
      <c r="N71">
        <f>Table17[[#This Row],[iss]]*INDEX(Table59[k_ISS2PIP],MATCH(Table17[[#This Row],[site]],Table59[site],0))</f>
        <v>1.8458436520941415E-3</v>
      </c>
      <c r="O71">
        <f>Table17[[#This Row],[rop]]+Table17[[#This Row],[lop]]+Table17[[#This Row],[pip]]</f>
        <v>1.876639829818337E-2</v>
      </c>
      <c r="P71">
        <f>(Table17[[#This Row],[nsrp_pred]]-Table17[[#This Row],[nsrp]])^2</f>
        <v>6.6918916316921414E-5</v>
      </c>
      <c r="Q71">
        <f>(Table17[[#This Row],[nsrp]]-INDEX(Table59[mean_nsrp],MATCH(Table17[[#This Row],[site]],Table59[site],0)))^2</f>
        <v>1.386933644227446E-3</v>
      </c>
    </row>
    <row r="72" spans="1:17" hidden="1">
      <c r="A72" t="s">
        <v>26</v>
      </c>
      <c r="B72" t="s">
        <v>22</v>
      </c>
      <c r="C72">
        <v>1.8376312499999994E-3</v>
      </c>
      <c r="D72">
        <f>Table17[[#This Row],[iss]]/Table17[[#This Row],[tss]]</f>
        <v>1.5</v>
      </c>
      <c r="E72">
        <v>4.1025641025641031</v>
      </c>
      <c r="F72">
        <v>6.1538461538461551</v>
      </c>
      <c r="G72">
        <v>-2.0512820512820515</v>
      </c>
      <c r="H72">
        <v>1.3261E-2</v>
      </c>
      <c r="I72">
        <v>2.0799999999999999E-2</v>
      </c>
      <c r="J72">
        <v>7.5389999999999988E-3</v>
      </c>
      <c r="K72">
        <v>0.63754807692307691</v>
      </c>
      <c r="L72">
        <f>Table17[[#This Row],[oss]]*INDEX(Table59[k_OSS2ROP],MATCH(Table17[[#This Row],[site]],Table59[site],FALSE))</f>
        <v>-2.0512820512820517E-3</v>
      </c>
      <c r="M72">
        <f>Table17[[#This Row],[srp]]*INDEX(Table59[k_SRP2PIP],MATCH(Table17[[#This Row],[site]],Table59[site],FALSE))</f>
        <v>8.2575816570690189E-3</v>
      </c>
      <c r="N72">
        <f>Table17[[#This Row],[iss]]*INDEX(Table59[k_ISS2PIP],MATCH(Table17[[#This Row],[site]],Table59[site],FALSE))</f>
        <v>5.5375309562824262E-3</v>
      </c>
      <c r="O72">
        <f>Table17[[#This Row],[rop]]+Table17[[#This Row],[lop]]+Table17[[#This Row],[pip]]</f>
        <v>1.1743830562069395E-2</v>
      </c>
      <c r="P72">
        <f>(Table17[[#This Row],[nsrp_pred]]-Table17[[#This Row],[nsrp]])^2</f>
        <v>1.7680600055712831E-5</v>
      </c>
      <c r="Q72">
        <f>(Table17[[#This Row],[nsrp]]-INDEX(Table59[mean_nsrp],MATCH(Table17[[#This Row],[site]],Table59[site],0)))^2</f>
        <v>1.6231679078398146E-3</v>
      </c>
    </row>
    <row r="73" spans="1:17">
      <c r="A73" t="s">
        <v>26</v>
      </c>
      <c r="B73" t="s">
        <v>22</v>
      </c>
      <c r="C73">
        <v>1.574487777777778E-3</v>
      </c>
      <c r="D73">
        <f>Table17[[#This Row],[iss]]/Table17[[#This Row],[tss]]</f>
        <v>0.1111111111111111</v>
      </c>
      <c r="E73">
        <v>18</v>
      </c>
      <c r="F73">
        <v>2</v>
      </c>
      <c r="G73">
        <v>16</v>
      </c>
      <c r="H73">
        <v>1.2592199999999999E-3</v>
      </c>
      <c r="I73">
        <v>2.9600000000000001E-2</v>
      </c>
      <c r="J73">
        <v>2.8340780000000003E-2</v>
      </c>
      <c r="K73">
        <v>4.2541216216216211E-2</v>
      </c>
      <c r="L73">
        <f>Table17[[#This Row],[oss]]*INDEX(Table59[k_OSS2ROP],MATCH(Table17[[#This Row],[site]],Table59[site],FALSE))</f>
        <v>1.6E-2</v>
      </c>
      <c r="M73">
        <f>Table17[[#This Row],[srp]]*INDEX(Table59[k_SRP2PIP],MATCH(Table17[[#This Row],[site]],Table59[site],FALSE))</f>
        <v>7.8411220678790809E-4</v>
      </c>
      <c r="N73">
        <f>Table17[[#This Row],[iss]]*INDEX(Table59[k_ISS2PIP],MATCH(Table17[[#This Row],[site]],Table59[site],0))</f>
        <v>1.7996975607917881E-3</v>
      </c>
      <c r="O73">
        <f>Table17[[#This Row],[rop]]+Table17[[#This Row],[lop]]+Table17[[#This Row],[pip]]</f>
        <v>1.8583809767579697E-2</v>
      </c>
      <c r="P73">
        <f>(Table17[[#This Row],[nsrp_pred]]-Table17[[#This Row],[nsrp]])^2</f>
        <v>9.5198468116335956E-5</v>
      </c>
      <c r="Q73">
        <f>(Table17[[#This Row],[nsrp]]-INDEX(Table59[mean_nsrp],MATCH(Table17[[#This Row],[site]],Table59[site],0)))^2</f>
        <v>3.7973451784690377E-4</v>
      </c>
    </row>
    <row r="74" spans="1:17">
      <c r="A74" t="s">
        <v>26</v>
      </c>
      <c r="B74" t="s">
        <v>22</v>
      </c>
      <c r="C74">
        <v>1.279669464285714E-3</v>
      </c>
      <c r="D74">
        <f>Table17[[#This Row],[iss]]/Table17[[#This Row],[tss]]</f>
        <v>0.1041666666666667</v>
      </c>
      <c r="E74">
        <v>112.00000000000001</v>
      </c>
      <c r="F74">
        <v>11.666666666666671</v>
      </c>
      <c r="G74">
        <v>100.33333333333334</v>
      </c>
      <c r="H74">
        <v>3.67702E-3</v>
      </c>
      <c r="I74">
        <v>0.14699999999999999</v>
      </c>
      <c r="J74">
        <v>0.14332297999999999</v>
      </c>
      <c r="K74">
        <v>2.501374149659864E-2</v>
      </c>
      <c r="L74">
        <f>Table17[[#This Row],[oss]]*INDEX(Table59[k_OSS2ROP],MATCH(Table17[[#This Row],[site]],Table59[site],FALSE))</f>
        <v>0.10033333333333334</v>
      </c>
      <c r="M74">
        <f>Table17[[#This Row],[srp]]*INDEX(Table59[k_SRP2PIP],MATCH(Table17[[#This Row],[site]],Table59[site],FALSE))</f>
        <v>2.2896684190238988E-3</v>
      </c>
      <c r="N74">
        <f>Table17[[#This Row],[iss]]*INDEX(Table59[k_ISS2PIP],MATCH(Table17[[#This Row],[site]],Table59[site],0))</f>
        <v>1.0498235771285435E-2</v>
      </c>
      <c r="O74">
        <f>Table17[[#This Row],[rop]]+Table17[[#This Row],[lop]]+Table17[[#This Row],[pip]]</f>
        <v>0.11312123752364267</v>
      </c>
      <c r="P74">
        <f>(Table17[[#This Row],[nsrp_pred]]-Table17[[#This Row],[nsrp]])^2</f>
        <v>9.1214524860820591E-4</v>
      </c>
      <c r="Q74">
        <f>(Table17[[#This Row],[nsrp]]-INDEX(Table59[mean_nsrp],MATCH(Table17[[#This Row],[site]],Table59[site],0)))^2</f>
        <v>9.1193756179320067E-3</v>
      </c>
    </row>
    <row r="75" spans="1:17">
      <c r="A75" t="s">
        <v>26</v>
      </c>
      <c r="B75" t="s">
        <v>22</v>
      </c>
      <c r="C75">
        <v>1.1589953488372092E-3</v>
      </c>
      <c r="D75">
        <f>Table17[[#This Row],[iss]]/Table17[[#This Row],[tss]]</f>
        <v>6.2015503875968991E-2</v>
      </c>
      <c r="E75">
        <v>80.625</v>
      </c>
      <c r="F75">
        <v>5</v>
      </c>
      <c r="G75">
        <v>75.625</v>
      </c>
      <c r="H75">
        <v>7.5560000000000002E-3</v>
      </c>
      <c r="I75">
        <v>0.10100000000000001</v>
      </c>
      <c r="J75">
        <v>9.3443999999999999E-2</v>
      </c>
      <c r="K75">
        <v>7.4811881188118809E-2</v>
      </c>
      <c r="L75">
        <f>Table17[[#This Row],[oss]]*INDEX(Table59[k_OSS2ROP],MATCH(Table17[[#This Row],[site]],Table59[site],FALSE))</f>
        <v>7.5624999999999998E-2</v>
      </c>
      <c r="M75">
        <f>Table17[[#This Row],[srp]]*INDEX(Table59[k_SRP2PIP],MATCH(Table17[[#This Row],[site]],Table59[site],FALSE))</f>
        <v>4.7050966745202857E-3</v>
      </c>
      <c r="N75">
        <f>Table17[[#This Row],[iss]]*INDEX(Table59[k_ISS2PIP],MATCH(Table17[[#This Row],[site]],Table59[site],0))</f>
        <v>4.4992439019794703E-3</v>
      </c>
      <c r="O75">
        <f>Table17[[#This Row],[rop]]+Table17[[#This Row],[lop]]+Table17[[#This Row],[pip]]</f>
        <v>8.4829340576499768E-2</v>
      </c>
      <c r="P75">
        <f>(Table17[[#This Row],[nsrp_pred]]-Table17[[#This Row],[nsrp]])^2</f>
        <v>7.4212356982901343E-5</v>
      </c>
      <c r="Q75">
        <f>(Table17[[#This Row],[nsrp]]-INDEX(Table59[mean_nsrp],MATCH(Table17[[#This Row],[site]],Table59[site],0)))^2</f>
        <v>2.0808597783384987E-3</v>
      </c>
    </row>
    <row r="76" spans="1:17">
      <c r="A76" t="s">
        <v>26</v>
      </c>
      <c r="B76" t="s">
        <v>22</v>
      </c>
      <c r="C76">
        <v>6.179147727272728E-4</v>
      </c>
      <c r="D76">
        <f>Table17[[#This Row],[iss]]/Table17[[#This Row],[tss]]</f>
        <v>3.7878787878787866E-2</v>
      </c>
      <c r="E76">
        <v>58.666666666666664</v>
      </c>
      <c r="F76">
        <v>2.2222222222222214</v>
      </c>
      <c r="G76">
        <v>56.444444444444443</v>
      </c>
      <c r="H76">
        <v>3.7948999999999997E-2</v>
      </c>
      <c r="I76">
        <v>7.4200000000000002E-2</v>
      </c>
      <c r="J76">
        <v>3.6251000000000005E-2</v>
      </c>
      <c r="K76">
        <v>0.51144204851752018</v>
      </c>
      <c r="L76">
        <f>Table17[[#This Row],[oss]]*INDEX(Table59[k_OSS2ROP],MATCH(Table17[[#This Row],[site]],Table59[site],FALSE))</f>
        <v>5.6444444444444443E-2</v>
      </c>
      <c r="M76">
        <f>Table17[[#This Row],[srp]]*INDEX(Table59[k_SRP2PIP],MATCH(Table17[[#This Row],[site]],Table59[site],FALSE))</f>
        <v>2.3630719124056419E-2</v>
      </c>
      <c r="N76">
        <f>Table17[[#This Row],[iss]]*INDEX(Table59[k_ISS2PIP],MATCH(Table17[[#This Row],[site]],Table59[site],0))</f>
        <v>1.9996639564353194E-3</v>
      </c>
      <c r="O76">
        <f>Table17[[#This Row],[rop]]+Table17[[#This Row],[lop]]+Table17[[#This Row],[pip]]</f>
        <v>8.2074827524936181E-2</v>
      </c>
      <c r="P76">
        <f>(Table17[[#This Row],[nsrp_pred]]-Table17[[#This Row],[nsrp]])^2</f>
        <v>2.0998231690350982E-3</v>
      </c>
      <c r="Q76">
        <f>(Table17[[#This Row],[nsrp]]-INDEX(Table59[mean_nsrp],MATCH(Table17[[#This Row],[site]],Table59[site],0)))^2</f>
        <v>1.340166957366564E-4</v>
      </c>
    </row>
    <row r="77" spans="1:17">
      <c r="A77" t="s">
        <v>26</v>
      </c>
      <c r="B77" t="s">
        <v>22</v>
      </c>
      <c r="C77">
        <v>9.4863894967177234E-4</v>
      </c>
      <c r="D77">
        <f>Table17[[#This Row],[iss]]/Table17[[#This Row],[tss]]</f>
        <v>6.5645514223194742E-2</v>
      </c>
      <c r="E77">
        <v>57.125</v>
      </c>
      <c r="F77">
        <v>3.75</v>
      </c>
      <c r="G77">
        <v>53.375</v>
      </c>
      <c r="H77">
        <v>9.2090000000000002E-3</v>
      </c>
      <c r="I77">
        <v>6.3399999999999998E-2</v>
      </c>
      <c r="J77">
        <v>5.4190999999999996E-2</v>
      </c>
      <c r="K77">
        <v>0.14525236593059937</v>
      </c>
      <c r="L77">
        <f>Table17[[#This Row],[oss]]*INDEX(Table59[k_OSS2ROP],MATCH(Table17[[#This Row],[site]],Table59[site],FALSE))</f>
        <v>5.3374999999999999E-2</v>
      </c>
      <c r="M77">
        <f>Table17[[#This Row],[srp]]*INDEX(Table59[k_SRP2PIP],MATCH(Table17[[#This Row],[site]],Table59[site],FALSE))</f>
        <v>5.7344144091658698E-3</v>
      </c>
      <c r="N77">
        <f>Table17[[#This Row],[iss]]*INDEX(Table59[k_ISS2PIP],MATCH(Table17[[#This Row],[site]],Table59[site],0))</f>
        <v>3.3744329264846027E-3</v>
      </c>
      <c r="O77">
        <f>Table17[[#This Row],[rop]]+Table17[[#This Row],[lop]]+Table17[[#This Row],[pip]]</f>
        <v>6.2483847335650468E-2</v>
      </c>
      <c r="P77">
        <f>(Table17[[#This Row],[nsrp_pred]]-Table17[[#This Row],[nsrp]])^2</f>
        <v>6.8771316932405134E-5</v>
      </c>
      <c r="Q77">
        <f>(Table17[[#This Row],[nsrp]]-INDEX(Table59[mean_nsrp],MATCH(Table17[[#This Row],[site]],Table59[site],0)))^2</f>
        <v>4.0493393752445959E-5</v>
      </c>
    </row>
    <row r="78" spans="1:17">
      <c r="A78" t="s">
        <v>26</v>
      </c>
      <c r="B78" t="s">
        <v>22</v>
      </c>
      <c r="C78">
        <v>1.1442523809523809E-3</v>
      </c>
      <c r="D78">
        <f>Table17[[#This Row],[iss]]/Table17[[#This Row],[tss]]</f>
        <v>9.5238095238095219E-2</v>
      </c>
      <c r="E78">
        <v>11.052631578947368</v>
      </c>
      <c r="F78">
        <v>1.0526315789473681</v>
      </c>
      <c r="G78">
        <v>10</v>
      </c>
      <c r="H78">
        <v>9.2530000000000008E-3</v>
      </c>
      <c r="I78">
        <v>2.1899999999999999E-2</v>
      </c>
      <c r="J78">
        <v>1.2646999999999999E-2</v>
      </c>
      <c r="K78">
        <v>0.42251141552511423</v>
      </c>
      <c r="L78">
        <f>Table17[[#This Row],[oss]]*INDEX(Table59[k_OSS2ROP],MATCH(Table17[[#This Row],[site]],Table59[site],FALSE))</f>
        <v>0.01</v>
      </c>
      <c r="M78">
        <f>Table17[[#This Row],[srp]]*INDEX(Table59[k_SRP2PIP],MATCH(Table17[[#This Row],[site]],Table59[site],FALSE))</f>
        <v>5.7618130663494183E-3</v>
      </c>
      <c r="N78">
        <f>Table17[[#This Row],[iss]]*INDEX(Table59[k_ISS2PIP],MATCH(Table17[[#This Row],[site]],Table59[site],0))</f>
        <v>9.4720924252199344E-4</v>
      </c>
      <c r="O78">
        <f>Table17[[#This Row],[rop]]+Table17[[#This Row],[lop]]+Table17[[#This Row],[pip]]</f>
        <v>1.6709022308871412E-2</v>
      </c>
      <c r="P78">
        <f>(Table17[[#This Row],[nsrp_pred]]-Table17[[#This Row],[nsrp]])^2</f>
        <v>1.6500025237769046E-5</v>
      </c>
      <c r="Q78">
        <f>(Table17[[#This Row],[nsrp]]-INDEX(Table59[mean_nsrp],MATCH(Table17[[#This Row],[site]],Table59[site],0)))^2</f>
        <v>1.2376716630429724E-3</v>
      </c>
    </row>
    <row r="79" spans="1:17">
      <c r="A79" t="s">
        <v>26</v>
      </c>
      <c r="B79" t="s">
        <v>22</v>
      </c>
      <c r="C79">
        <v>2.1486428571428559E-4</v>
      </c>
      <c r="D79">
        <f>Table17[[#This Row],[iss]]/Table17[[#This Row],[tss]]</f>
        <v>0.14285714285714293</v>
      </c>
      <c r="E79">
        <v>7.5675675675675675</v>
      </c>
      <c r="F79">
        <v>1.0810810810810816</v>
      </c>
      <c r="G79">
        <v>6.486486486486486</v>
      </c>
      <c r="H79">
        <v>1.7274000000000001E-2</v>
      </c>
      <c r="I79">
        <v>1.89E-2</v>
      </c>
      <c r="J79">
        <v>1.625999999999999E-3</v>
      </c>
      <c r="K79">
        <v>0.91396825396825399</v>
      </c>
      <c r="L79">
        <f>Table17[[#This Row],[oss]]*INDEX(Table59[k_OSS2ROP],MATCH(Table17[[#This Row],[site]],Table59[site],FALSE))</f>
        <v>6.4864864864864862E-3</v>
      </c>
      <c r="M79">
        <f>Table17[[#This Row],[srp]]*INDEX(Table59[k_SRP2PIP],MATCH(Table17[[#This Row],[site]],Table59[site],FALSE))</f>
        <v>1.0756463731559479E-2</v>
      </c>
      <c r="N79">
        <f>Table17[[#This Row],[iss]]*INDEX(Table59[k_ISS2PIP],MATCH(Table17[[#This Row],[site]],Table59[site],0))</f>
        <v>9.7280949231988586E-4</v>
      </c>
      <c r="O79">
        <f>Table17[[#This Row],[rop]]+Table17[[#This Row],[lop]]+Table17[[#This Row],[pip]]</f>
        <v>1.8215759710365848E-2</v>
      </c>
      <c r="P79">
        <f>(Table17[[#This Row],[nsrp_pred]]-Table17[[#This Row],[nsrp]])^2</f>
        <v>2.7522012724767795E-4</v>
      </c>
      <c r="Q79">
        <f>(Table17[[#This Row],[nsrp]]-INDEX(Table59[mean_nsrp],MATCH(Table17[[#This Row],[site]],Table59[site],0)))^2</f>
        <v>2.1345839640590247E-3</v>
      </c>
    </row>
    <row r="80" spans="1:17">
      <c r="A80" t="s">
        <v>26</v>
      </c>
      <c r="B80" t="s">
        <v>22</v>
      </c>
      <c r="C80">
        <v>1.8763687499999996E-3</v>
      </c>
      <c r="D80">
        <f>Table17[[#This Row],[iss]]/Table17[[#This Row],[tss]]</f>
        <v>0.12499999999999986</v>
      </c>
      <c r="E80">
        <v>8.4210526315789469</v>
      </c>
      <c r="F80">
        <v>1.0526315789473673</v>
      </c>
      <c r="G80">
        <v>7.3684210526315796</v>
      </c>
      <c r="H80">
        <v>8.5990000000000007E-3</v>
      </c>
      <c r="I80">
        <v>2.4399999999999998E-2</v>
      </c>
      <c r="J80">
        <v>1.5800999999999996E-2</v>
      </c>
      <c r="K80">
        <v>0.35241803278688533</v>
      </c>
      <c r="L80">
        <f>Table17[[#This Row],[oss]]*INDEX(Table59[k_OSS2ROP],MATCH(Table17[[#This Row],[site]],Table59[site],FALSE))</f>
        <v>7.3684210526315796E-3</v>
      </c>
      <c r="M80">
        <f>Table17[[#This Row],[srp]]*INDEX(Table59[k_SRP2PIP],MATCH(Table17[[#This Row],[site]],Table59[site],FALSE))</f>
        <v>5.3545693891212205E-3</v>
      </c>
      <c r="N80">
        <f>Table17[[#This Row],[iss]]*INDEX(Table59[k_ISS2PIP],MATCH(Table17[[#This Row],[site]],Table59[site],0))</f>
        <v>9.4720924252199269E-4</v>
      </c>
      <c r="O80">
        <f>Table17[[#This Row],[rop]]+Table17[[#This Row],[lop]]+Table17[[#This Row],[pip]]</f>
        <v>1.3670199684274794E-2</v>
      </c>
      <c r="P80">
        <f>(Table17[[#This Row],[nsrp_pred]]-Table17[[#This Row],[nsrp]])^2</f>
        <v>4.5403099854946186E-6</v>
      </c>
      <c r="Q80">
        <f>(Table17[[#This Row],[nsrp]]-INDEX(Table59[mean_nsrp],MATCH(Table17[[#This Row],[site]],Table59[site],0)))^2</f>
        <v>1.0257004190129726E-3</v>
      </c>
    </row>
    <row r="81" spans="1:17">
      <c r="A81" t="s">
        <v>26</v>
      </c>
      <c r="B81" t="s">
        <v>22</v>
      </c>
      <c r="C81">
        <v>3.9716666666666667E-3</v>
      </c>
      <c r="D81">
        <f>Table17[[#This Row],[iss]]/Table17[[#This Row],[tss]]</f>
        <v>0.16666666666666666</v>
      </c>
      <c r="E81">
        <v>6</v>
      </c>
      <c r="F81">
        <v>1</v>
      </c>
      <c r="G81">
        <v>5</v>
      </c>
      <c r="H81">
        <v>5.47E-3</v>
      </c>
      <c r="I81">
        <v>2.93E-2</v>
      </c>
      <c r="J81">
        <v>2.383E-2</v>
      </c>
      <c r="K81">
        <v>0.18668941979522186</v>
      </c>
      <c r="L81">
        <f>Table17[[#This Row],[oss]]*INDEX(Table59[k_OSS2ROP],MATCH(Table17[[#This Row],[site]],Table59[site],FALSE))</f>
        <v>5.0000000000000001E-3</v>
      </c>
      <c r="M81">
        <f>Table17[[#This Row],[srp]]*INDEX(Table59[k_SRP2PIP],MATCH(Table17[[#This Row],[site]],Table59[site],FALSE))</f>
        <v>3.4061512453184175E-3</v>
      </c>
      <c r="N81">
        <f>Table17[[#This Row],[iss]]*INDEX(Table59[k_ISS2PIP],MATCH(Table17[[#This Row],[site]],Table59[site],0))</f>
        <v>8.9984878039589403E-4</v>
      </c>
      <c r="O81">
        <f>Table17[[#This Row],[rop]]+Table17[[#This Row],[lop]]+Table17[[#This Row],[pip]]</f>
        <v>9.3060000257143109E-3</v>
      </c>
      <c r="P81">
        <f>(Table17[[#This Row],[nsrp_pred]]-Table17[[#This Row],[nsrp]])^2</f>
        <v>2.109465752530507E-4</v>
      </c>
      <c r="Q81">
        <f>(Table17[[#This Row],[nsrp]]-INDEX(Table59[mean_nsrp],MATCH(Table17[[#This Row],[site]],Table59[site],0)))^2</f>
        <v>5.7588279122639332E-4</v>
      </c>
    </row>
    <row r="82" spans="1:17">
      <c r="A82" t="s">
        <v>26</v>
      </c>
      <c r="B82" t="s">
        <v>23</v>
      </c>
      <c r="C82">
        <v>2.4344385964912281E-3</v>
      </c>
      <c r="D82">
        <f>Table17[[#This Row],[iss]]/Table17[[#This Row],[tss]]</f>
        <v>0.85964912280701755</v>
      </c>
      <c r="E82">
        <v>35.625</v>
      </c>
      <c r="F82">
        <v>30.625</v>
      </c>
      <c r="G82">
        <v>5</v>
      </c>
      <c r="H82">
        <v>1.532E-2</v>
      </c>
      <c r="I82">
        <v>0.102046875</v>
      </c>
      <c r="J82">
        <v>8.6726874999999995E-2</v>
      </c>
      <c r="K82">
        <v>0.15012708620425663</v>
      </c>
      <c r="L82">
        <f>Table17[[#This Row],[oss]]*INDEX(Table59[k_OSS2ROP],MATCH(Table17[[#This Row],[site]],Table59[site],FALSE))</f>
        <v>5.0000000000000001E-3</v>
      </c>
      <c r="M82">
        <f>Table17[[#This Row],[srp]]*INDEX(Table59[k_SRP2PIP],MATCH(Table17[[#This Row],[site]],Table59[site],FALSE))</f>
        <v>9.5397142739082549E-3</v>
      </c>
      <c r="N82">
        <f>Table17[[#This Row],[iss]]*INDEX(Table59[k_ISS2PIP],MATCH(Table17[[#This Row],[site]],Table59[site],0))</f>
        <v>2.7557868899624256E-2</v>
      </c>
      <c r="O82">
        <f>Table17[[#This Row],[rop]]+Table17[[#This Row],[lop]]+Table17[[#This Row],[pip]]</f>
        <v>4.2097583173532516E-2</v>
      </c>
      <c r="P82">
        <f>(Table17[[#This Row],[nsrp_pred]]-Table17[[#This Row],[nsrp]])^2</f>
        <v>1.991773688931997E-3</v>
      </c>
      <c r="Q82">
        <f>(Table17[[#This Row],[nsrp]]-INDEX(Table59[mean_nsrp],MATCH(Table17[[#This Row],[site]],Table59[site],0)))^2</f>
        <v>1.5131568610191562E-3</v>
      </c>
    </row>
    <row r="83" spans="1:17">
      <c r="A83" t="s">
        <v>26</v>
      </c>
      <c r="B83" t="s">
        <v>23</v>
      </c>
      <c r="C83">
        <v>2.0759183673469198E-3</v>
      </c>
      <c r="D83">
        <f>Table17[[#This Row],[iss]]/Table17[[#This Row],[tss]]</f>
        <v>0.87755102040816435</v>
      </c>
      <c r="E83">
        <v>24.500000000000227</v>
      </c>
      <c r="F83">
        <v>21.500000000000227</v>
      </c>
      <c r="G83">
        <v>3</v>
      </c>
      <c r="H83">
        <v>2.3539999999999998E-2</v>
      </c>
      <c r="I83">
        <v>7.4400000000000008E-2</v>
      </c>
      <c r="J83">
        <v>5.0860000000000009E-2</v>
      </c>
      <c r="K83">
        <v>0.31639784946236554</v>
      </c>
      <c r="L83">
        <f>Table17[[#This Row],[oss]]*INDEX(Table59[k_OSS2ROP],MATCH(Table17[[#This Row],[site]],Table59[site],FALSE))</f>
        <v>3.0000000000000001E-3</v>
      </c>
      <c r="M83">
        <f>Table17[[#This Row],[srp]]*INDEX(Table59[k_SRP2PIP],MATCH(Table17[[#This Row],[site]],Table59[site],FALSE))</f>
        <v>1.4658281593198454E-2</v>
      </c>
      <c r="N83">
        <f>Table17[[#This Row],[iss]]*INDEX(Table59[k_ISS2PIP],MATCH(Table17[[#This Row],[site]],Table59[site],0))</f>
        <v>1.9346748778511925E-2</v>
      </c>
      <c r="O83">
        <f>Table17[[#This Row],[rop]]+Table17[[#This Row],[lop]]+Table17[[#This Row],[pip]]</f>
        <v>3.7005030371710379E-2</v>
      </c>
      <c r="P83">
        <f>(Table17[[#This Row],[nsrp_pred]]-Table17[[#This Row],[nsrp]])^2</f>
        <v>1.9196018340082811E-4</v>
      </c>
      <c r="Q83">
        <f>(Table17[[#This Row],[nsrp]]-INDEX(Table59[mean_nsrp],MATCH(Table17[[#This Row],[site]],Table59[site],0)))^2</f>
        <v>9.195704323761849E-6</v>
      </c>
    </row>
    <row r="84" spans="1:17">
      <c r="A84" t="s">
        <v>26</v>
      </c>
      <c r="B84" t="s">
        <v>23</v>
      </c>
      <c r="C84">
        <v>1.736E-2</v>
      </c>
      <c r="D84">
        <f>Table17[[#This Row],[iss]]/Table17[[#This Row],[tss]]</f>
        <v>1</v>
      </c>
      <c r="E84">
        <v>4</v>
      </c>
      <c r="F84">
        <v>4</v>
      </c>
      <c r="G84">
        <v>0</v>
      </c>
      <c r="H84">
        <v>1.736E-2</v>
      </c>
      <c r="I84">
        <v>8.6800000000000002E-2</v>
      </c>
      <c r="J84">
        <v>6.9440000000000002E-2</v>
      </c>
      <c r="K84">
        <v>0.2</v>
      </c>
      <c r="L84">
        <f>Table17[[#This Row],[oss]]*INDEX(Table59[k_OSS2ROP],MATCH(Table17[[#This Row],[site]],Table59[site],FALSE))</f>
        <v>0</v>
      </c>
      <c r="M84">
        <f>Table17[[#This Row],[srp]]*INDEX(Table59[k_SRP2PIP],MATCH(Table17[[#This Row],[site]],Table59[site],FALSE))</f>
        <v>1.0810015652418231E-2</v>
      </c>
      <c r="N84">
        <f>Table17[[#This Row],[iss]]*INDEX(Table59[k_ISS2PIP],MATCH(Table17[[#This Row],[site]],Table59[site],0))</f>
        <v>3.5993951215835761E-3</v>
      </c>
      <c r="O84">
        <f>Table17[[#This Row],[rop]]+Table17[[#This Row],[lop]]+Table17[[#This Row],[pip]]</f>
        <v>1.4409410774001808E-2</v>
      </c>
      <c r="P84">
        <f>(Table17[[#This Row],[nsrp_pred]]-Table17[[#This Row],[nsrp]])^2</f>
        <v>3.0283657505605489E-3</v>
      </c>
      <c r="Q84">
        <f>(Table17[[#This Row],[nsrp]]-INDEX(Table59[mean_nsrp],MATCH(Table17[[#This Row],[site]],Table59[site],0)))^2</f>
        <v>4.6709764806586717E-4</v>
      </c>
    </row>
    <row r="85" spans="1:17">
      <c r="A85" t="s">
        <v>26</v>
      </c>
      <c r="B85" t="s">
        <v>23</v>
      </c>
      <c r="C85">
        <v>1.5975384615384617E-3</v>
      </c>
      <c r="D85">
        <f>Table17[[#This Row],[iss]]/Table17[[#This Row],[tss]]</f>
        <v>1</v>
      </c>
      <c r="E85">
        <v>24.375</v>
      </c>
      <c r="F85">
        <v>24.375</v>
      </c>
      <c r="G85">
        <v>0</v>
      </c>
      <c r="H85">
        <v>2.376E-2</v>
      </c>
      <c r="I85">
        <v>6.2700000000000006E-2</v>
      </c>
      <c r="J85">
        <v>3.8940000000000002E-2</v>
      </c>
      <c r="K85">
        <v>0.37894736842105259</v>
      </c>
      <c r="L85">
        <f>Table17[[#This Row],[oss]]*INDEX(Table59[k_OSS2ROP],MATCH(Table17[[#This Row],[site]],Table59[site],FALSE))</f>
        <v>0</v>
      </c>
      <c r="M85">
        <f>Table17[[#This Row],[srp]]*INDEX(Table59[k_SRP2PIP],MATCH(Table17[[#This Row],[site]],Table59[site],FALSE))</f>
        <v>1.4795274879116197E-2</v>
      </c>
      <c r="N85">
        <f>Table17[[#This Row],[iss]]*INDEX(Table59[k_ISS2PIP],MATCH(Table17[[#This Row],[site]],Table59[site],0))</f>
        <v>2.1933814022149917E-2</v>
      </c>
      <c r="O85">
        <f>Table17[[#This Row],[rop]]+Table17[[#This Row],[lop]]+Table17[[#This Row],[pip]]</f>
        <v>3.672908890126611E-2</v>
      </c>
      <c r="P85">
        <f>(Table17[[#This Row],[nsrp_pred]]-Table17[[#This Row],[nsrp]])^2</f>
        <v>4.8881278865047058E-6</v>
      </c>
      <c r="Q85">
        <f>(Table17[[#This Row],[nsrp]]-INDEX(Table59[mean_nsrp],MATCH(Table17[[#This Row],[site]],Table59[site],0)))^2</f>
        <v>7.898868767113016E-5</v>
      </c>
    </row>
    <row r="86" spans="1:17">
      <c r="A86" t="s">
        <v>26</v>
      </c>
      <c r="B86" t="s">
        <v>23</v>
      </c>
      <c r="C86">
        <v>1.0497729729729728E-3</v>
      </c>
      <c r="D86">
        <f>Table17[[#This Row],[iss]]/Table17[[#This Row],[tss]]</f>
        <v>0.21621621621621623</v>
      </c>
      <c r="E86">
        <v>61.666666666666671</v>
      </c>
      <c r="F86">
        <v>13.333333333333336</v>
      </c>
      <c r="G86">
        <v>48.333333333333336</v>
      </c>
      <c r="H86">
        <v>3.0263999999999999E-2</v>
      </c>
      <c r="I86">
        <v>9.5000000000000001E-2</v>
      </c>
      <c r="J86">
        <v>6.4736000000000002E-2</v>
      </c>
      <c r="K86">
        <v>0.31856842105263156</v>
      </c>
      <c r="L86">
        <f>Table17[[#This Row],[oss]]*INDEX(Table59[k_OSS2ROP],MATCH(Table17[[#This Row],[site]],Table59[site],FALSE))</f>
        <v>4.8333333333333339E-2</v>
      </c>
      <c r="M86">
        <f>Table17[[#This Row],[srp]]*INDEX(Table59[k_SRP2PIP],MATCH(Table17[[#This Row],[site]],Table59[site],FALSE))</f>
        <v>1.8845294568248003E-2</v>
      </c>
      <c r="N86">
        <f>Table17[[#This Row],[iss]]*INDEX(Table59[k_ISS2PIP],MATCH(Table17[[#This Row],[site]],Table59[site],0))</f>
        <v>1.1997983738611922E-2</v>
      </c>
      <c r="O86">
        <f>Table17[[#This Row],[rop]]+Table17[[#This Row],[lop]]+Table17[[#This Row],[pip]]</f>
        <v>7.9176611640193267E-2</v>
      </c>
      <c r="P86">
        <f>(Table17[[#This Row],[nsrp_pred]]-Table17[[#This Row],[nsrp]])^2</f>
        <v>2.0853126454288524E-4</v>
      </c>
      <c r="Q86">
        <f>(Table17[[#This Row],[nsrp]]-INDEX(Table59[mean_nsrp],MATCH(Table17[[#This Row],[site]],Table59[site],0)))^2</f>
        <v>2.8589540997744608E-4</v>
      </c>
    </row>
    <row r="87" spans="1:17">
      <c r="A87" t="s">
        <v>26</v>
      </c>
      <c r="B87" t="s">
        <v>23</v>
      </c>
      <c r="C87">
        <v>1.9523499999999998E-3</v>
      </c>
      <c r="D87">
        <f>Table17[[#This Row],[iss]]/Table17[[#This Row],[tss]]</f>
        <v>0.44444444444444448</v>
      </c>
      <c r="E87">
        <v>20</v>
      </c>
      <c r="F87">
        <v>8.8888888888888893</v>
      </c>
      <c r="G87">
        <v>11.111111111111111</v>
      </c>
      <c r="H87">
        <v>1.6653000000000001E-2</v>
      </c>
      <c r="I87">
        <v>5.57E-2</v>
      </c>
      <c r="J87">
        <v>3.9046999999999998E-2</v>
      </c>
      <c r="K87">
        <v>0.29897666068222623</v>
      </c>
      <c r="L87">
        <f>Table17[[#This Row],[oss]]*INDEX(Table59[k_OSS2ROP],MATCH(Table17[[#This Row],[site]],Table59[site],FALSE))</f>
        <v>1.1111111111111112E-2</v>
      </c>
      <c r="M87">
        <f>Table17[[#This Row],[srp]]*INDEX(Table59[k_SRP2PIP],MATCH(Table17[[#This Row],[site]],Table59[site],FALSE))</f>
        <v>1.0369769047218941E-2</v>
      </c>
      <c r="N87">
        <f>Table17[[#This Row],[iss]]*INDEX(Table59[k_ISS2PIP],MATCH(Table17[[#This Row],[site]],Table59[site],0))</f>
        <v>7.9986558257412813E-3</v>
      </c>
      <c r="O87">
        <f>Table17[[#This Row],[rop]]+Table17[[#This Row],[lop]]+Table17[[#This Row],[pip]]</f>
        <v>2.9479535984071333E-2</v>
      </c>
      <c r="P87">
        <f>(Table17[[#This Row],[nsrp_pred]]-Table17[[#This Row],[nsrp]])^2</f>
        <v>9.153636769608987E-5</v>
      </c>
      <c r="Q87">
        <f>(Table17[[#This Row],[nsrp]]-INDEX(Table59[mean_nsrp],MATCH(Table17[[#This Row],[site]],Table59[site],0)))^2</f>
        <v>7.7098199253498656E-5</v>
      </c>
    </row>
    <row r="88" spans="1:17" hidden="1">
      <c r="A88" t="s">
        <v>26</v>
      </c>
      <c r="B88" t="s">
        <v>23</v>
      </c>
      <c r="C88">
        <v>2.1346500000000004E-2</v>
      </c>
      <c r="D88">
        <f>Table17[[#This Row],[iss]]/Table17[[#This Row],[tss]]</f>
        <v>3.5</v>
      </c>
      <c r="E88">
        <v>2</v>
      </c>
      <c r="F88">
        <v>7</v>
      </c>
      <c r="G88">
        <v>-5</v>
      </c>
      <c r="H88">
        <v>4.9707000000000001E-2</v>
      </c>
      <c r="I88">
        <v>9.240000000000001E-2</v>
      </c>
      <c r="J88">
        <v>4.2693000000000009E-2</v>
      </c>
      <c r="K88">
        <v>0.53795454545454546</v>
      </c>
      <c r="L88">
        <f>Table17[[#This Row],[oss]]*INDEX(Table59[k_OSS2ROP],MATCH(Table17[[#This Row],[site]],Table59[site],FALSE))</f>
        <v>-5.0000000000000001E-3</v>
      </c>
      <c r="M88">
        <f>Table17[[#This Row],[srp]]*INDEX(Table59[k_SRP2PIP],MATCH(Table17[[#This Row],[site]],Table59[site],FALSE))</f>
        <v>3.0952387559605589E-2</v>
      </c>
      <c r="N88">
        <f>Table17[[#This Row],[iss]]*INDEX(Table59[k_ISS2PIP],MATCH(Table17[[#This Row],[site]],Table59[site],FALSE))</f>
        <v>6.2989414627712586E-3</v>
      </c>
      <c r="O88">
        <f>Table17[[#This Row],[rop]]+Table17[[#This Row],[lop]]+Table17[[#This Row],[pip]]</f>
        <v>3.2251329022376846E-2</v>
      </c>
      <c r="P88">
        <f>(Table17[[#This Row],[nsrp_pred]]-Table17[[#This Row],[nsrp]])^2</f>
        <v>1.0902849280493786E-4</v>
      </c>
      <c r="Q88">
        <f>(Table17[[#This Row],[nsrp]]-INDEX(Table59[mean_nsrp],MATCH(Table17[[#This Row],[site]],Table59[site],0)))^2</f>
        <v>2.63636861256038E-5</v>
      </c>
    </row>
    <row r="89" spans="1:17">
      <c r="A89" t="s">
        <v>26</v>
      </c>
      <c r="B89" t="s">
        <v>23</v>
      </c>
      <c r="C89">
        <v>1.6237741935483875E-3</v>
      </c>
      <c r="D89">
        <f>Table17[[#This Row],[iss]]/Table17[[#This Row],[tss]]</f>
        <v>0.10752688172043021</v>
      </c>
      <c r="E89">
        <v>30.999999999999993</v>
      </c>
      <c r="F89">
        <v>3.3333333333333357</v>
      </c>
      <c r="G89">
        <v>27.666666666666657</v>
      </c>
      <c r="H89">
        <v>8.463E-3</v>
      </c>
      <c r="I89">
        <v>5.8799999999999998E-2</v>
      </c>
      <c r="J89">
        <v>5.0337E-2</v>
      </c>
      <c r="K89">
        <v>0.14392857142857143</v>
      </c>
      <c r="L89">
        <f>Table17[[#This Row],[oss]]*INDEX(Table59[k_OSS2ROP],MATCH(Table17[[#This Row],[site]],Table59[site],FALSE))</f>
        <v>2.7666666666666659E-2</v>
      </c>
      <c r="M89">
        <f>Table17[[#This Row],[srp]]*INDEX(Table59[k_SRP2PIP],MATCH(Table17[[#This Row],[site]],Table59[site],FALSE))</f>
        <v>5.2698826305538878E-3</v>
      </c>
      <c r="N89">
        <f>Table17[[#This Row],[iss]]*INDEX(Table59[k_ISS2PIP],MATCH(Table17[[#This Row],[site]],Table59[site],0))</f>
        <v>2.9994959346529822E-3</v>
      </c>
      <c r="O89">
        <f>Table17[[#This Row],[rop]]+Table17[[#This Row],[lop]]+Table17[[#This Row],[pip]]</f>
        <v>3.5936045231873534E-2</v>
      </c>
      <c r="P89">
        <f>(Table17[[#This Row],[nsrp_pred]]-Table17[[#This Row],[nsrp]])^2</f>
        <v>2.073874982336244E-4</v>
      </c>
      <c r="Q89">
        <f>(Table17[[#This Row],[nsrp]]-INDEX(Table59[mean_nsrp],MATCH(Table17[[#This Row],[site]],Table59[site],0)))^2</f>
        <v>6.297299019288107E-6</v>
      </c>
    </row>
    <row r="90" spans="1:17">
      <c r="A90" t="s">
        <v>26</v>
      </c>
      <c r="B90" t="s">
        <v>23</v>
      </c>
      <c r="C90">
        <v>1.3004655870445345E-3</v>
      </c>
      <c r="D90">
        <f>Table17[[#This Row],[iss]]/Table17[[#This Row],[tss]]</f>
        <v>8.0971659919028327E-2</v>
      </c>
      <c r="E90">
        <v>49.400000000000006</v>
      </c>
      <c r="F90">
        <v>4</v>
      </c>
      <c r="G90">
        <v>45.400000000000006</v>
      </c>
      <c r="H90">
        <v>1.2657E-2</v>
      </c>
      <c r="I90">
        <v>7.690000000000001E-2</v>
      </c>
      <c r="J90">
        <v>6.4243000000000008E-2</v>
      </c>
      <c r="K90">
        <v>0.16459037711313393</v>
      </c>
      <c r="L90">
        <f>Table17[[#This Row],[oss]]*INDEX(Table59[k_OSS2ROP],MATCH(Table17[[#This Row],[site]],Table59[site],FALSE))</f>
        <v>4.540000000000001E-2</v>
      </c>
      <c r="M90">
        <f>Table17[[#This Row],[srp]]*INDEX(Table59[k_SRP2PIP],MATCH(Table17[[#This Row],[site]],Table59[site],FALSE))</f>
        <v>7.8814728175493984E-3</v>
      </c>
      <c r="N90">
        <f>Table17[[#This Row],[iss]]*INDEX(Table59[k_ISS2PIP],MATCH(Table17[[#This Row],[site]],Table59[site],0))</f>
        <v>3.5993951215835761E-3</v>
      </c>
      <c r="O90">
        <f>Table17[[#This Row],[rop]]+Table17[[#This Row],[lop]]+Table17[[#This Row],[pip]]</f>
        <v>5.6880867939132981E-2</v>
      </c>
      <c r="P90">
        <f>(Table17[[#This Row],[nsrp_pred]]-Table17[[#This Row],[nsrp]])^2</f>
        <v>5.4200988481646182E-5</v>
      </c>
      <c r="Q90">
        <f>(Table17[[#This Row],[nsrp]]-INDEX(Table59[mean_nsrp],MATCH(Table17[[#This Row],[site]],Table59[site],0)))^2</f>
        <v>2.6946673519139366E-4</v>
      </c>
    </row>
    <row r="91" spans="1:17">
      <c r="A91" t="s">
        <v>26</v>
      </c>
      <c r="B91" t="s">
        <v>23</v>
      </c>
      <c r="C91">
        <v>1.4760827250608274E-3</v>
      </c>
      <c r="D91">
        <f>Table17[[#This Row],[iss]]/Table17[[#This Row],[tss]]</f>
        <v>7.2992700729927015E-2</v>
      </c>
      <c r="E91">
        <v>41.099999999999994</v>
      </c>
      <c r="F91">
        <v>3</v>
      </c>
      <c r="G91">
        <v>38.099999999999994</v>
      </c>
      <c r="H91">
        <v>9.5329999999999998E-3</v>
      </c>
      <c r="I91">
        <v>7.0199999999999999E-2</v>
      </c>
      <c r="J91">
        <v>6.0666999999999999E-2</v>
      </c>
      <c r="K91">
        <v>0.13579772079772079</v>
      </c>
      <c r="L91">
        <f>Table17[[#This Row],[oss]]*INDEX(Table59[k_OSS2ROP],MATCH(Table17[[#This Row],[site]],Table59[site],FALSE))</f>
        <v>3.8099999999999995E-2</v>
      </c>
      <c r="M91">
        <f>Table17[[#This Row],[srp]]*INDEX(Table59[k_SRP2PIP],MATCH(Table17[[#This Row],[site]],Table59[site],FALSE))</f>
        <v>5.9361681575174543E-3</v>
      </c>
      <c r="N91">
        <f>Table17[[#This Row],[iss]]*INDEX(Table59[k_ISS2PIP],MATCH(Table17[[#This Row],[site]],Table59[site],0))</f>
        <v>2.699546341187682E-3</v>
      </c>
      <c r="O91">
        <f>Table17[[#This Row],[rop]]+Table17[[#This Row],[lop]]+Table17[[#This Row],[pip]]</f>
        <v>4.673571449870513E-2</v>
      </c>
      <c r="P91">
        <f>(Table17[[#This Row],[nsrp_pred]]-Table17[[#This Row],[nsrp]])^2</f>
        <v>1.940807157185886E-4</v>
      </c>
      <c r="Q91">
        <f>(Table17[[#This Row],[nsrp]]-INDEX(Table59[mean_nsrp],MATCH(Table17[[#This Row],[site]],Table59[site],0)))^2</f>
        <v>1.6485127019560388E-4</v>
      </c>
    </row>
    <row r="92" spans="1:17">
      <c r="A92" t="s">
        <v>26</v>
      </c>
      <c r="B92" t="s">
        <v>23</v>
      </c>
      <c r="C92">
        <v>6.1235599078341004E-4</v>
      </c>
      <c r="D92">
        <f>Table17[[#This Row],[iss]]/Table17[[#This Row],[tss]]</f>
        <v>6.9124423963133633E-2</v>
      </c>
      <c r="E92">
        <v>57.866666666666674</v>
      </c>
      <c r="F92">
        <v>4</v>
      </c>
      <c r="G92">
        <v>53.866666666666674</v>
      </c>
      <c r="H92">
        <v>1.4964999999999999E-2</v>
      </c>
      <c r="I92">
        <v>5.04E-2</v>
      </c>
      <c r="J92">
        <v>3.5435000000000001E-2</v>
      </c>
      <c r="K92">
        <v>0.29692460317460317</v>
      </c>
      <c r="L92">
        <f>Table17[[#This Row],[oss]]*INDEX(Table59[k_OSS2ROP],MATCH(Table17[[#This Row],[site]],Table59[site],FALSE))</f>
        <v>5.3866666666666674E-2</v>
      </c>
      <c r="M92">
        <f>Table17[[#This Row],[srp]]*INDEX(Table59[k_SRP2PIP],MATCH(Table17[[#This Row],[site]],Table59[site],FALSE))</f>
        <v>9.3186569261773516E-3</v>
      </c>
      <c r="N92">
        <f>Table17[[#This Row],[iss]]*INDEX(Table59[k_ISS2PIP],MATCH(Table17[[#This Row],[site]],Table59[site],0))</f>
        <v>3.5993951215835761E-3</v>
      </c>
      <c r="O92">
        <f>Table17[[#This Row],[rop]]+Table17[[#This Row],[lop]]+Table17[[#This Row],[pip]]</f>
        <v>6.6784718714427607E-2</v>
      </c>
      <c r="P92">
        <f>(Table17[[#This Row],[nsrp_pred]]-Table17[[#This Row],[nsrp]])^2</f>
        <v>9.828048634737325E-4</v>
      </c>
      <c r="Q92">
        <f>(Table17[[#This Row],[nsrp]]-INDEX(Table59[mean_nsrp],MATCH(Table17[[#This Row],[site]],Table59[site],0)))^2</f>
        <v>1.5357549443560385E-4</v>
      </c>
    </row>
    <row r="93" spans="1:17">
      <c r="A93" t="s">
        <v>26</v>
      </c>
      <c r="B93" t="s">
        <v>23</v>
      </c>
      <c r="C93">
        <v>2.2616210526315811E-3</v>
      </c>
      <c r="D93">
        <f>Table17[[#This Row],[iss]]/Table17[[#This Row],[tss]]</f>
        <v>0.13157894736842116</v>
      </c>
      <c r="E93">
        <v>7.5999999999999943</v>
      </c>
      <c r="F93">
        <v>1</v>
      </c>
      <c r="G93">
        <v>6.5999999999999943</v>
      </c>
      <c r="H93">
        <v>1.91168E-3</v>
      </c>
      <c r="I93">
        <v>1.9100000000000002E-2</v>
      </c>
      <c r="J93">
        <v>1.7188320000000003E-2</v>
      </c>
      <c r="K93">
        <v>0.10008795811518323</v>
      </c>
      <c r="L93">
        <f>Table17[[#This Row],[oss]]*INDEX(Table59[k_OSS2ROP],MATCH(Table17[[#This Row],[site]],Table59[site],FALSE))</f>
        <v>6.5999999999999948E-3</v>
      </c>
      <c r="M93">
        <f>Table17[[#This Row],[srp]]*INDEX(Table59[k_SRP2PIP],MATCH(Table17[[#This Row],[site]],Table59[site],FALSE))</f>
        <v>1.1903969310146823E-3</v>
      </c>
      <c r="N93">
        <f>Table17[[#This Row],[iss]]*INDEX(Table59[k_ISS2PIP],MATCH(Table17[[#This Row],[site]],Table59[site],0))</f>
        <v>8.9984878039589403E-4</v>
      </c>
      <c r="O93">
        <f>Table17[[#This Row],[rop]]+Table17[[#This Row],[lop]]+Table17[[#This Row],[pip]]</f>
        <v>8.6902457114105703E-3</v>
      </c>
      <c r="P93">
        <f>(Table17[[#This Row],[nsrp_pred]]-Table17[[#This Row],[nsrp]])^2</f>
        <v>7.2217266614384802E-5</v>
      </c>
      <c r="Q93">
        <f>(Table17[[#This Row],[nsrp]]-INDEX(Table59[mean_nsrp],MATCH(Table17[[#This Row],[site]],Table59[site],0)))^2</f>
        <v>9.3876290683323523E-4</v>
      </c>
    </row>
    <row r="94" spans="1:17">
      <c r="A94" t="s">
        <v>26</v>
      </c>
      <c r="B94" t="s">
        <v>23</v>
      </c>
      <c r="C94">
        <v>1.2514825E-2</v>
      </c>
      <c r="D94">
        <f>Table17[[#This Row],[iss]]/Table17[[#This Row],[tss]]</f>
        <v>0.5</v>
      </c>
      <c r="E94">
        <v>2.1052631578947367</v>
      </c>
      <c r="F94">
        <v>1.0526315789473684</v>
      </c>
      <c r="G94">
        <v>1.0526315789473684</v>
      </c>
      <c r="H94">
        <v>6.3530000000000001E-3</v>
      </c>
      <c r="I94">
        <v>3.27E-2</v>
      </c>
      <c r="J94">
        <v>2.6346999999999999E-2</v>
      </c>
      <c r="K94">
        <v>0.19428134556574925</v>
      </c>
      <c r="L94">
        <f>Table17[[#This Row],[oss]]*INDEX(Table59[k_OSS2ROP],MATCH(Table17[[#This Row],[site]],Table59[site],FALSE))</f>
        <v>1.0526315789473684E-3</v>
      </c>
      <c r="M94">
        <f>Table17[[#This Row],[srp]]*INDEX(Table59[k_SRP2PIP],MATCH(Table17[[#This Row],[site]],Table59[site],FALSE))</f>
        <v>3.9559924792519022E-3</v>
      </c>
      <c r="N94">
        <f>Table17[[#This Row],[iss]]*INDEX(Table59[k_ISS2PIP],MATCH(Table17[[#This Row],[site]],Table59[site],0))</f>
        <v>9.4720924252199366E-4</v>
      </c>
      <c r="O94">
        <f>Table17[[#This Row],[rop]]+Table17[[#This Row],[lop]]+Table17[[#This Row],[pip]]</f>
        <v>5.9558333007212645E-3</v>
      </c>
      <c r="P94">
        <f>(Table17[[#This Row],[nsrp_pred]]-Table17[[#This Row],[nsrp]])^2</f>
        <v>4.1579967935777398E-4</v>
      </c>
      <c r="Q94">
        <f>(Table17[[#This Row],[nsrp]]-INDEX(Table59[mean_nsrp],MATCH(Table17[[#This Row],[site]],Table59[site],0)))^2</f>
        <v>4.614143731219197E-4</v>
      </c>
    </row>
    <row r="95" spans="1:17">
      <c r="A95" t="s">
        <v>26</v>
      </c>
      <c r="B95" t="s">
        <v>23</v>
      </c>
      <c r="C95">
        <v>8.8989999999999989E-3</v>
      </c>
      <c r="D95">
        <f>Table17[[#This Row],[iss]]/Table17[[#This Row],[tss]]</f>
        <v>0.25</v>
      </c>
      <c r="E95">
        <v>4</v>
      </c>
      <c r="F95">
        <v>1</v>
      </c>
      <c r="G95">
        <v>3</v>
      </c>
      <c r="H95">
        <v>1.0803999999999999E-2</v>
      </c>
      <c r="I95">
        <v>4.6399999999999997E-2</v>
      </c>
      <c r="J95">
        <v>3.5595999999999996E-2</v>
      </c>
      <c r="K95">
        <v>0.23284482758620689</v>
      </c>
      <c r="L95">
        <f>Table17[[#This Row],[oss]]*INDEX(Table59[k_OSS2ROP],MATCH(Table17[[#This Row],[site]],Table59[site],FALSE))</f>
        <v>3.0000000000000001E-3</v>
      </c>
      <c r="M95">
        <f>Table17[[#This Row],[srp]]*INDEX(Table59[k_SRP2PIP],MATCH(Table17[[#This Row],[site]],Table59[site],FALSE))</f>
        <v>6.7276157320695024E-3</v>
      </c>
      <c r="N95">
        <f>Table17[[#This Row],[iss]]*INDEX(Table59[k_ISS2PIP],MATCH(Table17[[#This Row],[site]],Table59[site],0))</f>
        <v>8.9984878039589403E-4</v>
      </c>
      <c r="O95">
        <f>Table17[[#This Row],[rop]]+Table17[[#This Row],[lop]]+Table17[[#This Row],[pip]]</f>
        <v>1.0627464512465396E-2</v>
      </c>
      <c r="P95">
        <f>(Table17[[#This Row],[nsrp_pred]]-Table17[[#This Row],[nsrp]])^2</f>
        <v>6.234277643922747E-4</v>
      </c>
      <c r="Q95">
        <f>(Table17[[#This Row],[nsrp]]-INDEX(Table59[mean_nsrp],MATCH(Table17[[#This Row],[site]],Table59[site],0)))^2</f>
        <v>1.496110117511303E-4</v>
      </c>
    </row>
    <row r="96" spans="1:17">
      <c r="A96" t="s">
        <v>26</v>
      </c>
      <c r="B96" t="s">
        <v>27</v>
      </c>
      <c r="C96">
        <v>4.7884222222222203E-3</v>
      </c>
      <c r="D96">
        <f>Table17[[#This Row],[iss]]/Table17[[#This Row],[tss]]</f>
        <v>0.66666666666666674</v>
      </c>
      <c r="E96">
        <v>4.7368421052631584</v>
      </c>
      <c r="F96">
        <v>3.1578947368421058</v>
      </c>
      <c r="G96">
        <v>1.5789473684210527</v>
      </c>
      <c r="H96">
        <v>1.5618E-2</v>
      </c>
      <c r="I96">
        <v>3.8299999999999994E-2</v>
      </c>
      <c r="J96">
        <v>2.2681999999999994E-2</v>
      </c>
      <c r="K96">
        <v>0.40778067885117503</v>
      </c>
      <c r="L96">
        <f>Table17[[#This Row],[oss]]*INDEX(Table59[k_OSS2ROP],MATCH(Table17[[#This Row],[site]],Table59[site],FALSE))</f>
        <v>1.5789473684210526E-3</v>
      </c>
      <c r="M96">
        <f>Table17[[#This Row],[srp]]*INDEX(Table59[k_SRP2PIP],MATCH(Table17[[#This Row],[site]],Table59[site],FALSE))</f>
        <v>9.7252779066513799E-3</v>
      </c>
      <c r="N96">
        <f>Table17[[#This Row],[iss]]*INDEX(Table59[k_ISS2PIP],MATCH(Table17[[#This Row],[site]],Table59[site],0))</f>
        <v>2.8416277275659816E-3</v>
      </c>
      <c r="O96">
        <f>Table17[[#This Row],[rop]]+Table17[[#This Row],[lop]]+Table17[[#This Row],[pip]]</f>
        <v>1.4145853002638414E-2</v>
      </c>
      <c r="P96">
        <f>(Table17[[#This Row],[nsrp_pred]]-Table17[[#This Row],[nsrp]])^2</f>
        <v>7.2865805560565127E-5</v>
      </c>
      <c r="Q96">
        <f>(Table17[[#This Row],[nsrp]]-INDEX(Table59[mean_nsrp],MATCH(Table17[[#This Row],[site]],Table59[site],0)))^2</f>
        <v>6.3229908845481467E-4</v>
      </c>
    </row>
    <row r="97" spans="1:17">
      <c r="A97" t="s">
        <v>26</v>
      </c>
      <c r="B97" t="s">
        <v>27</v>
      </c>
      <c r="C97">
        <v>1.7582727272727272E-3</v>
      </c>
      <c r="D97">
        <f>Table17[[#This Row],[iss]]/Table17[[#This Row],[tss]]</f>
        <v>9.0909090909090912E-2</v>
      </c>
      <c r="E97">
        <v>11</v>
      </c>
      <c r="F97">
        <v>1</v>
      </c>
      <c r="G97">
        <v>10</v>
      </c>
      <c r="H97">
        <v>2.0858999999999999E-2</v>
      </c>
      <c r="I97">
        <v>4.02E-2</v>
      </c>
      <c r="J97">
        <v>1.9341000000000001E-2</v>
      </c>
      <c r="K97">
        <v>0.51888059701492539</v>
      </c>
      <c r="L97">
        <f>Table17[[#This Row],[oss]]*INDEX(Table59[k_OSS2ROP],MATCH(Table17[[#This Row],[site]],Table59[site],FALSE))</f>
        <v>0.01</v>
      </c>
      <c r="M97">
        <f>Table17[[#This Row],[srp]]*INDEX(Table59[k_SRP2PIP],MATCH(Table17[[#This Row],[site]],Table59[site],FALSE))</f>
        <v>1.2988831595264509E-2</v>
      </c>
      <c r="N97">
        <f>Table17[[#This Row],[iss]]*INDEX(Table59[k_ISS2PIP],MATCH(Table17[[#This Row],[site]],Table59[site],0))</f>
        <v>8.9984878039589403E-4</v>
      </c>
      <c r="O97">
        <f>Table17[[#This Row],[rop]]+Table17[[#This Row],[lop]]+Table17[[#This Row],[pip]]</f>
        <v>2.3888680375660405E-2</v>
      </c>
      <c r="P97">
        <f>(Table17[[#This Row],[nsrp_pred]]-Table17[[#This Row],[nsrp]])^2</f>
        <v>2.0681396799166754E-5</v>
      </c>
      <c r="Q97">
        <f>(Table17[[#This Row],[nsrp]]-INDEX(Table59[mean_nsrp],MATCH(Table17[[#This Row],[site]],Table59[site],0)))^2</f>
        <v>8.1148398818665652E-4</v>
      </c>
    </row>
    <row r="98" spans="1:17">
      <c r="A98" t="s">
        <v>26</v>
      </c>
      <c r="B98" t="s">
        <v>27</v>
      </c>
      <c r="C98">
        <v>1.0036739130434794E-2</v>
      </c>
      <c r="D98">
        <f>Table17[[#This Row],[iss]]/Table17[[#This Row],[tss]]</f>
        <v>0.43478260869565272</v>
      </c>
      <c r="E98">
        <v>4.5999999999999943</v>
      </c>
      <c r="F98">
        <v>2</v>
      </c>
      <c r="G98">
        <v>2.5999999999999943</v>
      </c>
      <c r="H98">
        <v>2.6831000000000001E-2</v>
      </c>
      <c r="I98">
        <v>7.2999999999999995E-2</v>
      </c>
      <c r="J98">
        <v>4.6168999999999995E-2</v>
      </c>
      <c r="K98">
        <v>0.36754794520547951</v>
      </c>
      <c r="L98">
        <f>Table17[[#This Row],[oss]]*INDEX(Table59[k_OSS2ROP],MATCH(Table17[[#This Row],[site]],Table59[site],FALSE))</f>
        <v>2.5999999999999942E-3</v>
      </c>
      <c r="M98">
        <f>Table17[[#This Row],[srp]]*INDEX(Table59[k_SRP2PIP],MATCH(Table17[[#This Row],[site]],Table59[site],FALSE))</f>
        <v>1.6707576611177048E-2</v>
      </c>
      <c r="N98">
        <f>Table17[[#This Row],[iss]]*INDEX(Table59[k_ISS2PIP],MATCH(Table17[[#This Row],[site]],Table59[site],0))</f>
        <v>1.7996975607917881E-3</v>
      </c>
      <c r="O98">
        <f>Table17[[#This Row],[rop]]+Table17[[#This Row],[lop]]+Table17[[#This Row],[pip]]</f>
        <v>2.110727417196883E-2</v>
      </c>
      <c r="P98">
        <f>(Table17[[#This Row],[nsrp_pred]]-Table17[[#This Row],[nsrp]])^2</f>
        <v>6.280901014794044E-4</v>
      </c>
      <c r="Q98">
        <f>(Table17[[#This Row],[nsrp]]-INDEX(Table59[mean_nsrp],MATCH(Table17[[#This Row],[site]],Table59[site],0)))^2</f>
        <v>2.7508147266565427E-6</v>
      </c>
    </row>
    <row r="99" spans="1:17">
      <c r="A99" t="s">
        <v>28</v>
      </c>
      <c r="B99" t="s">
        <v>25</v>
      </c>
      <c r="C99">
        <v>1.8268421052632451E-3</v>
      </c>
      <c r="D99">
        <f>Table17[[#This Row],[iss]]/Table17[[#This Row],[tss]]</f>
        <v>1</v>
      </c>
      <c r="E99">
        <v>9.4999999999995453</v>
      </c>
      <c r="F99">
        <v>9.4999999999995453</v>
      </c>
      <c r="G99">
        <v>0</v>
      </c>
      <c r="H99">
        <v>1.8519999999999998E-2</v>
      </c>
      <c r="I99">
        <v>3.5874999999999997E-2</v>
      </c>
      <c r="J99">
        <v>1.7354999999999999E-2</v>
      </c>
      <c r="K99">
        <v>0.51623693379790936</v>
      </c>
      <c r="L99">
        <f>Table17[[#This Row],[oss]]*INDEX(Table59[k_OSS2ROP],MATCH(Table17[[#This Row],[site]],Table59[site],FALSE))</f>
        <v>0</v>
      </c>
      <c r="M99">
        <f>Table17[[#This Row],[srp]]*INDEX(Table59[k_SRP2PIP],MATCH(Table17[[#This Row],[site]],Table59[site],FALSE))</f>
        <v>2.6283793739447527E-2</v>
      </c>
      <c r="N99">
        <f>Table17[[#This Row],[iss]]*INDEX(Table59[k_ISS2PIP],MATCH(Table17[[#This Row],[site]],Table59[site],0))</f>
        <v>8.9145321957478235E-3</v>
      </c>
      <c r="O99">
        <f>Table17[[#This Row],[rop]]+Table17[[#This Row],[lop]]+Table17[[#This Row],[pip]]</f>
        <v>3.5198325935195354E-2</v>
      </c>
      <c r="P99">
        <f>(Table17[[#This Row],[nsrp_pred]]-Table17[[#This Row],[nsrp]])^2</f>
        <v>3.1838428042961519E-4</v>
      </c>
      <c r="Q99">
        <f>(Table17[[#This Row],[nsrp]]-INDEX(Table59[mean_nsrp],MATCH(Table17[[#This Row],[site]],Table59[site],0)))^2</f>
        <v>7.0027302027597823E-4</v>
      </c>
    </row>
    <row r="100" spans="1:17">
      <c r="A100" t="s">
        <v>28</v>
      </c>
      <c r="B100" t="s">
        <v>25</v>
      </c>
      <c r="C100">
        <v>3.8431988636363637E-3</v>
      </c>
      <c r="D100">
        <f>Table17[[#This Row],[iss]]/Table17[[#This Row],[tss]]</f>
        <v>0.87878787878787878</v>
      </c>
      <c r="E100">
        <v>16.923076923076923</v>
      </c>
      <c r="F100">
        <v>14.871794871794872</v>
      </c>
      <c r="G100">
        <v>2.0512820512820511</v>
      </c>
      <c r="H100">
        <v>1.5679999999999999E-2</v>
      </c>
      <c r="I100">
        <v>8.0718750000000006E-2</v>
      </c>
      <c r="J100">
        <v>6.5038750000000006E-2</v>
      </c>
      <c r="K100">
        <v>0.19425474254742545</v>
      </c>
      <c r="L100">
        <f>Table17[[#This Row],[oss]]*INDEX(Table59[k_OSS2ROP],MATCH(Table17[[#This Row],[site]],Table59[site],FALSE))</f>
        <v>2.0512820512820513E-3</v>
      </c>
      <c r="M100">
        <f>Table17[[#This Row],[srp]]*INDEX(Table59[k_SRP2PIP],MATCH(Table17[[#This Row],[site]],Table59[site],FALSE))</f>
        <v>2.22532335763789E-2</v>
      </c>
      <c r="N100">
        <f>Table17[[#This Row],[iss]]*INDEX(Table59[k_ISS2PIP],MATCH(Table17[[#This Row],[site]],Table59[site],0))</f>
        <v>1.3955273072966222E-2</v>
      </c>
      <c r="O100">
        <f>Table17[[#This Row],[rop]]+Table17[[#This Row],[lop]]+Table17[[#This Row],[pip]]</f>
        <v>3.825978870062717E-2</v>
      </c>
      <c r="P100">
        <f>(Table17[[#This Row],[nsrp_pred]]-Table17[[#This Row],[nsrp]])^2</f>
        <v>7.1711276827330804E-4</v>
      </c>
      <c r="Q100">
        <f>(Table17[[#This Row],[nsrp]]-INDEX(Table59[mean_nsrp],MATCH(Table17[[#This Row],[site]],Table59[site],0)))^2</f>
        <v>4.5033414274399359E-4</v>
      </c>
    </row>
    <row r="101" spans="1:17">
      <c r="A101" t="s">
        <v>28</v>
      </c>
      <c r="B101" t="s">
        <v>25</v>
      </c>
      <c r="C101">
        <v>1.926093333333333E-3</v>
      </c>
      <c r="D101">
        <f>Table17[[#This Row],[iss]]/Table17[[#This Row],[tss]]</f>
        <v>0.89333333333333331</v>
      </c>
      <c r="E101">
        <v>39.473684210526315</v>
      </c>
      <c r="F101">
        <v>35.263157894736842</v>
      </c>
      <c r="G101">
        <v>4.2105263157894726</v>
      </c>
      <c r="H101">
        <v>1.7569999999999999E-2</v>
      </c>
      <c r="I101">
        <v>9.3599999999999989E-2</v>
      </c>
      <c r="J101">
        <v>7.6029999999999986E-2</v>
      </c>
      <c r="K101">
        <v>0.18771367521367521</v>
      </c>
      <c r="L101">
        <f>Table17[[#This Row],[oss]]*INDEX(Table59[k_OSS2ROP],MATCH(Table17[[#This Row],[site]],Table59[site],FALSE))</f>
        <v>4.2105263157894727E-3</v>
      </c>
      <c r="M101">
        <f>Table17[[#This Row],[srp]]*INDEX(Table59[k_SRP2PIP],MATCH(Table17[[#This Row],[site]],Table59[site],FALSE))</f>
        <v>2.4935542980674571E-2</v>
      </c>
      <c r="N101">
        <f>Table17[[#This Row],[iss]]*INDEX(Table59[k_ISS2PIP],MATCH(Table17[[#This Row],[site]],Table59[site],0))</f>
        <v>3.308995330277744E-2</v>
      </c>
      <c r="O101">
        <f>Table17[[#This Row],[rop]]+Table17[[#This Row],[lop]]+Table17[[#This Row],[pip]]</f>
        <v>6.2236022599241485E-2</v>
      </c>
      <c r="P101">
        <f>(Table17[[#This Row],[nsrp_pred]]-Table17[[#This Row],[nsrp]])^2</f>
        <v>1.9027381253263628E-4</v>
      </c>
      <c r="Q101">
        <f>(Table17[[#This Row],[nsrp]]-INDEX(Table59[mean_nsrp],MATCH(Table17[[#This Row],[site]],Table59[site],0)))^2</f>
        <v>1.0376340619156837E-3</v>
      </c>
    </row>
    <row r="102" spans="1:17">
      <c r="A102" t="s">
        <v>28</v>
      </c>
      <c r="B102" t="s">
        <v>25</v>
      </c>
      <c r="C102">
        <v>6.6977777777777773E-3</v>
      </c>
      <c r="D102">
        <f>Table17[[#This Row],[iss]]/Table17[[#This Row],[tss]]</f>
        <v>1</v>
      </c>
      <c r="E102">
        <v>4.5</v>
      </c>
      <c r="F102">
        <v>4.5</v>
      </c>
      <c r="G102">
        <v>0</v>
      </c>
      <c r="H102">
        <v>1.916E-2</v>
      </c>
      <c r="I102">
        <v>4.9299999999999997E-2</v>
      </c>
      <c r="J102">
        <v>3.0139999999999997E-2</v>
      </c>
      <c r="K102">
        <v>0.38864097363083167</v>
      </c>
      <c r="L102">
        <f>Table17[[#This Row],[oss]]*INDEX(Table59[k_OSS2ROP],MATCH(Table17[[#This Row],[site]],Table59[site],FALSE))</f>
        <v>0</v>
      </c>
      <c r="M102">
        <f>Table17[[#This Row],[srp]]*INDEX(Table59[k_SRP2PIP],MATCH(Table17[[#This Row],[site]],Table59[site],FALSE))</f>
        <v>2.7192088987462996E-2</v>
      </c>
      <c r="N102">
        <f>Table17[[#This Row],[iss]]*INDEX(Table59[k_ISS2PIP],MATCH(Table17[[#This Row],[site]],Table59[site],0))</f>
        <v>4.2226731453544348E-3</v>
      </c>
      <c r="O102">
        <f>Table17[[#This Row],[rop]]+Table17[[#This Row],[lop]]+Table17[[#This Row],[pip]]</f>
        <v>3.141476213281743E-2</v>
      </c>
      <c r="P102">
        <f>(Table17[[#This Row],[nsrp_pred]]-Table17[[#This Row],[nsrp]])^2</f>
        <v>1.6250184952652502E-6</v>
      </c>
      <c r="Q102">
        <f>(Table17[[#This Row],[nsrp]]-INDEX(Table59[mean_nsrp],MATCH(Table17[[#This Row],[site]],Table59[site],0)))^2</f>
        <v>1.8707871697156659E-4</v>
      </c>
    </row>
    <row r="103" spans="1:17">
      <c r="A103" t="s">
        <v>28</v>
      </c>
      <c r="B103" t="s">
        <v>25</v>
      </c>
      <c r="C103">
        <v>6.2444444444438134E-3</v>
      </c>
      <c r="D103">
        <f>Table17[[#This Row],[iss]]/Table17[[#This Row],[tss]]</f>
        <v>1</v>
      </c>
      <c r="E103">
        <v>4.5000000000004547</v>
      </c>
      <c r="F103">
        <v>4.5000000000004547</v>
      </c>
      <c r="G103">
        <v>0</v>
      </c>
      <c r="H103">
        <v>1.67E-2</v>
      </c>
      <c r="I103">
        <v>4.48E-2</v>
      </c>
      <c r="J103">
        <v>2.81E-2</v>
      </c>
      <c r="K103">
        <v>0.37276785714285715</v>
      </c>
      <c r="L103">
        <f>Table17[[#This Row],[oss]]*INDEX(Table59[k_OSS2ROP],MATCH(Table17[[#This Row],[site]],Table59[site],FALSE))</f>
        <v>0</v>
      </c>
      <c r="M103">
        <f>Table17[[#This Row],[srp]]*INDEX(Table59[k_SRP2PIP],MATCH(Table17[[#This Row],[site]],Table59[site],FALSE))</f>
        <v>2.3700829127903549E-2</v>
      </c>
      <c r="N103">
        <f>Table17[[#This Row],[iss]]*INDEX(Table59[k_ISS2PIP],MATCH(Table17[[#This Row],[site]],Table59[site],0))</f>
        <v>4.2226731453548615E-3</v>
      </c>
      <c r="O103">
        <f>Table17[[#This Row],[rop]]+Table17[[#This Row],[lop]]+Table17[[#This Row],[pip]]</f>
        <v>2.7923502273258412E-2</v>
      </c>
      <c r="P103">
        <f>(Table17[[#This Row],[nsrp_pred]]-Table17[[#This Row],[nsrp]])^2</f>
        <v>3.115144754494834E-8</v>
      </c>
      <c r="Q103">
        <f>(Table17[[#This Row],[nsrp]]-INDEX(Table59[mean_nsrp],MATCH(Table17[[#This Row],[site]],Table59[site],0)))^2</f>
        <v>2.4704521957156649E-4</v>
      </c>
    </row>
    <row r="104" spans="1:17">
      <c r="A104" t="s">
        <v>28</v>
      </c>
      <c r="B104" t="s">
        <v>25</v>
      </c>
      <c r="C104">
        <v>2.4215384615386311E-3</v>
      </c>
      <c r="D104">
        <f>Table17[[#This Row],[iss]]/Table17[[#This Row],[tss]]</f>
        <v>1</v>
      </c>
      <c r="E104">
        <v>6.4999999999995453</v>
      </c>
      <c r="F104">
        <v>6.4999999999995453</v>
      </c>
      <c r="G104">
        <v>0</v>
      </c>
      <c r="H104">
        <v>1.576E-2</v>
      </c>
      <c r="I104">
        <v>3.15E-2</v>
      </c>
      <c r="J104">
        <v>1.5740000000000001E-2</v>
      </c>
      <c r="K104">
        <v>0.50031746031746027</v>
      </c>
      <c r="L104">
        <f>Table17[[#This Row],[oss]]*INDEX(Table59[k_OSS2ROP],MATCH(Table17[[#This Row],[site]],Table59[site],FALSE))</f>
        <v>0</v>
      </c>
      <c r="M104">
        <f>Table17[[#This Row],[srp]]*INDEX(Table59[k_SRP2PIP],MATCH(Table17[[#This Row],[site]],Table59[site],FALSE))</f>
        <v>2.2366770482380834E-2</v>
      </c>
      <c r="N104">
        <f>Table17[[#This Row],[iss]]*INDEX(Table59[k_ISS2PIP],MATCH(Table17[[#This Row],[site]],Table59[site],0))</f>
        <v>6.0994167655115342E-3</v>
      </c>
      <c r="O104">
        <f>Table17[[#This Row],[rop]]+Table17[[#This Row],[lop]]+Table17[[#This Row],[pip]]</f>
        <v>2.846618724789237E-2</v>
      </c>
      <c r="P104">
        <f>(Table17[[#This Row],[nsrp_pred]]-Table17[[#This Row],[nsrp]])^2</f>
        <v>1.6195584186841838E-4</v>
      </c>
      <c r="Q104">
        <f>(Table17[[#This Row],[nsrp]]-INDEX(Table59[mean_nsrp],MATCH(Table17[[#This Row],[site]],Table59[site],0)))^2</f>
        <v>7.8835567650097809E-4</v>
      </c>
    </row>
    <row r="105" spans="1:17">
      <c r="A105" t="s">
        <v>28</v>
      </c>
      <c r="B105" t="s">
        <v>25</v>
      </c>
      <c r="C105">
        <v>1.5047441860465117E-3</v>
      </c>
      <c r="D105">
        <f>Table17[[#This Row],[iss]]/Table17[[#This Row],[tss]]</f>
        <v>0.97674418604651159</v>
      </c>
      <c r="E105">
        <v>26.875</v>
      </c>
      <c r="F105">
        <v>26.25</v>
      </c>
      <c r="G105">
        <v>0.625</v>
      </c>
      <c r="H105">
        <v>2.0559999999999998E-2</v>
      </c>
      <c r="I105">
        <v>6.0999999999999999E-2</v>
      </c>
      <c r="J105">
        <v>4.0440000000000004E-2</v>
      </c>
      <c r="K105">
        <v>0.33704918032786885</v>
      </c>
      <c r="L105">
        <f>Table17[[#This Row],[oss]]*INDEX(Table59[k_OSS2ROP],MATCH(Table17[[#This Row],[site]],Table59[site],FALSE))</f>
        <v>6.2500000000000001E-4</v>
      </c>
      <c r="M105">
        <f>Table17[[#This Row],[srp]]*INDEX(Table59[k_SRP2PIP],MATCH(Table17[[#This Row],[site]],Table59[site],FALSE))</f>
        <v>2.9178984842496824E-2</v>
      </c>
      <c r="N105">
        <f>Table17[[#This Row],[iss]]*INDEX(Table59[k_ISS2PIP],MATCH(Table17[[#This Row],[site]],Table59[site],0))</f>
        <v>2.4632260014567534E-2</v>
      </c>
      <c r="O105">
        <f>Table17[[#This Row],[rop]]+Table17[[#This Row],[lop]]+Table17[[#This Row],[pip]]</f>
        <v>5.4436244857064359E-2</v>
      </c>
      <c r="P105">
        <f>(Table17[[#This Row],[nsrp_pred]]-Table17[[#This Row],[nsrp]])^2</f>
        <v>1.9589487009890041E-4</v>
      </c>
      <c r="Q105">
        <f>(Table17[[#This Row],[nsrp]]-INDEX(Table59[mean_nsrp],MATCH(Table17[[#This Row],[site]],Table59[site],0)))^2</f>
        <v>1.14086695303901E-5</v>
      </c>
    </row>
    <row r="106" spans="1:17">
      <c r="A106" t="s">
        <v>28</v>
      </c>
      <c r="B106" t="s">
        <v>25</v>
      </c>
      <c r="C106">
        <v>7.4592000000000026E-3</v>
      </c>
      <c r="D106">
        <f>Table17[[#This Row],[iss]]/Table17[[#This Row],[tss]]</f>
        <v>1</v>
      </c>
      <c r="E106">
        <v>1.0810810810810809</v>
      </c>
      <c r="F106">
        <v>1.0810810810810809</v>
      </c>
      <c r="G106">
        <v>0</v>
      </c>
      <c r="H106">
        <v>1.8835999999999999E-2</v>
      </c>
      <c r="I106">
        <v>2.69E-2</v>
      </c>
      <c r="J106">
        <v>8.0640000000000017E-3</v>
      </c>
      <c r="K106">
        <v>0.70022304832713744</v>
      </c>
      <c r="L106">
        <f>Table17[[#This Row],[oss]]*INDEX(Table59[k_OSS2ROP],MATCH(Table17[[#This Row],[site]],Table59[site],FALSE))</f>
        <v>0</v>
      </c>
      <c r="M106">
        <f>Table17[[#This Row],[srp]]*INDEX(Table59[k_SRP2PIP],MATCH(Table17[[#This Row],[site]],Table59[site],FALSE))</f>
        <v>2.6732264518155163E-2</v>
      </c>
      <c r="N106">
        <f>Table17[[#This Row],[iss]]*INDEX(Table59[k_ISS2PIP],MATCH(Table17[[#This Row],[site]],Table59[site],0))</f>
        <v>1.0144560108959601E-3</v>
      </c>
      <c r="O106">
        <f>Table17[[#This Row],[rop]]+Table17[[#This Row],[lop]]+Table17[[#This Row],[pip]]</f>
        <v>2.7746720529051125E-2</v>
      </c>
      <c r="P106">
        <f>(Table17[[#This Row],[nsrp_pred]]-Table17[[#This Row],[nsrp]])^2</f>
        <v>3.8740948742473053E-4</v>
      </c>
      <c r="Q106">
        <f>(Table17[[#This Row],[nsrp]]-INDEX(Table59[mean_nsrp],MATCH(Table17[[#This Row],[site]],Table59[site],0)))^2</f>
        <v>1.2783250762056838E-3</v>
      </c>
    </row>
    <row r="107" spans="1:17">
      <c r="A107" t="s">
        <v>28</v>
      </c>
      <c r="B107" t="s">
        <v>25</v>
      </c>
      <c r="C107">
        <v>1.3557787234042815E-3</v>
      </c>
      <c r="D107">
        <f>Table17[[#This Row],[iss]]/Table17[[#This Row],[tss]]</f>
        <v>0.25531914893617513</v>
      </c>
      <c r="E107">
        <v>29.374999999999432</v>
      </c>
      <c r="F107">
        <v>7.5</v>
      </c>
      <c r="G107">
        <v>21.874999999999432</v>
      </c>
      <c r="H107">
        <v>1.5074000000000001E-2</v>
      </c>
      <c r="I107">
        <v>5.4899999999999997E-2</v>
      </c>
      <c r="J107">
        <v>3.9826E-2</v>
      </c>
      <c r="K107">
        <v>0.27457194899817855</v>
      </c>
      <c r="L107">
        <f>Table17[[#This Row],[oss]]*INDEX(Table59[k_OSS2ROP],MATCH(Table17[[#This Row],[site]],Table59[site],FALSE))</f>
        <v>2.1874999999999433E-2</v>
      </c>
      <c r="M107">
        <f>Table17[[#This Row],[srp]]*INDEX(Table59[k_SRP2PIP],MATCH(Table17[[#This Row],[site]],Table59[site],FALSE))</f>
        <v>2.1393191513414258E-2</v>
      </c>
      <c r="N107">
        <f>Table17[[#This Row],[iss]]*INDEX(Table59[k_ISS2PIP],MATCH(Table17[[#This Row],[site]],Table59[site],0))</f>
        <v>7.0377885755907241E-3</v>
      </c>
      <c r="O107">
        <f>Table17[[#This Row],[rop]]+Table17[[#This Row],[lop]]+Table17[[#This Row],[pip]]</f>
        <v>5.0305980089004415E-2</v>
      </c>
      <c r="P107">
        <f>(Table17[[#This Row],[nsrp_pred]]-Table17[[#This Row],[nsrp]])^2</f>
        <v>1.0982998266592898E-4</v>
      </c>
      <c r="Q107">
        <f>(Table17[[#This Row],[nsrp]]-INDEX(Table59[mean_nsrp],MATCH(Table17[[#This Row],[site]],Table59[site],0)))^2</f>
        <v>1.5933446999213646E-5</v>
      </c>
    </row>
    <row r="108" spans="1:17">
      <c r="A108" t="s">
        <v>28</v>
      </c>
      <c r="B108" t="s">
        <v>25</v>
      </c>
      <c r="C108">
        <v>7.443902439024431E-4</v>
      </c>
      <c r="D108">
        <f>Table17[[#This Row],[iss]]/Table17[[#This Row],[tss]]</f>
        <v>0.21951219512195244</v>
      </c>
      <c r="E108">
        <v>102.49999999999943</v>
      </c>
      <c r="F108">
        <v>22.5</v>
      </c>
      <c r="G108">
        <v>79.999999999999432</v>
      </c>
      <c r="H108">
        <v>1.7299999999999999E-2</v>
      </c>
      <c r="I108">
        <v>9.3599999999999989E-2</v>
      </c>
      <c r="J108">
        <v>7.6299999999999993E-2</v>
      </c>
      <c r="K108">
        <v>0.18482905982905984</v>
      </c>
      <c r="L108">
        <f>Table17[[#This Row],[oss]]*INDEX(Table59[k_OSS2ROP],MATCH(Table17[[#This Row],[site]],Table59[site],FALSE))</f>
        <v>7.9999999999999433E-2</v>
      </c>
      <c r="M108">
        <f>Table17[[#This Row],[srp]]*INDEX(Table59[k_SRP2PIP],MATCH(Table17[[#This Row],[site]],Table59[site],FALSE))</f>
        <v>2.4552355922918049E-2</v>
      </c>
      <c r="N108">
        <f>Table17[[#This Row],[iss]]*INDEX(Table59[k_ISS2PIP],MATCH(Table17[[#This Row],[site]],Table59[site],0))</f>
        <v>2.1113365726772172E-2</v>
      </c>
      <c r="O108">
        <f>Table17[[#This Row],[rop]]+Table17[[#This Row],[lop]]+Table17[[#This Row],[pip]]</f>
        <v>0.12566572164968964</v>
      </c>
      <c r="P108">
        <f>(Table17[[#This Row],[nsrp_pred]]-Table17[[#This Row],[nsrp]])^2</f>
        <v>2.4369744739946375E-3</v>
      </c>
      <c r="Q108">
        <f>(Table17[[#This Row],[nsrp]]-INDEX(Table59[mean_nsrp],MATCH(Table17[[#This Row],[site]],Table59[site],0)))^2</f>
        <v>1.0551016189245077E-3</v>
      </c>
    </row>
    <row r="109" spans="1:17">
      <c r="A109" t="s">
        <v>28</v>
      </c>
      <c r="B109" t="s">
        <v>25</v>
      </c>
      <c r="C109">
        <v>1.4414666666666665E-3</v>
      </c>
      <c r="D109">
        <f>Table17[[#This Row],[iss]]/Table17[[#This Row],[tss]]</f>
        <v>8.3333333333333329E-2</v>
      </c>
      <c r="E109">
        <v>30</v>
      </c>
      <c r="F109">
        <v>2.5</v>
      </c>
      <c r="G109">
        <v>27.5</v>
      </c>
      <c r="H109">
        <v>1.6756E-2</v>
      </c>
      <c r="I109">
        <v>0.06</v>
      </c>
      <c r="J109">
        <v>4.3243999999999998E-2</v>
      </c>
      <c r="K109">
        <v>0.27926666666666666</v>
      </c>
      <c r="L109">
        <f>Table17[[#This Row],[oss]]*INDEX(Table59[k_OSS2ROP],MATCH(Table17[[#This Row],[site]],Table59[site],FALSE))</f>
        <v>2.75E-2</v>
      </c>
      <c r="M109">
        <f>Table17[[#This Row],[srp]]*INDEX(Table59[k_SRP2PIP],MATCH(Table17[[#This Row],[site]],Table59[site],FALSE))</f>
        <v>2.3780304962104905E-2</v>
      </c>
      <c r="N109">
        <f>Table17[[#This Row],[iss]]*INDEX(Table59[k_ISS2PIP],MATCH(Table17[[#This Row],[site]],Table59[site],0))</f>
        <v>2.3459295251969082E-3</v>
      </c>
      <c r="O109">
        <f>Table17[[#This Row],[rop]]+Table17[[#This Row],[lop]]+Table17[[#This Row],[pip]]</f>
        <v>5.3626234487301819E-2</v>
      </c>
      <c r="P109">
        <f>(Table17[[#This Row],[nsrp_pred]]-Table17[[#This Row],[nsrp]])^2</f>
        <v>1.0779079294931931E-4</v>
      </c>
      <c r="Q109">
        <f>(Table17[[#This Row],[nsrp]]-INDEX(Table59[mean_nsrp],MATCH(Table17[[#This Row],[site]],Table59[site],0)))^2</f>
        <v>3.2909979980192152E-7</v>
      </c>
    </row>
    <row r="110" spans="1:17" hidden="1">
      <c r="A110" t="s">
        <v>28</v>
      </c>
      <c r="B110" t="s">
        <v>25</v>
      </c>
      <c r="C110">
        <v>2.5211111111111107E-3</v>
      </c>
      <c r="D110">
        <f>Table17[[#This Row],[iss]]/Table17[[#This Row],[tss]]</f>
        <v>1.1111111111111112</v>
      </c>
      <c r="E110">
        <v>4.5</v>
      </c>
      <c r="F110">
        <v>5</v>
      </c>
      <c r="G110">
        <v>-0.5</v>
      </c>
      <c r="H110">
        <v>1.6055E-2</v>
      </c>
      <c r="I110">
        <v>2.7399999999999997E-2</v>
      </c>
      <c r="J110">
        <v>1.1344999999999997E-2</v>
      </c>
      <c r="K110">
        <v>0.58594890510948905</v>
      </c>
      <c r="L110">
        <f>Table17[[#This Row],[oss]]*INDEX(Table59[k_OSS2ROP],MATCH(Table17[[#This Row],[site]],Table59[site],FALSE))</f>
        <v>-5.0000000000000001E-4</v>
      </c>
      <c r="M110">
        <f>Table17[[#This Row],[srp]]*INDEX(Table59[k_SRP2PIP],MATCH(Table17[[#This Row],[site]],Table59[site],FALSE))</f>
        <v>2.2785437823262963E-2</v>
      </c>
      <c r="N110">
        <f>Table17[[#This Row],[iss]]*INDEX(Table59[k_ISS2PIP],MATCH(Table17[[#This Row],[site]],Table59[site],FALSE))</f>
        <v>4.6918590503938163E-3</v>
      </c>
      <c r="O110">
        <f>Table17[[#This Row],[rop]]+Table17[[#This Row],[lop]]+Table17[[#This Row],[pip]]</f>
        <v>2.697729687365678E-2</v>
      </c>
      <c r="P110">
        <f>(Table17[[#This Row],[nsrp_pred]]-Table17[[#This Row],[nsrp]])^2</f>
        <v>2.4436870554613965E-4</v>
      </c>
      <c r="Q110">
        <f>(Table17[[#This Row],[nsrp]]-INDEX(Table59[mean_nsrp],MATCH(Table17[[#This Row],[site]],Table59[site],0)))^2</f>
        <v>1.0544744401906839E-3</v>
      </c>
    </row>
    <row r="111" spans="1:17">
      <c r="A111" t="s">
        <v>28</v>
      </c>
      <c r="B111" t="s">
        <v>25</v>
      </c>
      <c r="C111">
        <v>2.2179935779816501E-3</v>
      </c>
      <c r="D111">
        <f>Table17[[#This Row],[iss]]/Table17[[#This Row],[tss]]</f>
        <v>9.1743119266054995E-2</v>
      </c>
      <c r="E111">
        <v>10.900000000000006</v>
      </c>
      <c r="F111">
        <v>1</v>
      </c>
      <c r="G111">
        <v>9.9000000000000057</v>
      </c>
      <c r="H111">
        <v>3.0238700000000001E-3</v>
      </c>
      <c r="I111">
        <v>2.7199999999999998E-2</v>
      </c>
      <c r="J111">
        <v>2.4176129999999997E-2</v>
      </c>
      <c r="K111">
        <v>0.11117169117647061</v>
      </c>
      <c r="L111">
        <f>Table17[[#This Row],[oss]]*INDEX(Table59[k_OSS2ROP],MATCH(Table17[[#This Row],[site]],Table59[site],FALSE))</f>
        <v>9.900000000000006E-3</v>
      </c>
      <c r="M111">
        <f>Table17[[#This Row],[srp]]*INDEX(Table59[k_SRP2PIP],MATCH(Table17[[#This Row],[site]],Table59[site],FALSE))</f>
        <v>4.291510549400821E-3</v>
      </c>
      <c r="N111">
        <f>Table17[[#This Row],[iss]]*INDEX(Table59[k_ISS2PIP],MATCH(Table17[[#This Row],[site]],Table59[site],0))</f>
        <v>9.383718100787632E-4</v>
      </c>
      <c r="O111">
        <f>Table17[[#This Row],[rop]]+Table17[[#This Row],[lop]]+Table17[[#This Row],[pip]]</f>
        <v>1.5129882359479591E-2</v>
      </c>
      <c r="P111">
        <f>(Table17[[#This Row],[nsrp_pred]]-Table17[[#This Row],[nsrp]])^2</f>
        <v>8.1834596373621008E-5</v>
      </c>
      <c r="Q111">
        <f>(Table17[[#This Row],[nsrp]]-INDEX(Table59[mean_nsrp],MATCH(Table17[[#This Row],[site]],Table59[site],0)))^2</f>
        <v>3.8579018022545772E-4</v>
      </c>
    </row>
    <row r="112" spans="1:17">
      <c r="A112" t="s">
        <v>28</v>
      </c>
      <c r="B112" t="s">
        <v>25</v>
      </c>
      <c r="C112">
        <v>2.3137573529411776E-3</v>
      </c>
      <c r="D112">
        <f>Table17[[#This Row],[iss]]/Table17[[#This Row],[tss]]</f>
        <v>7.3529411764705913E-2</v>
      </c>
      <c r="E112">
        <v>13.599999999999994</v>
      </c>
      <c r="F112">
        <v>1</v>
      </c>
      <c r="G112">
        <v>12.599999999999994</v>
      </c>
      <c r="H112">
        <v>4.9328999999999996E-3</v>
      </c>
      <c r="I112">
        <v>3.6400000000000002E-2</v>
      </c>
      <c r="J112">
        <v>3.1467100000000005E-2</v>
      </c>
      <c r="K112">
        <v>0.13551923076923075</v>
      </c>
      <c r="L112">
        <f>Table17[[#This Row],[oss]]*INDEX(Table59[k_OSS2ROP],MATCH(Table17[[#This Row],[site]],Table59[site],FALSE))</f>
        <v>1.2599999999999995E-2</v>
      </c>
      <c r="M112">
        <f>Table17[[#This Row],[srp]]*INDEX(Table59[k_SRP2PIP],MATCH(Table17[[#This Row],[site]],Table59[site],FALSE))</f>
        <v>7.0008275452117016E-3</v>
      </c>
      <c r="N112">
        <f>Table17[[#This Row],[iss]]*INDEX(Table59[k_ISS2PIP],MATCH(Table17[[#This Row],[site]],Table59[site],0))</f>
        <v>9.383718100787632E-4</v>
      </c>
      <c r="O112">
        <f>Table17[[#This Row],[rop]]+Table17[[#This Row],[lop]]+Table17[[#This Row],[pip]]</f>
        <v>2.0539199355290461E-2</v>
      </c>
      <c r="P112">
        <f>(Table17[[#This Row],[nsrp_pred]]-Table17[[#This Row],[nsrp]])^2</f>
        <v>1.1941901250064325E-4</v>
      </c>
      <c r="Q112">
        <f>(Table17[[#This Row],[nsrp]]-INDEX(Table59[mean_nsrp],MATCH(Table17[[#This Row],[site]],Table59[site],0)))^2</f>
        <v>1.5253663381271346E-4</v>
      </c>
    </row>
    <row r="113" spans="1:17">
      <c r="A113" t="s">
        <v>28</v>
      </c>
      <c r="B113" t="s">
        <v>25</v>
      </c>
      <c r="C113">
        <v>1.4692528301886794E-3</v>
      </c>
      <c r="D113">
        <f>Table17[[#This Row],[iss]]/Table17[[#This Row],[tss]]</f>
        <v>7.5471698113207544E-2</v>
      </c>
      <c r="E113">
        <v>33.125</v>
      </c>
      <c r="F113">
        <v>2.5</v>
      </c>
      <c r="G113">
        <v>30.625</v>
      </c>
      <c r="H113">
        <v>9.5309999999999995E-3</v>
      </c>
      <c r="I113">
        <v>5.8200000000000002E-2</v>
      </c>
      <c r="J113">
        <v>4.8669000000000004E-2</v>
      </c>
      <c r="K113">
        <v>0.16376288659793814</v>
      </c>
      <c r="L113">
        <f>Table17[[#This Row],[oss]]*INDEX(Table59[k_OSS2ROP],MATCH(Table17[[#This Row],[site]],Table59[site],FALSE))</f>
        <v>3.0624999999999999E-2</v>
      </c>
      <c r="M113">
        <f>Table17[[#This Row],[srp]]*INDEX(Table59[k_SRP2PIP],MATCH(Table17[[#This Row],[site]],Table59[site],FALSE))</f>
        <v>1.3526503138805313E-2</v>
      </c>
      <c r="N113">
        <f>Table17[[#This Row],[iss]]*INDEX(Table59[k_ISS2PIP],MATCH(Table17[[#This Row],[site]],Table59[site],0))</f>
        <v>2.3459295251969082E-3</v>
      </c>
      <c r="O113">
        <f>Table17[[#This Row],[rop]]+Table17[[#This Row],[lop]]+Table17[[#This Row],[pip]]</f>
        <v>4.649743266400222E-2</v>
      </c>
      <c r="P113">
        <f>(Table17[[#This Row],[nsrp_pred]]-Table17[[#This Row],[nsrp]])^2</f>
        <v>4.7157046947725143E-6</v>
      </c>
      <c r="Q113">
        <f>(Table17[[#This Row],[nsrp]]-INDEX(Table59[mean_nsrp],MATCH(Table17[[#This Row],[site]],Table59[site],0)))^2</f>
        <v>2.3535381365978484E-5</v>
      </c>
    </row>
    <row r="114" spans="1:17">
      <c r="A114" t="s">
        <v>28</v>
      </c>
      <c r="B114" t="s">
        <v>25</v>
      </c>
      <c r="C114">
        <v>1.3440738461538461E-3</v>
      </c>
      <c r="D114">
        <f>Table17[[#This Row],[iss]]/Table17[[#This Row],[tss]]</f>
        <v>6.1538461538461577E-2</v>
      </c>
      <c r="E114">
        <v>54.166666666666671</v>
      </c>
      <c r="F114">
        <v>3.3333333333333357</v>
      </c>
      <c r="G114">
        <v>50.833333333333336</v>
      </c>
      <c r="H114">
        <v>1.4596E-2</v>
      </c>
      <c r="I114">
        <v>8.7400000000000005E-2</v>
      </c>
      <c r="J114">
        <v>7.2804000000000008E-2</v>
      </c>
      <c r="K114">
        <v>0.16700228832951944</v>
      </c>
      <c r="L114">
        <f>Table17[[#This Row],[oss]]*INDEX(Table59[k_OSS2ROP],MATCH(Table17[[#This Row],[site]],Table59[site],FALSE))</f>
        <v>5.0833333333333335E-2</v>
      </c>
      <c r="M114">
        <f>Table17[[#This Row],[srp]]*INDEX(Table59[k_SRP2PIP],MATCH(Table17[[#This Row],[site]],Table59[site],FALSE))</f>
        <v>2.0714808500052709E-2</v>
      </c>
      <c r="N114">
        <f>Table17[[#This Row],[iss]]*INDEX(Table59[k_ISS2PIP],MATCH(Table17[[#This Row],[site]],Table59[site],0))</f>
        <v>3.1279060335958797E-3</v>
      </c>
      <c r="O114">
        <f>Table17[[#This Row],[rop]]+Table17[[#This Row],[lop]]+Table17[[#This Row],[pip]]</f>
        <v>7.4676047866981912E-2</v>
      </c>
      <c r="P114">
        <f>(Table17[[#This Row],[nsrp_pred]]-Table17[[#This Row],[nsrp]])^2</f>
        <v>3.5045632162714989E-6</v>
      </c>
      <c r="Q114">
        <f>(Table17[[#This Row],[nsrp]]-INDEX(Table59[mean_nsrp],MATCH(Table17[[#This Row],[site]],Table59[site],0)))^2</f>
        <v>8.40207198988038E-4</v>
      </c>
    </row>
    <row r="115" spans="1:17">
      <c r="A115" t="s">
        <v>28</v>
      </c>
      <c r="B115" t="s">
        <v>25</v>
      </c>
      <c r="C115">
        <v>1.053263157894737E-3</v>
      </c>
      <c r="D115">
        <f>Table17[[#This Row],[iss]]/Table17[[#This Row],[tss]]</f>
        <v>0.10526315789473684</v>
      </c>
      <c r="E115">
        <v>47.5</v>
      </c>
      <c r="F115">
        <v>5</v>
      </c>
      <c r="G115">
        <v>42.5</v>
      </c>
      <c r="H115">
        <v>1.3469999999999999E-2</v>
      </c>
      <c r="I115">
        <v>6.3500000000000001E-2</v>
      </c>
      <c r="J115">
        <v>5.0030000000000005E-2</v>
      </c>
      <c r="K115">
        <v>0.21212598425196849</v>
      </c>
      <c r="L115">
        <f>Table17[[#This Row],[oss]]*INDEX(Table59[k_OSS2ROP],MATCH(Table17[[#This Row],[site]],Table59[site],FALSE))</f>
        <v>4.2500000000000003E-2</v>
      </c>
      <c r="M115">
        <f>Table17[[#This Row],[srp]]*INDEX(Table59[k_SRP2PIP],MATCH(Table17[[#This Row],[site]],Table59[site],FALSE))</f>
        <v>1.9116776548075497E-2</v>
      </c>
      <c r="N115">
        <f>Table17[[#This Row],[iss]]*INDEX(Table59[k_ISS2PIP],MATCH(Table17[[#This Row],[site]],Table59[site],0))</f>
        <v>4.6918590503938163E-3</v>
      </c>
      <c r="O115">
        <f>Table17[[#This Row],[rop]]+Table17[[#This Row],[lop]]+Table17[[#This Row],[pip]]</f>
        <v>6.630863559846932E-2</v>
      </c>
      <c r="P115">
        <f>(Table17[[#This Row],[nsrp_pred]]-Table17[[#This Row],[nsrp]])^2</f>
        <v>2.6499397694775245E-4</v>
      </c>
      <c r="Q115">
        <f>(Table17[[#This Row],[nsrp]]-INDEX(Table59[mean_nsrp],MATCH(Table17[[#This Row],[site]],Table59[site],0)))^2</f>
        <v>3.8593016621566755E-5</v>
      </c>
    </row>
    <row r="116" spans="1:17">
      <c r="A116" t="s">
        <v>28</v>
      </c>
      <c r="B116" t="s">
        <v>25</v>
      </c>
      <c r="C116">
        <v>1.0645347043701798E-3</v>
      </c>
      <c r="D116">
        <f>Table17[[#This Row],[iss]]/Table17[[#This Row],[tss]]</f>
        <v>7.7120822622107954E-2</v>
      </c>
      <c r="E116">
        <v>48.625000000000007</v>
      </c>
      <c r="F116">
        <v>3.75</v>
      </c>
      <c r="G116">
        <v>44.875000000000007</v>
      </c>
      <c r="H116">
        <v>6.1370000000000001E-3</v>
      </c>
      <c r="I116">
        <v>5.79E-2</v>
      </c>
      <c r="J116">
        <v>5.1763000000000003E-2</v>
      </c>
      <c r="K116">
        <v>0.10599309153713299</v>
      </c>
      <c r="L116">
        <f>Table17[[#This Row],[oss]]*INDEX(Table59[k_OSS2ROP],MATCH(Table17[[#This Row],[site]],Table59[site],FALSE))</f>
        <v>4.4875000000000005E-2</v>
      </c>
      <c r="M116">
        <f>Table17[[#This Row],[srp]]*INDEX(Table59[k_SRP2PIP],MATCH(Table17[[#This Row],[site]],Table59[site],FALSE))</f>
        <v>8.7096999016732981E-3</v>
      </c>
      <c r="N116">
        <f>Table17[[#This Row],[iss]]*INDEX(Table59[k_ISS2PIP],MATCH(Table17[[#This Row],[site]],Table59[site],0))</f>
        <v>3.518894287795362E-3</v>
      </c>
      <c r="O116">
        <f>Table17[[#This Row],[rop]]+Table17[[#This Row],[lop]]+Table17[[#This Row],[pip]]</f>
        <v>5.710359418946867E-2</v>
      </c>
      <c r="P116">
        <f>(Table17[[#This Row],[nsrp_pred]]-Table17[[#This Row],[nsrp]])^2</f>
        <v>2.8521946296586487E-5</v>
      </c>
      <c r="Q116">
        <f>(Table17[[#This Row],[nsrp]]-INDEX(Table59[mean_nsrp],MATCH(Table17[[#This Row],[site]],Table59[site],0)))^2</f>
        <v>6.3128233755978532E-5</v>
      </c>
    </row>
    <row r="117" spans="1:17">
      <c r="A117" t="s">
        <v>28</v>
      </c>
      <c r="B117" t="s">
        <v>25</v>
      </c>
      <c r="C117">
        <v>1.4318E-3</v>
      </c>
      <c r="D117">
        <f>Table17[[#This Row],[iss]]/Table17[[#This Row],[tss]]</f>
        <v>0.10526315789473681</v>
      </c>
      <c r="E117">
        <v>10</v>
      </c>
      <c r="F117">
        <v>1.0526315789473681</v>
      </c>
      <c r="G117">
        <v>8.9473684210526319</v>
      </c>
      <c r="H117">
        <v>1.3682E-2</v>
      </c>
      <c r="I117">
        <v>2.8000000000000001E-2</v>
      </c>
      <c r="J117">
        <v>1.4318000000000001E-2</v>
      </c>
      <c r="K117">
        <v>0.4886428571428571</v>
      </c>
      <c r="L117">
        <f>Table17[[#This Row],[oss]]*INDEX(Table59[k_OSS2ROP],MATCH(Table17[[#This Row],[site]],Table59[site],FALSE))</f>
        <v>8.9473684210526327E-3</v>
      </c>
      <c r="M117">
        <f>Table17[[#This Row],[srp]]*INDEX(Table59[k_SRP2PIP],MATCH(Table17[[#This Row],[site]],Table59[site],FALSE))</f>
        <v>1.9417649348980621E-2</v>
      </c>
      <c r="N117">
        <f>Table17[[#This Row],[iss]]*INDEX(Table59[k_ISS2PIP],MATCH(Table17[[#This Row],[site]],Table59[site],0))</f>
        <v>9.8775980008290829E-4</v>
      </c>
      <c r="O117">
        <f>Table17[[#This Row],[rop]]+Table17[[#This Row],[lop]]+Table17[[#This Row],[pip]]</f>
        <v>2.9352777570116159E-2</v>
      </c>
      <c r="P117">
        <f>(Table17[[#This Row],[nsrp_pred]]-Table17[[#This Row],[nsrp]])^2</f>
        <v>2.2604453658286793E-4</v>
      </c>
      <c r="Q117">
        <f>(Table17[[#This Row],[nsrp]]-INDEX(Table59[mean_nsrp],MATCH(Table17[[#This Row],[site]],Table59[site],0)))^2</f>
        <v>8.7023066025450747E-4</v>
      </c>
    </row>
    <row r="118" spans="1:17" hidden="1">
      <c r="A118" t="s">
        <v>28</v>
      </c>
      <c r="B118" t="s">
        <v>25</v>
      </c>
      <c r="C118">
        <v>3.3488571428571434E-3</v>
      </c>
      <c r="D118">
        <f>Table17[[#This Row],[iss]]/Table17[[#This Row],[tss]]</f>
        <v>8.695652173913043</v>
      </c>
      <c r="E118">
        <v>0.115</v>
      </c>
      <c r="F118">
        <v>1</v>
      </c>
      <c r="G118">
        <v>6</v>
      </c>
      <c r="H118">
        <v>8.6580000000000008E-3</v>
      </c>
      <c r="I118">
        <v>3.2100000000000004E-2</v>
      </c>
      <c r="J118">
        <v>2.3442000000000005E-2</v>
      </c>
      <c r="K118">
        <v>0.26971962616822431</v>
      </c>
      <c r="L118">
        <f>Table17[[#This Row],[oss]]*INDEX(Table59[k_OSS2ROP],MATCH(Table17[[#This Row],[site]],Table59[site],FALSE))</f>
        <v>6.0000000000000001E-3</v>
      </c>
      <c r="M118">
        <f>Table17[[#This Row],[srp]]*INDEX(Table59[k_SRP2PIP],MATCH(Table17[[#This Row],[site]],Table59[site],FALSE))</f>
        <v>1.2287531652059218E-2</v>
      </c>
      <c r="N118">
        <f>Table17[[#This Row],[iss]]*INDEX(Table59[k_ISS2PIP],MATCH(Table17[[#This Row],[site]],Table59[site],FALSE))</f>
        <v>9.383718100787632E-4</v>
      </c>
      <c r="O118">
        <f>Table17[[#This Row],[rop]]+Table17[[#This Row],[lop]]+Table17[[#This Row],[pip]]</f>
        <v>1.9225903462137983E-2</v>
      </c>
      <c r="P118">
        <f>(Table17[[#This Row],[nsrp_pred]]-Table17[[#This Row],[nsrp]])^2</f>
        <v>1.7775470016572122E-5</v>
      </c>
      <c r="Q118">
        <f>(Table17[[#This Row],[nsrp]]-INDEX(Table59[mean_nsrp],MATCH(Table17[[#This Row],[site]],Table59[site],0)))^2</f>
        <v>4.1516801784156622E-4</v>
      </c>
    </row>
    <row r="119" spans="1:17">
      <c r="A119" t="s">
        <v>28</v>
      </c>
      <c r="B119" t="s">
        <v>24</v>
      </c>
      <c r="C119">
        <v>1.649435294117647E-2</v>
      </c>
      <c r="D119">
        <f>Table17[[#This Row],[iss]]/Table17[[#This Row],[tss]]</f>
        <v>0.58823529411764708</v>
      </c>
      <c r="E119">
        <v>9.4444444444444446</v>
      </c>
      <c r="F119">
        <v>5.5555555555555554</v>
      </c>
      <c r="G119">
        <v>3.8888888888888893</v>
      </c>
      <c r="H119">
        <v>5.9220000000000002E-2</v>
      </c>
      <c r="I119">
        <v>0.215</v>
      </c>
      <c r="J119">
        <v>0.15578</v>
      </c>
      <c r="K119">
        <v>0.27544186046511632</v>
      </c>
      <c r="L119">
        <f>Table17[[#This Row],[oss]]*INDEX(Table59[k_OSS2ROP],MATCH(Table17[[#This Row],[site]],Table59[site],FALSE))</f>
        <v>3.8888888888888892E-3</v>
      </c>
      <c r="M119">
        <f>Table17[[#This Row],[srp]]*INDEX(Table59[k_SRP2PIP],MATCH(Table17[[#This Row],[site]],Table59[site],FALSE))</f>
        <v>8.4045694667931034E-2</v>
      </c>
      <c r="N119">
        <f>Table17[[#This Row],[iss]]*INDEX(Table59[k_ISS2PIP],MATCH(Table17[[#This Row],[site]],Table59[site],0))</f>
        <v>5.2131767226597956E-3</v>
      </c>
      <c r="O119">
        <f>Table17[[#This Row],[rop]]+Table17[[#This Row],[lop]]+Table17[[#This Row],[pip]]</f>
        <v>9.3147760279479713E-2</v>
      </c>
      <c r="P119">
        <f>(Table17[[#This Row],[nsrp_pred]]-Table17[[#This Row],[nsrp]])^2</f>
        <v>3.9227974524087194E-3</v>
      </c>
      <c r="Q119">
        <f>(Table17[[#This Row],[nsrp]]-INDEX(Table59[mean_nsrp],MATCH(Table17[[#This Row],[site]],Table59[site],0)))^2</f>
        <v>1.2535562845077453E-2</v>
      </c>
    </row>
    <row r="120" spans="1:17">
      <c r="A120" t="s">
        <v>28</v>
      </c>
      <c r="B120" t="s">
        <v>24</v>
      </c>
      <c r="C120">
        <v>5.0746120689655972E-3</v>
      </c>
      <c r="D120">
        <f>Table17[[#This Row],[iss]]/Table17[[#This Row],[tss]]</f>
        <v>0.82758620689654905</v>
      </c>
      <c r="E120">
        <v>14.499999999999773</v>
      </c>
      <c r="F120">
        <v>11.999999999999773</v>
      </c>
      <c r="G120">
        <v>2.5</v>
      </c>
      <c r="H120">
        <v>8.3400000000000002E-3</v>
      </c>
      <c r="I120">
        <v>8.1921875000000005E-2</v>
      </c>
      <c r="J120">
        <v>7.3581875000000005E-2</v>
      </c>
      <c r="K120">
        <v>0.10180431050925043</v>
      </c>
      <c r="L120">
        <f>Table17[[#This Row],[oss]]*INDEX(Table59[k_OSS2ROP],MATCH(Table17[[#This Row],[site]],Table59[site],FALSE))</f>
        <v>2.5000000000000001E-3</v>
      </c>
      <c r="M120">
        <f>Table17[[#This Row],[srp]]*INDEX(Table59[k_SRP2PIP],MATCH(Table17[[#This Row],[site]],Table59[site],FALSE))</f>
        <v>1.1836222450701534E-2</v>
      </c>
      <c r="N120">
        <f>Table17[[#This Row],[iss]]*INDEX(Table59[k_ISS2PIP],MATCH(Table17[[#This Row],[site]],Table59[site],0))</f>
        <v>1.1260461720944945E-2</v>
      </c>
      <c r="O120">
        <f>Table17[[#This Row],[rop]]+Table17[[#This Row],[lop]]+Table17[[#This Row],[pip]]</f>
        <v>2.559668417164648E-2</v>
      </c>
      <c r="P120">
        <f>(Table17[[#This Row],[nsrp_pred]]-Table17[[#This Row],[nsrp]])^2</f>
        <v>2.302578538833503E-3</v>
      </c>
      <c r="Q120">
        <f>(Table17[[#This Row],[nsrp]]-INDEX(Table59[mean_nsrp],MATCH(Table17[[#This Row],[site]],Table59[site],0)))^2</f>
        <v>8.8590776796936129E-4</v>
      </c>
    </row>
    <row r="121" spans="1:17">
      <c r="A121" t="s">
        <v>28</v>
      </c>
      <c r="B121" t="s">
        <v>24</v>
      </c>
      <c r="C121">
        <v>2.5489795918367348E-3</v>
      </c>
      <c r="D121">
        <f>Table17[[#This Row],[iss]]/Table17[[#This Row],[tss]]</f>
        <v>0.87755102040816324</v>
      </c>
      <c r="E121">
        <v>24.5</v>
      </c>
      <c r="F121">
        <v>21.5</v>
      </c>
      <c r="G121">
        <v>3</v>
      </c>
      <c r="H121">
        <v>2.665E-2</v>
      </c>
      <c r="I121">
        <v>8.9099999999999999E-2</v>
      </c>
      <c r="J121">
        <v>6.2449999999999999E-2</v>
      </c>
      <c r="K121">
        <v>0.2991021324354658</v>
      </c>
      <c r="L121">
        <f>Table17[[#This Row],[oss]]*INDEX(Table59[k_OSS2ROP],MATCH(Table17[[#This Row],[site]],Table59[site],FALSE))</f>
        <v>3.0000000000000001E-3</v>
      </c>
      <c r="M121">
        <f>Table17[[#This Row],[srp]]*INDEX(Table59[k_SRP2PIP],MATCH(Table17[[#This Row],[site]],Table59[site],FALSE))</f>
        <v>3.7821981811893987E-2</v>
      </c>
      <c r="N121">
        <f>Table17[[#This Row],[iss]]*INDEX(Table59[k_ISS2PIP],MATCH(Table17[[#This Row],[site]],Table59[site],0))</f>
        <v>2.0174993916693407E-2</v>
      </c>
      <c r="O121">
        <f>Table17[[#This Row],[rop]]+Table17[[#This Row],[lop]]+Table17[[#This Row],[pip]]</f>
        <v>6.0996975728587394E-2</v>
      </c>
      <c r="P121">
        <f>(Table17[[#This Row],[nsrp_pred]]-Table17[[#This Row],[nsrp]])^2</f>
        <v>2.1112795333141313E-6</v>
      </c>
      <c r="Q121">
        <f>(Table17[[#This Row],[nsrp]]-INDEX(Table59[mean_nsrp],MATCH(Table17[[#This Row],[site]],Table59[site],0)))^2</f>
        <v>3.4716363902744912E-4</v>
      </c>
    </row>
    <row r="122" spans="1:17">
      <c r="A122" t="s">
        <v>28</v>
      </c>
      <c r="B122" t="s">
        <v>24</v>
      </c>
      <c r="C122">
        <v>1.3341111111111111E-2</v>
      </c>
      <c r="D122">
        <f>Table17[[#This Row],[iss]]/Table17[[#This Row],[tss]]</f>
        <v>1</v>
      </c>
      <c r="E122">
        <v>9</v>
      </c>
      <c r="F122">
        <v>9</v>
      </c>
      <c r="G122">
        <v>0</v>
      </c>
      <c r="H122">
        <v>6.8930000000000005E-2</v>
      </c>
      <c r="I122">
        <v>0.189</v>
      </c>
      <c r="J122">
        <v>0.12007</v>
      </c>
      <c r="K122">
        <v>0.36470899470899476</v>
      </c>
      <c r="L122">
        <f>Table17[[#This Row],[oss]]*INDEX(Table59[k_OSS2ROP],MATCH(Table17[[#This Row],[site]],Table59[site],FALSE))</f>
        <v>0</v>
      </c>
      <c r="M122">
        <f>Table17[[#This Row],[srp]]*INDEX(Table59[k_SRP2PIP],MATCH(Table17[[#This Row],[site]],Table59[site],FALSE))</f>
        <v>9.7826236633915681E-2</v>
      </c>
      <c r="N122">
        <f>Table17[[#This Row],[iss]]*INDEX(Table59[k_ISS2PIP],MATCH(Table17[[#This Row],[site]],Table59[site],0))</f>
        <v>8.4453462907088696E-3</v>
      </c>
      <c r="O122">
        <f>Table17[[#This Row],[rop]]+Table17[[#This Row],[lop]]+Table17[[#This Row],[pip]]</f>
        <v>0.10627158292462455</v>
      </c>
      <c r="P122">
        <f>(Table17[[#This Row],[nsrp_pred]]-Table17[[#This Row],[nsrp]])^2</f>
        <v>1.9039631378601276E-4</v>
      </c>
      <c r="Q122">
        <f>(Table17[[#This Row],[nsrp]]-INDEX(Table59[mean_nsrp],MATCH(Table17[[#This Row],[site]],Table59[site],0)))^2</f>
        <v>5.8144174940215655E-3</v>
      </c>
    </row>
    <row r="123" spans="1:17">
      <c r="A123" t="s">
        <v>28</v>
      </c>
      <c r="B123" t="s">
        <v>24</v>
      </c>
      <c r="C123">
        <v>1.0834833333333333E-2</v>
      </c>
      <c r="D123">
        <f>Table17[[#This Row],[iss]]/Table17[[#This Row],[tss]]</f>
        <v>0</v>
      </c>
      <c r="E123">
        <v>1.6216216216216215</v>
      </c>
      <c r="F123">
        <v>0</v>
      </c>
      <c r="G123">
        <v>1.6216216216216215</v>
      </c>
      <c r="H123">
        <v>2.6429999999999999E-2</v>
      </c>
      <c r="I123">
        <v>4.3999999999999997E-2</v>
      </c>
      <c r="J123">
        <v>1.7569999999999999E-2</v>
      </c>
      <c r="K123">
        <v>0.60068181818181821</v>
      </c>
      <c r="L123">
        <f>Table17[[#This Row],[oss]]*INDEX(Table59[k_OSS2ROP],MATCH(Table17[[#This Row],[site]],Table59[site],FALSE))</f>
        <v>1.6216216216216215E-3</v>
      </c>
      <c r="M123">
        <f>Table17[[#This Row],[srp]]*INDEX(Table59[k_SRP2PIP],MATCH(Table17[[#This Row],[site]],Table59[site],FALSE))</f>
        <v>3.7509755320388673E-2</v>
      </c>
      <c r="N123">
        <f>Table17[[#This Row],[iss]]*INDEX(Table59[k_ISS2PIP],MATCH(Table17[[#This Row],[site]],Table59[site],0))</f>
        <v>0</v>
      </c>
      <c r="O123">
        <f>Table17[[#This Row],[rop]]+Table17[[#This Row],[lop]]+Table17[[#This Row],[pip]]</f>
        <v>3.9131376942010292E-2</v>
      </c>
      <c r="P123">
        <f>(Table17[[#This Row],[nsrp_pred]]-Table17[[#This Row],[nsrp]])^2</f>
        <v>4.6489297563545313E-4</v>
      </c>
      <c r="Q123">
        <f>(Table17[[#This Row],[nsrp]]-INDEX(Table59[mean_nsrp],MATCH(Table17[[#This Row],[site]],Table59[site],0)))^2</f>
        <v>6.8894029622744879E-4</v>
      </c>
    </row>
    <row r="124" spans="1:17">
      <c r="A124" t="s">
        <v>28</v>
      </c>
      <c r="B124" t="s">
        <v>24</v>
      </c>
      <c r="C124">
        <v>3.5656833333333323E-3</v>
      </c>
      <c r="D124">
        <f>Table17[[#This Row],[iss]]/Table17[[#This Row],[tss]]</f>
        <v>0.66666666666666663</v>
      </c>
      <c r="E124">
        <v>3.296703296703297</v>
      </c>
      <c r="F124">
        <v>2.197802197802198</v>
      </c>
      <c r="G124">
        <v>1.098901098901099</v>
      </c>
      <c r="H124">
        <v>2.2345E-2</v>
      </c>
      <c r="I124">
        <v>3.4099999999999998E-2</v>
      </c>
      <c r="J124">
        <v>1.1754999999999998E-2</v>
      </c>
      <c r="K124">
        <v>0.65527859237536656</v>
      </c>
      <c r="L124">
        <f>Table17[[#This Row],[oss]]*INDEX(Table59[k_OSS2ROP],MATCH(Table17[[#This Row],[site]],Table59[site],FALSE))</f>
        <v>1.0989010989010991E-3</v>
      </c>
      <c r="M124">
        <f>Table17[[#This Row],[srp]]*INDEX(Table59[k_SRP2PIP],MATCH(Table17[[#This Row],[site]],Table59[site],FALSE))</f>
        <v>3.171227705766496E-2</v>
      </c>
      <c r="N124">
        <f>Table17[[#This Row],[iss]]*INDEX(Table59[k_ISS2PIP],MATCH(Table17[[#This Row],[site]],Table59[site],0))</f>
        <v>2.0623556265467326E-3</v>
      </c>
      <c r="O124">
        <f>Table17[[#This Row],[rop]]+Table17[[#This Row],[lop]]+Table17[[#This Row],[pip]]</f>
        <v>3.4873533783112795E-2</v>
      </c>
      <c r="P124">
        <f>(Table17[[#This Row],[nsrp_pred]]-Table17[[#This Row],[nsrp]])^2</f>
        <v>5.3446660428092764E-4</v>
      </c>
      <c r="Q124">
        <f>(Table17[[#This Row],[nsrp]]-INDEX(Table59[mean_nsrp],MATCH(Table17[[#This Row],[site]],Table59[site],0)))^2</f>
        <v>1.0280149489818608E-3</v>
      </c>
    </row>
    <row r="125" spans="1:17">
      <c r="A125" t="s">
        <v>28</v>
      </c>
      <c r="B125" t="s">
        <v>24</v>
      </c>
      <c r="C125">
        <v>1.5276206896551723E-3</v>
      </c>
      <c r="D125">
        <f>Table17[[#This Row],[iss]]/Table17[[#This Row],[tss]]</f>
        <v>0.27586206896551729</v>
      </c>
      <c r="E125">
        <v>48.333333333333336</v>
      </c>
      <c r="F125">
        <v>13.333333333333336</v>
      </c>
      <c r="G125">
        <v>35</v>
      </c>
      <c r="H125">
        <v>1.6265000000000002E-2</v>
      </c>
      <c r="I125">
        <v>9.01E-2</v>
      </c>
      <c r="J125">
        <v>7.3834999999999998E-2</v>
      </c>
      <c r="K125">
        <v>0.18052164261931189</v>
      </c>
      <c r="L125">
        <f>Table17[[#This Row],[oss]]*INDEX(Table59[k_OSS2ROP],MATCH(Table17[[#This Row],[site]],Table59[site],FALSE))</f>
        <v>3.5000000000000003E-2</v>
      </c>
      <c r="M125">
        <f>Table17[[#This Row],[srp]]*INDEX(Table59[k_SRP2PIP],MATCH(Table17[[#This Row],[site]],Table59[site],FALSE))</f>
        <v>2.3083472201518043E-2</v>
      </c>
      <c r="N125">
        <f>Table17[[#This Row],[iss]]*INDEX(Table59[k_ISS2PIP],MATCH(Table17[[#This Row],[site]],Table59[site],0))</f>
        <v>1.2511624134383512E-2</v>
      </c>
      <c r="O125">
        <f>Table17[[#This Row],[rop]]+Table17[[#This Row],[lop]]+Table17[[#This Row],[pip]]</f>
        <v>7.0595096335901567E-2</v>
      </c>
      <c r="P125">
        <f>(Table17[[#This Row],[nsrp_pred]]-Table17[[#This Row],[nsrp]])^2</f>
        <v>1.0496975752638442E-5</v>
      </c>
      <c r="Q125">
        <f>(Table17[[#This Row],[nsrp]]-INDEX(Table59[mean_nsrp],MATCH(Table17[[#This Row],[site]],Table59[site],0)))^2</f>
        <v>9.0103996789950801E-4</v>
      </c>
    </row>
    <row r="126" spans="1:17">
      <c r="A126" t="s">
        <v>28</v>
      </c>
      <c r="B126" t="s">
        <v>24</v>
      </c>
      <c r="C126">
        <v>2.0424499999999999E-3</v>
      </c>
      <c r="D126">
        <f>Table17[[#This Row],[iss]]/Table17[[#This Row],[tss]]</f>
        <v>0</v>
      </c>
      <c r="E126">
        <v>20</v>
      </c>
      <c r="F126">
        <v>0</v>
      </c>
      <c r="G126">
        <v>20</v>
      </c>
      <c r="H126">
        <v>1.6251000000000002E-2</v>
      </c>
      <c r="I126">
        <v>5.7099999999999998E-2</v>
      </c>
      <c r="J126">
        <v>4.0848999999999996E-2</v>
      </c>
      <c r="K126">
        <v>0.28460595446584941</v>
      </c>
      <c r="L126">
        <f>Table17[[#This Row],[oss]]*INDEX(Table59[k_OSS2ROP],MATCH(Table17[[#This Row],[site]],Table59[site],FALSE))</f>
        <v>0.02</v>
      </c>
      <c r="M126">
        <f>Table17[[#This Row],[srp]]*INDEX(Table59[k_SRP2PIP],MATCH(Table17[[#This Row],[site]],Table59[site],FALSE))</f>
        <v>2.3063603242967703E-2</v>
      </c>
      <c r="N126">
        <f>Table17[[#This Row],[iss]]*INDEX(Table59[k_ISS2PIP],MATCH(Table17[[#This Row],[site]],Table59[site],0))</f>
        <v>0</v>
      </c>
      <c r="O126">
        <f>Table17[[#This Row],[rop]]+Table17[[#This Row],[lop]]+Table17[[#This Row],[pip]]</f>
        <v>4.3063603242967707E-2</v>
      </c>
      <c r="P126">
        <f>(Table17[[#This Row],[nsrp_pred]]-Table17[[#This Row],[nsrp]])^2</f>
        <v>4.9044675237631024E-6</v>
      </c>
      <c r="Q126">
        <f>(Table17[[#This Row],[nsrp]]-INDEX(Table59[mean_nsrp],MATCH(Table17[[#This Row],[site]],Table59[site],0)))^2</f>
        <v>8.813014665978386E-6</v>
      </c>
    </row>
    <row r="127" spans="1:17" hidden="1">
      <c r="A127" t="s">
        <v>28</v>
      </c>
      <c r="B127" t="s">
        <v>24</v>
      </c>
      <c r="C127">
        <v>9.3567999999999985E-3</v>
      </c>
      <c r="D127">
        <f>Table17[[#This Row],[iss]]/Table17[[#This Row],[tss]]</f>
        <v>3.3333333333333335</v>
      </c>
      <c r="E127">
        <v>3.5294117647058822</v>
      </c>
      <c r="F127">
        <v>11.764705882352942</v>
      </c>
      <c r="G127">
        <v>-8.2352941176470598</v>
      </c>
      <c r="H127">
        <v>4.1276E-2</v>
      </c>
      <c r="I127">
        <v>7.4299999999999991E-2</v>
      </c>
      <c r="J127">
        <v>3.3023999999999991E-2</v>
      </c>
      <c r="K127">
        <v>0.55553162853297455</v>
      </c>
      <c r="L127">
        <f>Table17[[#This Row],[oss]]*INDEX(Table59[k_OSS2ROP],MATCH(Table17[[#This Row],[site]],Table59[site],FALSE))</f>
        <v>-8.2352941176470594E-3</v>
      </c>
      <c r="M127">
        <f>Table17[[#This Row],[srp]]*INDEX(Table59[k_SRP2PIP],MATCH(Table17[[#This Row],[site]],Table59[site],FALSE))</f>
        <v>5.8579366651697419E-2</v>
      </c>
      <c r="N127">
        <f>Table17[[#This Row],[iss]]*INDEX(Table59[k_ISS2PIP],MATCH(Table17[[#This Row],[site]],Table59[site],FALSE))</f>
        <v>1.1039668353867804E-2</v>
      </c>
      <c r="O127">
        <f>Table17[[#This Row],[rop]]+Table17[[#This Row],[lop]]+Table17[[#This Row],[pip]]</f>
        <v>6.1383740887918169E-2</v>
      </c>
      <c r="P127">
        <f>(Table17[[#This Row],[nsrp_pred]]-Table17[[#This Row],[nsrp]])^2</f>
        <v>8.042749032298581E-4</v>
      </c>
      <c r="Q127">
        <f>(Table17[[#This Row],[nsrp]]-INDEX(Table59[mean_nsrp],MATCH(Table17[[#This Row],[site]],Table59[site],0)))^2</f>
        <v>1.1650335968803731E-4</v>
      </c>
    </row>
    <row r="128" spans="1:17">
      <c r="A128" t="s">
        <v>28</v>
      </c>
      <c r="B128" t="s">
        <v>24</v>
      </c>
      <c r="C128">
        <v>5.9827272727273036E-3</v>
      </c>
      <c r="D128">
        <f>Table17[[#This Row],[iss]]/Table17[[#This Row],[tss]]</f>
        <v>0</v>
      </c>
      <c r="E128">
        <v>1.0999999999999943</v>
      </c>
      <c r="F128">
        <v>0</v>
      </c>
      <c r="G128">
        <v>1.0999999999999943</v>
      </c>
      <c r="H128">
        <v>1.6319E-2</v>
      </c>
      <c r="I128">
        <v>2.29E-2</v>
      </c>
      <c r="J128">
        <v>6.581E-3</v>
      </c>
      <c r="K128">
        <v>0.71262008733624449</v>
      </c>
      <c r="L128">
        <f>Table17[[#This Row],[oss]]*INDEX(Table59[k_OSS2ROP],MATCH(Table17[[#This Row],[site]],Table59[site],FALSE))</f>
        <v>1.0999999999999944E-3</v>
      </c>
      <c r="M128">
        <f>Table17[[#This Row],[srp]]*INDEX(Table59[k_SRP2PIP],MATCH(Table17[[#This Row],[site]],Table59[site],FALSE))</f>
        <v>2.3160109613069343E-2</v>
      </c>
      <c r="N128">
        <f>Table17[[#This Row],[iss]]*INDEX(Table59[k_ISS2PIP],MATCH(Table17[[#This Row],[site]],Table59[site],0))</f>
        <v>0</v>
      </c>
      <c r="O128">
        <f>Table17[[#This Row],[rop]]+Table17[[#This Row],[lop]]+Table17[[#This Row],[pip]]</f>
        <v>2.4260109613069337E-2</v>
      </c>
      <c r="P128">
        <f>(Table17[[#This Row],[nsrp_pred]]-Table17[[#This Row],[nsrp]])^2</f>
        <v>3.1255091671092064E-4</v>
      </c>
      <c r="Q128">
        <f>(Table17[[#This Row],[nsrp]]-INDEX(Table59[mean_nsrp],MATCH(Table17[[#This Row],[site]],Table59[site],0)))^2</f>
        <v>1.3865697569683312E-3</v>
      </c>
    </row>
    <row r="129" spans="1:17" hidden="1">
      <c r="A129" t="s">
        <v>28</v>
      </c>
      <c r="B129" t="s">
        <v>24</v>
      </c>
      <c r="C129">
        <v>1.5597099303135886E-3</v>
      </c>
      <c r="D129">
        <f>Table17[[#This Row],[iss]]/Table17[[#This Row],[tss]]</f>
        <v>1.1149825783972125</v>
      </c>
      <c r="E129">
        <v>34.787878787878796</v>
      </c>
      <c r="F129">
        <v>38.787878787878796</v>
      </c>
      <c r="G129">
        <v>-3.9999999999999969</v>
      </c>
      <c r="H129">
        <v>7.3410000000000003E-3</v>
      </c>
      <c r="I129">
        <v>6.1600000000000002E-2</v>
      </c>
      <c r="J129">
        <v>5.4259000000000002E-2</v>
      </c>
      <c r="K129">
        <v>0.11917207792207793</v>
      </c>
      <c r="L129">
        <f>Table17[[#This Row],[oss]]*INDEX(Table59[k_OSS2ROP],MATCH(Table17[[#This Row],[site]],Table59[site],FALSE))</f>
        <v>-3.9999999999999966E-3</v>
      </c>
      <c r="M129">
        <f>Table17[[#This Row],[srp]]*INDEX(Table59[k_SRP2PIP],MATCH(Table17[[#This Row],[site]],Table59[site],FALSE))</f>
        <v>1.0418430337002394E-2</v>
      </c>
      <c r="N129">
        <f>Table17[[#This Row],[iss]]*INDEX(Table59[k_ISS2PIP],MATCH(Table17[[#This Row],[site]],Table59[site],FALSE))</f>
        <v>3.6397452027297487E-2</v>
      </c>
      <c r="O129">
        <f>Table17[[#This Row],[rop]]+Table17[[#This Row],[lop]]+Table17[[#This Row],[pip]]</f>
        <v>4.2815882364299881E-2</v>
      </c>
      <c r="P129">
        <f>(Table17[[#This Row],[nsrp_pred]]-Table17[[#This Row],[nsrp]])^2</f>
        <v>1.3094494122447111E-4</v>
      </c>
      <c r="Q129">
        <f>(Table17[[#This Row],[nsrp]]-INDEX(Table59[mean_nsrp],MATCH(Table17[[#This Row],[site]],Table59[site],0)))^2</f>
        <v>1.0902132610421384E-4</v>
      </c>
    </row>
    <row r="130" spans="1:17">
      <c r="A130" t="s">
        <v>28</v>
      </c>
      <c r="B130" t="s">
        <v>24</v>
      </c>
      <c r="C130">
        <v>1.0836842105263157E-3</v>
      </c>
      <c r="D130">
        <f>Table17[[#This Row],[iss]]/Table17[[#This Row],[tss]]</f>
        <v>6.5789473684210509E-2</v>
      </c>
      <c r="E130">
        <v>38.000000000000007</v>
      </c>
      <c r="F130">
        <v>2.5</v>
      </c>
      <c r="G130">
        <v>35.500000000000007</v>
      </c>
      <c r="H130">
        <v>8.7200000000000003E-3</v>
      </c>
      <c r="I130">
        <v>4.99E-2</v>
      </c>
      <c r="J130">
        <v>4.1180000000000001E-2</v>
      </c>
      <c r="K130">
        <v>0.17474949899799599</v>
      </c>
      <c r="L130">
        <f>Table17[[#This Row],[oss]]*INDEX(Table59[k_OSS2ROP],MATCH(Table17[[#This Row],[site]],Table59[site],FALSE))</f>
        <v>3.5500000000000011E-2</v>
      </c>
      <c r="M130">
        <f>Table17[[#This Row],[srp]]*INDEX(Table59[k_SRP2PIP],MATCH(Table17[[#This Row],[site]],Table59[site],FALSE))</f>
        <v>1.2375522754210716E-2</v>
      </c>
      <c r="N130">
        <f>Table17[[#This Row],[iss]]*INDEX(Table59[k_ISS2PIP],MATCH(Table17[[#This Row],[site]],Table59[site],0))</f>
        <v>2.3459295251969082E-3</v>
      </c>
      <c r="O130">
        <f>Table17[[#This Row],[rop]]+Table17[[#This Row],[lop]]+Table17[[#This Row],[pip]]</f>
        <v>5.0221452279407636E-2</v>
      </c>
      <c r="P130">
        <f>(Table17[[#This Row],[nsrp_pred]]-Table17[[#This Row],[nsrp]])^2</f>
        <v>8.1747859320805501E-5</v>
      </c>
      <c r="Q130">
        <f>(Table17[[#This Row],[nsrp]]-INDEX(Table59[mean_nsrp],MATCH(Table17[[#This Row],[site]],Table59[site],0)))^2</f>
        <v>6.9573146656842438E-6</v>
      </c>
    </row>
    <row r="131" spans="1:17">
      <c r="A131" t="s">
        <v>28</v>
      </c>
      <c r="B131" t="s">
        <v>24</v>
      </c>
      <c r="C131">
        <v>2.1378499999999993E-3</v>
      </c>
      <c r="D131">
        <f>Table17[[#This Row],[iss]]/Table17[[#This Row],[tss]]</f>
        <v>0.25000000000000006</v>
      </c>
      <c r="E131">
        <v>4.3478260869565224</v>
      </c>
      <c r="F131">
        <v>1.0869565217391308</v>
      </c>
      <c r="G131">
        <v>3.2608695652173916</v>
      </c>
      <c r="H131">
        <v>1.6605000000000002E-2</v>
      </c>
      <c r="I131">
        <v>2.5899999999999999E-2</v>
      </c>
      <c r="J131">
        <v>9.2949999999999977E-3</v>
      </c>
      <c r="K131">
        <v>0.64111969111969125</v>
      </c>
      <c r="L131">
        <f>Table17[[#This Row],[oss]]*INDEX(Table59[k_OSS2ROP],MATCH(Table17[[#This Row],[site]],Table59[site],FALSE))</f>
        <v>3.2608695652173916E-3</v>
      </c>
      <c r="M131">
        <f>Table17[[#This Row],[srp]]*INDEX(Table59[k_SRP2PIP],MATCH(Table17[[#This Row],[site]],Table59[site],FALSE))</f>
        <v>2.3566004052026256E-2</v>
      </c>
      <c r="N131">
        <f>Table17[[#This Row],[iss]]*INDEX(Table59[k_ISS2PIP],MATCH(Table17[[#This Row],[site]],Table59[site],0))</f>
        <v>1.0199693587812648E-3</v>
      </c>
      <c r="O131">
        <f>Table17[[#This Row],[rop]]+Table17[[#This Row],[lop]]+Table17[[#This Row],[pip]]</f>
        <v>2.784684297602491E-2</v>
      </c>
      <c r="P131">
        <f>(Table17[[#This Row],[nsrp_pred]]-Table17[[#This Row],[nsrp]])^2</f>
        <v>3.4417087780708487E-4</v>
      </c>
      <c r="Q131">
        <f>(Table17[[#This Row],[nsrp]]-INDEX(Table59[mean_nsrp],MATCH(Table17[[#This Row],[site]],Table59[site],0)))^2</f>
        <v>1.1918148962348017E-3</v>
      </c>
    </row>
    <row r="132" spans="1:17">
      <c r="A132" t="s">
        <v>28</v>
      </c>
      <c r="B132" t="s">
        <v>24</v>
      </c>
      <c r="C132">
        <v>1.0107525000000001E-2</v>
      </c>
      <c r="D132">
        <f>Table17[[#This Row],[iss]]/Table17[[#This Row],[tss]]</f>
        <v>0.5</v>
      </c>
      <c r="E132">
        <v>2.1052631578947367</v>
      </c>
      <c r="F132">
        <v>1.0526315789473684</v>
      </c>
      <c r="G132">
        <v>1.0526315789473684</v>
      </c>
      <c r="H132">
        <v>7.221E-3</v>
      </c>
      <c r="I132">
        <v>2.8500000000000001E-2</v>
      </c>
      <c r="J132">
        <v>2.1278999999999999E-2</v>
      </c>
      <c r="K132">
        <v>0.25336842105263158</v>
      </c>
      <c r="L132">
        <f>Table17[[#This Row],[oss]]*INDEX(Table59[k_OSS2ROP],MATCH(Table17[[#This Row],[site]],Table59[site],FALSE))</f>
        <v>1.0526315789473684E-3</v>
      </c>
      <c r="M132">
        <f>Table17[[#This Row],[srp]]*INDEX(Table59[k_SRP2PIP],MATCH(Table17[[#This Row],[site]],Table59[site],FALSE))</f>
        <v>1.0248124977999493E-2</v>
      </c>
      <c r="N132">
        <f>Table17[[#This Row],[iss]]*INDEX(Table59[k_ISS2PIP],MATCH(Table17[[#This Row],[site]],Table59[site],0))</f>
        <v>9.8775980008290851E-4</v>
      </c>
      <c r="O132">
        <f>Table17[[#This Row],[rop]]+Table17[[#This Row],[lop]]+Table17[[#This Row],[pip]]</f>
        <v>1.2288516357029771E-2</v>
      </c>
      <c r="P132">
        <f>(Table17[[#This Row],[nsrp_pred]]-Table17[[#This Row],[nsrp]])^2</f>
        <v>8.0828796134515226E-5</v>
      </c>
      <c r="Q132">
        <f>(Table17[[#This Row],[nsrp]]-INDEX(Table59[mean_nsrp],MATCH(Table17[[#This Row],[site]],Table59[site],0)))^2</f>
        <v>5.0799174480421348E-4</v>
      </c>
    </row>
    <row r="133" spans="1:17">
      <c r="D133" t="e">
        <f>Table17[[#This Row],[iss]]/Table17[[#This Row],[tss]]</f>
        <v>#VALUE!</v>
      </c>
    </row>
    <row r="134" spans="1:17">
      <c r="D134" t="e">
        <f>Table17[[#This Row],[iss]]/Table17[[#This Row],[tss]]</f>
        <v>#VALUE!</v>
      </c>
    </row>
    <row r="135" spans="1:17">
      <c r="D135" t="e">
        <f>Table17[[#This Row],[iss]]/Table17[[#This Row],[tss]]</f>
        <v>#VALUE!</v>
      </c>
    </row>
    <row r="136" spans="1:17">
      <c r="D136" t="e">
        <f>Table17[[#This Row],[iss]]/Table17[[#This Row],[tss]]</f>
        <v>#VALUE!</v>
      </c>
    </row>
    <row r="137" spans="1:17">
      <c r="D137" t="e">
        <f>Table17[[#This Row],[iss]]/Table17[[#This Row],[tss]]</f>
        <v>#VALUE!</v>
      </c>
    </row>
    <row r="138" spans="1:17">
      <c r="D138" t="e">
        <f>Table17[[#This Row],[iss]]/Table17[[#This Row],[tss]]</f>
        <v>#VALUE!</v>
      </c>
    </row>
    <row r="139" spans="1:17">
      <c r="D139" t="e">
        <f>Table17[[#This Row],[iss]]/Table17[[#This Row],[tss]]</f>
        <v>#VALUE!</v>
      </c>
    </row>
    <row r="140" spans="1:17">
      <c r="D140" t="e">
        <f>Table17[[#This Row],[iss]]/Table17[[#This Row],[tss]]</f>
        <v>#VALUE!</v>
      </c>
    </row>
    <row r="141" spans="1:17">
      <c r="D141" t="e">
        <f>Table17[[#This Row],[iss]]/Table17[[#This Row],[tss]]</f>
        <v>#VALUE!</v>
      </c>
    </row>
    <row r="142" spans="1:17">
      <c r="D142" t="e">
        <f>Table17[[#This Row],[iss]]/Table17[[#This Row],[tss]]</f>
        <v>#VALUE!</v>
      </c>
    </row>
    <row r="143" spans="1:17">
      <c r="D143" t="e">
        <f>Table17[[#This Row],[iss]]/Table17[[#This Row],[tss]]</f>
        <v>#VALUE!</v>
      </c>
    </row>
    <row r="144" spans="1:17">
      <c r="D144" t="e">
        <f>Table17[[#This Row],[iss]]/Table17[[#This Row],[tss]]</f>
        <v>#VALUE!</v>
      </c>
    </row>
    <row r="145" spans="4:4">
      <c r="D145" t="e">
        <f>Table17[[#This Row],[iss]]/Table17[[#This Row],[tss]]</f>
        <v>#VALUE!</v>
      </c>
    </row>
    <row r="146" spans="4:4">
      <c r="D146" t="e">
        <f>Table17[[#This Row],[iss]]/Table17[[#This Row],[tss]]</f>
        <v>#VALUE!</v>
      </c>
    </row>
    <row r="147" spans="4:4">
      <c r="D147" t="e">
        <f>Table17[[#This Row],[iss]]/Table17[[#This Row],[tss]]</f>
        <v>#VALUE!</v>
      </c>
    </row>
    <row r="148" spans="4:4">
      <c r="D148" t="e">
        <f>Table17[[#This Row],[iss]]/Table17[[#This Row],[tss]]</f>
        <v>#VALUE!</v>
      </c>
    </row>
    <row r="149" spans="4:4">
      <c r="D149" t="e">
        <f>Table17[[#This Row],[iss]]/Table17[[#This Row],[tss]]</f>
        <v>#VALUE!</v>
      </c>
    </row>
  </sheetData>
  <scenarios current="0">
    <scenario name="all unique" count="9" user="Admin" comment="Created by Admin on 10/9/2021">
      <inputCells r="V22" val="0.00566202601362643"/>
      <inputCells r="W22" val="0.725427221652669"/>
      <inputCells r="X22" val="0.00214853080427923"/>
      <inputCells r="V23" val="0.000752068301698345"/>
      <inputCells r="W23" val="0.827262829478957"/>
      <inputCells r="X23" val="0.000896986877945099"/>
      <inputCells r="V24" val="0.000683959153872353"/>
      <inputCells r="W24" val="1.48342430359802"/>
      <inputCells r="X24" val="0.00106539925593153"/>
    </scenario>
  </scenario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C5B3-BC2F-4716-9A4F-130F273F6F0E}">
  <dimension ref="A1:Y133"/>
  <sheetViews>
    <sheetView topLeftCell="J1" workbookViewId="0">
      <selection activeCell="Q8" sqref="Q8"/>
    </sheetView>
  </sheetViews>
  <sheetFormatPr defaultRowHeight="13.8"/>
  <cols>
    <col min="2" max="3" width="9.3984375" customWidth="1"/>
    <col min="10" max="10" width="9.69921875" customWidth="1"/>
    <col min="14" max="14" width="11.3984375" customWidth="1"/>
    <col min="15" max="15" width="8.8984375" customWidth="1"/>
    <col min="19" max="19" width="9.3984375" customWidth="1"/>
    <col min="20" max="20" width="13" customWidth="1"/>
    <col min="21" max="21" width="12.5" customWidth="1"/>
    <col min="22" max="22" width="11.09765625" customWidth="1"/>
    <col min="23" max="23" width="8.8984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5">
      <c r="A2" t="s">
        <v>15</v>
      </c>
      <c r="B2" t="s">
        <v>16</v>
      </c>
      <c r="C2">
        <v>2.0600000000000004E-2</v>
      </c>
      <c r="D2">
        <v>3.5</v>
      </c>
      <c r="E2">
        <v>2.5</v>
      </c>
      <c r="F2">
        <v>1</v>
      </c>
      <c r="G2">
        <v>2.2800000000000001E-2</v>
      </c>
      <c r="H2">
        <v>9.4900000000000012E-2</v>
      </c>
      <c r="I2">
        <v>7.2100000000000011E-2</v>
      </c>
      <c r="J2">
        <v>0.24025289778714434</v>
      </c>
      <c r="K2">
        <f>Table1[[#This Row],[oss]]*INDEX(Table3[k_OSS2ROP],MATCH(Table1[[#This Row],[site.plot]],Table3[site.plot],FALSE))</f>
        <v>5.5398709369400426E-3</v>
      </c>
      <c r="L2">
        <f>Table1[[#This Row],[srp]]*INDEX(Table5[k_SRP2LOP],MATCH(Table1[[#This Row],[site]],Table5[site],FALSE))</f>
        <v>1.6520786124207001E-2</v>
      </c>
      <c r="M2">
        <f>Table1[[#This Row],[iss]]*INDEX(Table5[k_ISS2PIP],MATCH(Table1[[#This Row],[site]],Table5[site],FALSE))</f>
        <v>5.3825877172944099E-3</v>
      </c>
      <c r="N2">
        <f>Table1[[#This Row],[rop]]+Table1[[#This Row],[lop]]+Table1[[#This Row],[pip]]</f>
        <v>2.7443244778441452E-2</v>
      </c>
      <c r="O2">
        <f>(Table1[[#This Row],[nsrp_pred]]-Table1[[#This Row],[nsrp]])^2</f>
        <v>1.9942257869181973E-3</v>
      </c>
    </row>
    <row r="3" spans="1:25">
      <c r="A3" t="s">
        <v>15</v>
      </c>
      <c r="B3" t="s">
        <v>16</v>
      </c>
      <c r="C3">
        <v>1.4874749999999999E-2</v>
      </c>
      <c r="D3">
        <v>4.4444444444444446</v>
      </c>
      <c r="E3">
        <v>4.4444444444444446</v>
      </c>
      <c r="F3">
        <v>0</v>
      </c>
      <c r="G3">
        <v>2.1190000000000001E-2</v>
      </c>
      <c r="H3">
        <v>8.7300000000000003E-2</v>
      </c>
      <c r="I3">
        <v>6.6110000000000002E-2</v>
      </c>
      <c r="J3">
        <v>0.2427262313860252</v>
      </c>
      <c r="K3">
        <f>Table1[[#This Row],[oss]]*INDEX(Table3[k_OSS2ROP],MATCH(Table1[[#This Row],[site.plot]],Table3[site.plot],FALSE))</f>
        <v>0</v>
      </c>
      <c r="L3">
        <f>Table1[[#This Row],[srp]]*INDEX(Table5[k_SRP2LOP],MATCH(Table1[[#This Row],[site]],Table5[site],FALSE))</f>
        <v>1.5354186753155544E-2</v>
      </c>
      <c r="M3">
        <f>Table1[[#This Row],[iss]]*INDEX(Table5[k_ISS2PIP],MATCH(Table1[[#This Row],[site]],Table5[site],FALSE))</f>
        <v>9.5690448307456186E-3</v>
      </c>
      <c r="N3">
        <f>Table1[[#This Row],[rop]]+Table1[[#This Row],[lop]]+Table1[[#This Row],[pip]]</f>
        <v>2.4923231583901161E-2</v>
      </c>
      <c r="O3">
        <f>(Table1[[#This Row],[nsrp_pred]]-Table1[[#This Row],[nsrp]])^2</f>
        <v>1.6963498925613571E-3</v>
      </c>
      <c r="Y3" t="s">
        <v>18</v>
      </c>
    </row>
    <row r="4" spans="1:25">
      <c r="A4" t="s">
        <v>15</v>
      </c>
      <c r="B4" t="s">
        <v>16</v>
      </c>
      <c r="C4">
        <v>2.6512000000000001E-2</v>
      </c>
      <c r="D4">
        <v>2.5</v>
      </c>
      <c r="E4">
        <v>1.5</v>
      </c>
      <c r="F4">
        <v>1</v>
      </c>
      <c r="G4">
        <v>2.0119999999999999E-2</v>
      </c>
      <c r="H4">
        <v>8.6400000000000005E-2</v>
      </c>
      <c r="I4">
        <v>6.6280000000000006E-2</v>
      </c>
      <c r="J4">
        <v>0.23287037037037034</v>
      </c>
      <c r="K4">
        <f>Table1[[#This Row],[oss]]*INDEX(Table3[k_OSS2ROP],MATCH(Table1[[#This Row],[site.plot]],Table3[site.plot],FALSE))</f>
        <v>5.5398709369400426E-3</v>
      </c>
      <c r="L4">
        <f>Table1[[#This Row],[srp]]*INDEX(Table5[k_SRP2LOP],MATCH(Table1[[#This Row],[site]],Table5[site],FALSE))</f>
        <v>1.4578869158730037E-2</v>
      </c>
      <c r="M4">
        <f>Table1[[#This Row],[iss]]*INDEX(Table5[k_ISS2PIP],MATCH(Table1[[#This Row],[site]],Table5[site],FALSE))</f>
        <v>3.229552630376646E-3</v>
      </c>
      <c r="N4">
        <f>Table1[[#This Row],[rop]]+Table1[[#This Row],[lop]]+Table1[[#This Row],[pip]]</f>
        <v>2.3348292726046726E-2</v>
      </c>
      <c r="O4">
        <f>(Table1[[#This Row],[nsrp_pred]]-Table1[[#This Row],[nsrp]])^2</f>
        <v>1.8431314894564127E-3</v>
      </c>
    </row>
    <row r="5" spans="1:25">
      <c r="A5" t="s">
        <v>15</v>
      </c>
      <c r="B5" t="s">
        <v>16</v>
      </c>
      <c r="C5">
        <v>4.9556875E-3</v>
      </c>
      <c r="D5">
        <v>8.108108108108107</v>
      </c>
      <c r="E5">
        <v>8.108108108108107</v>
      </c>
      <c r="F5">
        <v>0</v>
      </c>
      <c r="G5">
        <v>3.4849999999999999E-2</v>
      </c>
      <c r="H5">
        <v>7.5031249999999994E-2</v>
      </c>
      <c r="I5">
        <v>4.0181249999999995E-2</v>
      </c>
      <c r="J5">
        <v>0.46447313619325281</v>
      </c>
      <c r="K5">
        <f>Table1[[#This Row],[oss]]*INDEX(Table3[k_OSS2ROP],MATCH(Table1[[#This Row],[site.plot]],Table3[site.plot],FALSE))</f>
        <v>0</v>
      </c>
      <c r="L5">
        <f>Table1[[#This Row],[srp]]*INDEX(Table5[k_SRP2LOP],MATCH(Table1[[#This Row],[site]],Table5[site],FALSE))</f>
        <v>2.525216651002693E-2</v>
      </c>
      <c r="M5">
        <f>Table1[[#This Row],[iss]]*INDEX(Table5[k_ISS2PIP],MATCH(Table1[[#This Row],[site]],Table5[site],FALSE))</f>
        <v>1.7457041245279165E-2</v>
      </c>
      <c r="N5">
        <f>Table1[[#This Row],[rop]]+Table1[[#This Row],[lop]]+Table1[[#This Row],[pip]]</f>
        <v>4.2709207755306094E-2</v>
      </c>
      <c r="O5">
        <f>(Table1[[#This Row],[nsrp_pred]]-Table1[[#This Row],[nsrp]])^2</f>
        <v>6.3905704126122541E-6</v>
      </c>
      <c r="T5" t="s">
        <v>29</v>
      </c>
    </row>
    <row r="6" spans="1:25">
      <c r="A6" t="s">
        <v>15</v>
      </c>
      <c r="B6" t="s">
        <v>16</v>
      </c>
      <c r="C6">
        <v>2.0053333333331813E-2</v>
      </c>
      <c r="D6">
        <v>3.0000000000002274</v>
      </c>
      <c r="E6">
        <v>2.5</v>
      </c>
      <c r="F6">
        <v>0.50000000000022737</v>
      </c>
      <c r="G6">
        <v>3.0839999999999999E-2</v>
      </c>
      <c r="H6">
        <v>9.0999999999999998E-2</v>
      </c>
      <c r="I6">
        <v>6.0159999999999998E-2</v>
      </c>
      <c r="J6">
        <v>0.33890109890109893</v>
      </c>
      <c r="K6">
        <f>Table1[[#This Row],[oss]]*INDEX(Table3[k_OSS2ROP],MATCH(Table1[[#This Row],[site.plot]],Table3[site.plot],FALSE))</f>
        <v>2.7699354684712807E-3</v>
      </c>
      <c r="L6">
        <f>Table1[[#This Row],[srp]]*INDEX(Table5[k_SRP2LOP],MATCH(Table1[[#This Row],[site]],Table5[site],FALSE))</f>
        <v>2.2346537020637894E-2</v>
      </c>
      <c r="M6">
        <f>Table1[[#This Row],[iss]]*INDEX(Table5[k_ISS2PIP],MATCH(Table1[[#This Row],[site]],Table5[site],FALSE))</f>
        <v>5.3825877172944099E-3</v>
      </c>
      <c r="N6">
        <f>Table1[[#This Row],[rop]]+Table1[[#This Row],[lop]]+Table1[[#This Row],[pip]]</f>
        <v>3.0499060206403583E-2</v>
      </c>
      <c r="O6">
        <f>(Table1[[#This Row],[nsrp_pred]]-Table1[[#This Row],[nsrp]])^2</f>
        <v>8.7977134943935137E-4</v>
      </c>
      <c r="T6" t="s">
        <v>30</v>
      </c>
    </row>
    <row r="7" spans="1:25">
      <c r="A7" t="s">
        <v>15</v>
      </c>
      <c r="B7" t="s">
        <v>16</v>
      </c>
      <c r="C7">
        <v>2.2234499999999997E-2</v>
      </c>
      <c r="D7">
        <v>2.5</v>
      </c>
      <c r="E7">
        <v>0.5</v>
      </c>
      <c r="F7">
        <v>2</v>
      </c>
      <c r="G7">
        <v>3.7819999999999999E-2</v>
      </c>
      <c r="H7">
        <v>9.3406249999999996E-2</v>
      </c>
      <c r="I7">
        <v>5.5586249999999997E-2</v>
      </c>
      <c r="J7">
        <v>0.40489795918367349</v>
      </c>
      <c r="K7">
        <f>Table1[[#This Row],[oss]]*INDEX(Table3[k_OSS2ROP],MATCH(Table1[[#This Row],[site.plot]],Table3[site.plot],FALSE))</f>
        <v>1.1079741873880085E-2</v>
      </c>
      <c r="L7">
        <f>Table1[[#This Row],[srp]]*INDEX(Table5[k_SRP2LOP],MATCH(Table1[[#This Row],[site]],Table5[site],FALSE))</f>
        <v>2.7404216281469686E-2</v>
      </c>
      <c r="M7">
        <f>Table1[[#This Row],[iss]]*INDEX(Table5[k_ISS2PIP],MATCH(Table1[[#This Row],[site]],Table5[site],FALSE))</f>
        <v>1.076517543458882E-3</v>
      </c>
      <c r="N7">
        <f>Table1[[#This Row],[rop]]+Table1[[#This Row],[lop]]+Table1[[#This Row],[pip]]</f>
        <v>3.9560475698808654E-2</v>
      </c>
      <c r="O7">
        <f>(Table1[[#This Row],[nsrp_pred]]-Table1[[#This Row],[nsrp]])^2</f>
        <v>2.5682544195272487E-4</v>
      </c>
      <c r="T7" t="s">
        <v>31</v>
      </c>
    </row>
    <row r="8" spans="1:25">
      <c r="A8" t="s">
        <v>15</v>
      </c>
      <c r="B8" t="s">
        <v>16</v>
      </c>
      <c r="C8">
        <v>6.1292708333333321E-3</v>
      </c>
      <c r="D8">
        <v>6</v>
      </c>
      <c r="E8">
        <v>5</v>
      </c>
      <c r="F8">
        <v>1</v>
      </c>
      <c r="G8">
        <v>1.6490000000000001E-2</v>
      </c>
      <c r="H8">
        <v>5.3265624999999997E-2</v>
      </c>
      <c r="I8">
        <v>3.6775624999999992E-2</v>
      </c>
      <c r="J8">
        <v>0.30958052214725729</v>
      </c>
      <c r="K8">
        <f>Table1[[#This Row],[oss]]*INDEX(Table3[k_OSS2ROP],MATCH(Table1[[#This Row],[site.plot]],Table3[site.plot],FALSE))</f>
        <v>5.5398709369400426E-3</v>
      </c>
      <c r="L8">
        <f>Table1[[#This Row],[srp]]*INDEX(Table5[k_SRP2LOP],MATCH(Table1[[#This Row],[site]],Table5[site],FALSE))</f>
        <v>1.1948586104744452E-2</v>
      </c>
      <c r="M8">
        <f>Table1[[#This Row],[iss]]*INDEX(Table5[k_ISS2PIP],MATCH(Table1[[#This Row],[site]],Table5[site],FALSE))</f>
        <v>1.076517543458882E-2</v>
      </c>
      <c r="N8">
        <f>Table1[[#This Row],[rop]]+Table1[[#This Row],[lop]]+Table1[[#This Row],[pip]]</f>
        <v>2.8253632476273313E-2</v>
      </c>
      <c r="O8">
        <f>(Table1[[#This Row],[nsrp_pred]]-Table1[[#This Row],[nsrp]])^2</f>
        <v>7.262435657445341E-5</v>
      </c>
    </row>
    <row r="9" spans="1:25">
      <c r="A9" t="s">
        <v>15</v>
      </c>
      <c r="B9" t="s">
        <v>16</v>
      </c>
      <c r="C9">
        <v>9.7771428571428575E-3</v>
      </c>
      <c r="D9">
        <v>3.5</v>
      </c>
      <c r="E9">
        <v>3.5</v>
      </c>
      <c r="F9">
        <v>0</v>
      </c>
      <c r="G9">
        <v>1.2880000000000001E-2</v>
      </c>
      <c r="H9">
        <v>4.7100000000000003E-2</v>
      </c>
      <c r="I9">
        <v>3.422E-2</v>
      </c>
      <c r="J9" s="3">
        <v>0.27346072186836518</v>
      </c>
      <c r="K9">
        <f>Table1[[#This Row],[oss]]*INDEX(Table3[k_OSS2ROP],MATCH(Table1[[#This Row],[site.plot]],Table3[site.plot],FALSE))</f>
        <v>0</v>
      </c>
      <c r="L9">
        <f>Table1[[#This Row],[srp]]*INDEX(Table5[k_SRP2LOP],MATCH(Table1[[#This Row],[site]],Table5[site],FALSE))</f>
        <v>9.3327949684116757E-3</v>
      </c>
      <c r="M9">
        <f>Table1[[#This Row],[iss]]*INDEX(Table5[k_ISS2PIP],MATCH(Table1[[#This Row],[site]],Table5[site],FALSE))</f>
        <v>7.5356228042121739E-3</v>
      </c>
      <c r="N9">
        <f>Table1[[#This Row],[rop]]+Table1[[#This Row],[lop]]+Table1[[#This Row],[pip]]</f>
        <v>1.686841777262385E-2</v>
      </c>
      <c r="O9">
        <f>(Table1[[#This Row],[nsrp_pred]]-Table1[[#This Row],[nsrp]])^2</f>
        <v>3.0107740579339587E-4</v>
      </c>
    </row>
    <row r="10" spans="1:25">
      <c r="A10" t="s">
        <v>15</v>
      </c>
      <c r="B10" t="s">
        <v>16</v>
      </c>
      <c r="C10">
        <v>2.7289999999999997E-3</v>
      </c>
      <c r="D10">
        <v>20</v>
      </c>
      <c r="E10">
        <v>20</v>
      </c>
      <c r="F10">
        <v>0</v>
      </c>
      <c r="G10">
        <v>4.9419999999999999E-2</v>
      </c>
      <c r="H10">
        <v>0.104</v>
      </c>
      <c r="I10">
        <v>5.4579999999999997E-2</v>
      </c>
      <c r="J10">
        <v>0.47519230769230769</v>
      </c>
      <c r="K10">
        <f>Table1[[#This Row],[oss]]*INDEX(Table3[k_OSS2ROP],MATCH(Table1[[#This Row],[site.plot]],Table3[site.plot],FALSE))</f>
        <v>0</v>
      </c>
      <c r="L10">
        <f>Table1[[#This Row],[srp]]*INDEX(Table5[k_SRP2LOP],MATCH(Table1[[#This Row],[site]],Table5[site],FALSE))</f>
        <v>3.5809528520101316E-2</v>
      </c>
      <c r="M10">
        <f>Table1[[#This Row],[iss]]*INDEX(Table5[k_ISS2PIP],MATCH(Table1[[#This Row],[site]],Table5[site],FALSE))</f>
        <v>4.306070173835528E-2</v>
      </c>
      <c r="N10">
        <f>Table1[[#This Row],[rop]]+Table1[[#This Row],[lop]]+Table1[[#This Row],[pip]]</f>
        <v>7.8870230258456603E-2</v>
      </c>
      <c r="O10">
        <f>(Table1[[#This Row],[nsrp_pred]]-Table1[[#This Row],[nsrp]])^2</f>
        <v>5.900152860088409E-4</v>
      </c>
    </row>
    <row r="11" spans="1:25">
      <c r="A11" t="s">
        <v>15</v>
      </c>
      <c r="B11" t="s">
        <v>16</v>
      </c>
      <c r="C11">
        <v>5.713333333333335E-3</v>
      </c>
      <c r="D11">
        <v>3</v>
      </c>
      <c r="E11">
        <v>3</v>
      </c>
      <c r="F11">
        <v>0</v>
      </c>
      <c r="G11">
        <v>2.0559999999999998E-2</v>
      </c>
      <c r="H11">
        <v>3.7700000000000004E-2</v>
      </c>
      <c r="I11">
        <v>1.7140000000000006E-2</v>
      </c>
      <c r="J11">
        <v>0.54535809018567627</v>
      </c>
      <c r="K11">
        <f>Table1[[#This Row],[oss]]*INDEX(Table3[k_OSS2ROP],MATCH(Table1[[#This Row],[site.plot]],Table3[site.plot],FALSE))</f>
        <v>0</v>
      </c>
      <c r="L11">
        <f>Table1[[#This Row],[srp]]*INDEX(Table5[k_SRP2LOP],MATCH(Table1[[#This Row],[site]],Table5[site],FALSE))</f>
        <v>1.4897691347091927E-2</v>
      </c>
      <c r="M11">
        <f>Table1[[#This Row],[iss]]*INDEX(Table5[k_ISS2PIP],MATCH(Table1[[#This Row],[site]],Table5[site],FALSE))</f>
        <v>6.4591052607532919E-3</v>
      </c>
      <c r="N11">
        <f>Table1[[#This Row],[rop]]+Table1[[#This Row],[lop]]+Table1[[#This Row],[pip]]</f>
        <v>2.1356796607845219E-2</v>
      </c>
      <c r="O11">
        <f>(Table1[[#This Row],[nsrp_pred]]-Table1[[#This Row],[nsrp]])^2</f>
        <v>1.7781373631934899E-5</v>
      </c>
    </row>
    <row r="12" spans="1:25">
      <c r="A12" t="s">
        <v>15</v>
      </c>
      <c r="B12" t="s">
        <v>16</v>
      </c>
      <c r="C12">
        <v>4.3584999999999995E-3</v>
      </c>
      <c r="D12">
        <v>10</v>
      </c>
      <c r="E12">
        <v>6.666666666666667</v>
      </c>
      <c r="F12">
        <v>3.333333333333333</v>
      </c>
      <c r="G12">
        <v>1.6514999999999998E-2</v>
      </c>
      <c r="H12">
        <v>6.0100000000000001E-2</v>
      </c>
      <c r="I12">
        <v>4.3584999999999999E-2</v>
      </c>
      <c r="J12">
        <v>0.27479201331114805</v>
      </c>
      <c r="K12">
        <f>Table1[[#This Row],[oss]]*INDEX(Table3[k_OSS2ROP],MATCH(Table1[[#This Row],[site.plot]],Table3[site.plot],FALSE))</f>
        <v>1.8466236456466806E-2</v>
      </c>
      <c r="L12">
        <f>Table1[[#This Row],[srp]]*INDEX(Table5[k_SRP2LOP],MATCH(Table1[[#This Row],[site]],Table5[site],FALSE))</f>
        <v>1.1966701001810466E-2</v>
      </c>
      <c r="M12">
        <f>Table1[[#This Row],[iss]]*INDEX(Table5[k_ISS2PIP],MATCH(Table1[[#This Row],[site]],Table5[site],FALSE))</f>
        <v>1.4353567246118427E-2</v>
      </c>
      <c r="N12">
        <f>Table1[[#This Row],[rop]]+Table1[[#This Row],[lop]]+Table1[[#This Row],[pip]]</f>
        <v>4.4786504704395699E-2</v>
      </c>
      <c r="O12">
        <f>(Table1[[#This Row],[nsrp_pred]]-Table1[[#This Row],[nsrp]])^2</f>
        <v>1.4436135546849999E-6</v>
      </c>
      <c r="S12" t="s">
        <v>1</v>
      </c>
      <c r="T12" t="s">
        <v>17</v>
      </c>
      <c r="U12" t="s">
        <v>19</v>
      </c>
      <c r="V12" t="s">
        <v>20</v>
      </c>
      <c r="W12" t="s">
        <v>14</v>
      </c>
    </row>
    <row r="13" spans="1:25">
      <c r="A13" t="s">
        <v>15</v>
      </c>
      <c r="B13" t="s">
        <v>16</v>
      </c>
      <c r="C13">
        <v>5.8340999999999992E-3</v>
      </c>
      <c r="D13">
        <v>13.333333333333334</v>
      </c>
      <c r="E13">
        <v>8.3333333333333339</v>
      </c>
      <c r="F13">
        <v>5</v>
      </c>
      <c r="G13">
        <v>1.4012E-2</v>
      </c>
      <c r="H13">
        <v>9.1799999999999993E-2</v>
      </c>
      <c r="I13">
        <v>7.7787999999999996E-2</v>
      </c>
      <c r="J13">
        <v>0.15263616557734205</v>
      </c>
      <c r="K13">
        <f>Table1[[#This Row],[oss]]*INDEX(Table3[k_OSS2ROP],MATCH(Table1[[#This Row],[site.plot]],Table3[site.plot],FALSE))</f>
        <v>2.7699354684700212E-2</v>
      </c>
      <c r="L13">
        <f>Table1[[#This Row],[srp]]*INDEX(Table5[k_SRP2LOP],MATCH(Table1[[#This Row],[site]],Table5[site],FALSE))</f>
        <v>1.01530375075609E-2</v>
      </c>
      <c r="M13">
        <f>Table1[[#This Row],[iss]]*INDEX(Table5[k_ISS2PIP],MATCH(Table1[[#This Row],[site]],Table5[site],FALSE))</f>
        <v>1.7941959057648036E-2</v>
      </c>
      <c r="N13">
        <f>Table1[[#This Row],[rop]]+Table1[[#This Row],[lop]]+Table1[[#This Row],[pip]]</f>
        <v>5.5794351249909141E-2</v>
      </c>
      <c r="O13">
        <f>(Table1[[#This Row],[nsrp_pred]]-Table1[[#This Row],[nsrp]])^2</f>
        <v>4.8372058534237303E-4</v>
      </c>
      <c r="S13" t="s">
        <v>16</v>
      </c>
      <c r="T13">
        <v>5.5398709369400426E-3</v>
      </c>
      <c r="U13">
        <v>0.70306778562903138</v>
      </c>
      <c r="V13">
        <v>1.9932417286596745E-3</v>
      </c>
      <c r="W13">
        <f>SUMIF(Table1[site.plot],Table3[[#This Row],[site.plot]],Table1[sqresid])</f>
        <v>1.2470056946557912E-2</v>
      </c>
    </row>
    <row r="14" spans="1:25">
      <c r="A14" t="s">
        <v>15</v>
      </c>
      <c r="B14" t="s">
        <v>16</v>
      </c>
      <c r="C14">
        <v>7.1549833333333333E-3</v>
      </c>
      <c r="D14">
        <v>4.6153846153846159</v>
      </c>
      <c r="E14">
        <v>3.5897435897435899</v>
      </c>
      <c r="F14">
        <v>1.025641025641026</v>
      </c>
      <c r="G14">
        <v>2.0677000000000001E-2</v>
      </c>
      <c r="H14">
        <v>5.3700000000000005E-2</v>
      </c>
      <c r="I14">
        <v>3.3023000000000004E-2</v>
      </c>
      <c r="J14">
        <v>0.38504655493482309</v>
      </c>
      <c r="K14">
        <f>Table1[[#This Row],[oss]]*INDEX(Table3[k_OSS2ROP],MATCH(Table1[[#This Row],[site.plot]],Table3[site.plot],FALSE))</f>
        <v>5.6819189096820972E-3</v>
      </c>
      <c r="L14">
        <f>Table1[[#This Row],[srp]]*INDEX(Table5[k_SRP2LOP],MATCH(Table1[[#This Row],[site]],Table5[site],FALSE))</f>
        <v>1.4982469065360887E-2</v>
      </c>
      <c r="M14">
        <f>Table1[[#This Row],[iss]]*INDEX(Table5[k_ISS2PIP],MATCH(Table1[[#This Row],[site]],Table5[site],FALSE))</f>
        <v>7.7288439017560761E-3</v>
      </c>
      <c r="N14">
        <f>Table1[[#This Row],[rop]]+Table1[[#This Row],[lop]]+Table1[[#This Row],[pip]]</f>
        <v>2.8393231876799058E-2</v>
      </c>
      <c r="O14">
        <f>(Table1[[#This Row],[nsrp_pred]]-Table1[[#This Row],[nsrp]])^2</f>
        <v>2.1434752874607606E-5</v>
      </c>
      <c r="S14" t="s">
        <v>21</v>
      </c>
      <c r="T14">
        <v>5.9122096118727442E-3</v>
      </c>
      <c r="U14">
        <v>0.72282630179956542</v>
      </c>
      <c r="V14">
        <v>2.3646169328979602E-3</v>
      </c>
      <c r="W14">
        <f>SUMIF(Table1[site.plot],Table3[[#This Row],[site.plot]],Table1[sqresid])</f>
        <v>7.2231168441210325E-3</v>
      </c>
    </row>
    <row r="15" spans="1:25">
      <c r="A15" t="s">
        <v>15</v>
      </c>
      <c r="B15" t="s">
        <v>16</v>
      </c>
      <c r="C15">
        <v>8.4908888888888881E-3</v>
      </c>
      <c r="D15">
        <v>4.5</v>
      </c>
      <c r="E15">
        <v>3.5</v>
      </c>
      <c r="F15">
        <v>1</v>
      </c>
      <c r="G15">
        <v>1.6291E-2</v>
      </c>
      <c r="H15">
        <v>5.45E-2</v>
      </c>
      <c r="I15">
        <v>3.8209E-2</v>
      </c>
      <c r="J15">
        <v>0.29891743119266057</v>
      </c>
      <c r="K15">
        <f>Table1[[#This Row],[oss]]*INDEX(Table3[k_OSS2ROP],MATCH(Table1[[#This Row],[site.plot]],Table3[site.plot],FALSE))</f>
        <v>5.5398709369400426E-3</v>
      </c>
      <c r="L15">
        <f>Table1[[#This Row],[srp]]*INDEX(Table5[k_SRP2LOP],MATCH(Table1[[#This Row],[site]],Table5[site],FALSE))</f>
        <v>1.180439152409896E-2</v>
      </c>
      <c r="M15">
        <f>Table1[[#This Row],[iss]]*INDEX(Table5[k_ISS2PIP],MATCH(Table1[[#This Row],[site]],Table5[site],FALSE))</f>
        <v>7.5356228042121739E-3</v>
      </c>
      <c r="N15">
        <f>Table1[[#This Row],[rop]]+Table1[[#This Row],[lop]]+Table1[[#This Row],[pip]]</f>
        <v>2.4879885265251176E-2</v>
      </c>
      <c r="O15">
        <f>(Table1[[#This Row],[nsrp_pred]]-Table1[[#This Row],[nsrp]])^2</f>
        <v>1.7766529961209821E-4</v>
      </c>
      <c r="S15" t="s">
        <v>22</v>
      </c>
      <c r="T15">
        <v>7.2778512064805188E-4</v>
      </c>
      <c r="U15">
        <v>5.8825843415643612E-2</v>
      </c>
      <c r="V15">
        <v>1.0729010235627431E-3</v>
      </c>
      <c r="W15">
        <f>SUMIF(Table1[site.plot],Table3[[#This Row],[site.plot]],Table1[sqresid])</f>
        <v>9.0680558967179952E-3</v>
      </c>
    </row>
    <row r="16" spans="1:25">
      <c r="A16" t="s">
        <v>15</v>
      </c>
      <c r="B16" t="s">
        <v>16</v>
      </c>
      <c r="C16">
        <v>9.2746875000000056E-4</v>
      </c>
      <c r="D16">
        <v>4.1025641025641031</v>
      </c>
      <c r="E16">
        <v>2.0512820512820515</v>
      </c>
      <c r="F16">
        <v>2.0512820512820515</v>
      </c>
      <c r="G16">
        <v>3.2594999999999999E-2</v>
      </c>
      <c r="H16">
        <v>3.6400000000000002E-2</v>
      </c>
      <c r="I16">
        <v>3.8050000000000028E-3</v>
      </c>
      <c r="J16">
        <v>0.89546703296703289</v>
      </c>
      <c r="K16">
        <f>Table1[[#This Row],[oss]]*INDEX(Table3[k_OSS2ROP],MATCH(Table1[[#This Row],[site.plot]],Table3[site.plot],FALSE))</f>
        <v>1.1363837819364191E-2</v>
      </c>
      <c r="L16">
        <f>Table1[[#This Row],[srp]]*INDEX(Table5[k_SRP2LOP],MATCH(Table1[[#This Row],[site]],Table5[site],FALSE))</f>
        <v>2.3618202794672246E-2</v>
      </c>
      <c r="M16">
        <f>Table1[[#This Row],[iss]]*INDEX(Table5[k_ISS2PIP],MATCH(Table1[[#This Row],[site]],Table5[site],FALSE))</f>
        <v>4.416482229574901E-3</v>
      </c>
      <c r="N16">
        <f>Table1[[#This Row],[rop]]+Table1[[#This Row],[lop]]+Table1[[#This Row],[pip]]</f>
        <v>3.9398522843611339E-2</v>
      </c>
      <c r="O16">
        <f>(Table1[[#This Row],[nsrp_pred]]-Table1[[#This Row],[nsrp]])^2</f>
        <v>1.266898868418682E-3</v>
      </c>
      <c r="S16" t="s">
        <v>23</v>
      </c>
      <c r="T16">
        <v>8.5858004948608565E-4</v>
      </c>
      <c r="U16">
        <v>0.90473514968395097</v>
      </c>
      <c r="V16">
        <v>1.5816682018219236E-3</v>
      </c>
      <c r="W16">
        <f>SUMIF(Table1[site.plot],Table3[[#This Row],[site.plot]],Table1[sqresid])</f>
        <v>7.1965220568051182E-3</v>
      </c>
    </row>
    <row r="17" spans="1:23">
      <c r="A17" t="s">
        <v>15</v>
      </c>
      <c r="B17" t="s">
        <v>16</v>
      </c>
      <c r="C17">
        <v>3.1394080000000006E-3</v>
      </c>
      <c r="D17">
        <v>10.869565217391305</v>
      </c>
      <c r="E17">
        <v>8.6956521739130448</v>
      </c>
      <c r="F17">
        <v>2.1739130434782599</v>
      </c>
      <c r="G17">
        <v>4.3776000000000002E-2</v>
      </c>
      <c r="H17">
        <v>7.7900000000000011E-2</v>
      </c>
      <c r="I17">
        <v>3.4124000000000008E-2</v>
      </c>
      <c r="J17">
        <v>0.56195121951219507</v>
      </c>
      <c r="K17">
        <f>Table1[[#This Row],[oss]]*INDEX(Table3[k_OSS2ROP],MATCH(Table1[[#This Row],[site.plot]],Table3[site.plot],FALSE))</f>
        <v>1.2043197689000086E-2</v>
      </c>
      <c r="L17">
        <f>Table1[[#This Row],[srp]]*INDEX(Table5[k_SRP2LOP],MATCH(Table1[[#This Row],[site]],Table5[site],FALSE))</f>
        <v>3.1719909358477447E-2</v>
      </c>
      <c r="M17">
        <f>Table1[[#This Row],[iss]]*INDEX(Table5[k_ISS2PIP],MATCH(Table1[[#This Row],[site]],Table5[site],FALSE))</f>
        <v>1.8722044234067516E-2</v>
      </c>
      <c r="N17">
        <f>Table1[[#This Row],[rop]]+Table1[[#This Row],[lop]]+Table1[[#This Row],[pip]]</f>
        <v>6.2485151281545047E-2</v>
      </c>
      <c r="O17">
        <f>(Table1[[#This Row],[nsrp_pred]]-Table1[[#This Row],[nsrp]])^2</f>
        <v>8.0435490201468372E-4</v>
      </c>
      <c r="S17" t="s">
        <v>24</v>
      </c>
      <c r="T17">
        <v>1.011429602683935E-3</v>
      </c>
      <c r="U17">
        <v>1.5304231652833185</v>
      </c>
      <c r="V17">
        <v>1.2769663279931904E-3</v>
      </c>
      <c r="W17">
        <f>SUMIF(Table1[site.plot],Table3[[#This Row],[site.plot]],Table1[sqresid])</f>
        <v>8.7351826855323472E-3</v>
      </c>
    </row>
    <row r="18" spans="1:23">
      <c r="A18" t="s">
        <v>15</v>
      </c>
      <c r="B18" t="s">
        <v>16</v>
      </c>
      <c r="C18">
        <v>5.5486800000000011E-3</v>
      </c>
      <c r="D18">
        <v>5.5555555555555554</v>
      </c>
      <c r="E18">
        <v>4.4444444444444446</v>
      </c>
      <c r="F18">
        <v>1.1111111111111107</v>
      </c>
      <c r="G18">
        <v>4.8874000000000001E-2</v>
      </c>
      <c r="H18">
        <v>7.9700000000000007E-2</v>
      </c>
      <c r="I18">
        <v>3.0826000000000006E-2</v>
      </c>
      <c r="J18">
        <v>0.61322459222082804</v>
      </c>
      <c r="K18">
        <f>Table1[[#This Row],[oss]]*INDEX(Table3[k_OSS2ROP],MATCH(Table1[[#This Row],[site.plot]],Table3[site.plot],FALSE))</f>
        <v>6.1554121521556005E-3</v>
      </c>
      <c r="L18">
        <f>Table1[[#This Row],[srp]]*INDEX(Table5[k_SRP2LOP],MATCH(Table1[[#This Row],[site]],Table5[site],FALSE))</f>
        <v>3.5413899168179518E-2</v>
      </c>
      <c r="M18">
        <f>Table1[[#This Row],[iss]]*INDEX(Table5[k_ISS2PIP],MATCH(Table1[[#This Row],[site]],Table5[site],FALSE))</f>
        <v>9.5690448307456186E-3</v>
      </c>
      <c r="N18">
        <f>Table1[[#This Row],[rop]]+Table1[[#This Row],[lop]]+Table1[[#This Row],[pip]]</f>
        <v>5.1138356151080734E-2</v>
      </c>
      <c r="O18">
        <f>(Table1[[#This Row],[nsrp_pred]]-Table1[[#This Row],[nsrp]])^2</f>
        <v>4.125918124083471E-4</v>
      </c>
      <c r="S18" t="s">
        <v>25</v>
      </c>
      <c r="T18">
        <v>6.1970506724009946E-4</v>
      </c>
      <c r="U18">
        <v>8.8365487330849452E-4</v>
      </c>
      <c r="V18">
        <v>1.9370968098241187E-3</v>
      </c>
      <c r="W18">
        <f>SUMIF(Table1[site.plot],Table3[[#This Row],[site.plot]],Table1[sqresid])</f>
        <v>4.0966439821453924E-3</v>
      </c>
    </row>
    <row r="19" spans="1:23">
      <c r="A19" t="s">
        <v>15</v>
      </c>
      <c r="B19" t="s">
        <v>16</v>
      </c>
      <c r="C19">
        <v>1.6065899999999998E-2</v>
      </c>
      <c r="D19">
        <v>1.1111111111111112</v>
      </c>
      <c r="E19">
        <v>1.1111111111111112</v>
      </c>
      <c r="F19">
        <v>0</v>
      </c>
      <c r="G19">
        <v>3.2349000000000003E-2</v>
      </c>
      <c r="H19">
        <v>5.0200000000000002E-2</v>
      </c>
      <c r="I19">
        <v>1.7850999999999999E-2</v>
      </c>
      <c r="J19">
        <v>0.6444023904382471</v>
      </c>
      <c r="K19">
        <f>Table1[[#This Row],[oss]]*INDEX(Table3[k_OSS2ROP],MATCH(Table1[[#This Row],[site.plot]],Table3[site.plot],FALSE))</f>
        <v>0</v>
      </c>
      <c r="L19">
        <f>Table1[[#This Row],[srp]]*INDEX(Table5[k_SRP2LOP],MATCH(Table1[[#This Row],[site]],Table5[site],FALSE))</f>
        <v>2.3439952207542646E-2</v>
      </c>
      <c r="M19">
        <f>Table1[[#This Row],[iss]]*INDEX(Table5[k_ISS2PIP],MATCH(Table1[[#This Row],[site]],Table5[site],FALSE))</f>
        <v>2.3922612076864047E-3</v>
      </c>
      <c r="N19">
        <f>Table1[[#This Row],[rop]]+Table1[[#This Row],[lop]]+Table1[[#This Row],[pip]]</f>
        <v>2.5832213415229052E-2</v>
      </c>
      <c r="O19">
        <f>(Table1[[#This Row],[nsrp_pred]]-Table1[[#This Row],[nsrp]])^2</f>
        <v>6.3699767579432213E-5</v>
      </c>
    </row>
    <row r="20" spans="1:23">
      <c r="A20" t="s">
        <v>15</v>
      </c>
      <c r="B20" t="s">
        <v>16</v>
      </c>
      <c r="C20">
        <v>7.2359259259259182E-3</v>
      </c>
      <c r="D20">
        <v>5.4000000000000057</v>
      </c>
      <c r="E20">
        <v>1</v>
      </c>
      <c r="F20">
        <v>4.4000000000000057</v>
      </c>
      <c r="G20">
        <v>4.0826000000000001E-2</v>
      </c>
      <c r="H20">
        <v>7.9899999999999999E-2</v>
      </c>
      <c r="I20">
        <v>3.9073999999999998E-2</v>
      </c>
      <c r="J20">
        <v>0.51096370463078855</v>
      </c>
      <c r="K20">
        <f>Table1[[#This Row],[oss]]*INDEX(Table3[k_OSS2ROP],MATCH(Table1[[#This Row],[site.plot]],Table3[site.plot],FALSE))</f>
        <v>2.437543212253622E-2</v>
      </c>
      <c r="L20">
        <f>Table1[[#This Row],[srp]]*INDEX(Table5[k_SRP2LOP],MATCH(Table1[[#This Row],[site]],Table5[site],FALSE))</f>
        <v>2.9582351504687503E-2</v>
      </c>
      <c r="M20">
        <f>Table1[[#This Row],[iss]]*INDEX(Table5[k_ISS2PIP],MATCH(Table1[[#This Row],[site]],Table5[site],FALSE))</f>
        <v>2.153035086917764E-3</v>
      </c>
      <c r="N20">
        <f>Table1[[#This Row],[rop]]+Table1[[#This Row],[lop]]+Table1[[#This Row],[pip]]</f>
        <v>5.6110818714141489E-2</v>
      </c>
      <c r="O20">
        <f>(Table1[[#This Row],[nsrp_pred]]-Table1[[#This Row],[nsrp]])^2</f>
        <v>2.9025319189852173E-4</v>
      </c>
    </row>
    <row r="21" spans="1:23">
      <c r="A21" t="s">
        <v>15</v>
      </c>
      <c r="B21" t="s">
        <v>16</v>
      </c>
      <c r="C21">
        <v>1.5758004347826107E-2</v>
      </c>
      <c r="D21">
        <v>2.2999999999999972</v>
      </c>
      <c r="E21">
        <v>0</v>
      </c>
      <c r="F21">
        <v>2.2999999999999972</v>
      </c>
      <c r="G21">
        <v>4.7565899999999998E-3</v>
      </c>
      <c r="H21">
        <v>4.1000000000000002E-2</v>
      </c>
      <c r="I21">
        <v>3.6243410000000004E-2</v>
      </c>
      <c r="J21">
        <v>0.11601439024390243</v>
      </c>
      <c r="K21">
        <f>Table1[[#This Row],[oss]]*INDEX(Table3[k_OSS2ROP],MATCH(Table1[[#This Row],[site.plot]],Table3[site.plot],FALSE))</f>
        <v>1.2741703154962081E-2</v>
      </c>
      <c r="L21">
        <f>Table1[[#This Row],[srp]]*INDEX(Table5[k_SRP2LOP],MATCH(Table1[[#This Row],[site]],Table5[site],FALSE))</f>
        <v>3.4466055294097271E-3</v>
      </c>
      <c r="M21">
        <f>Table1[[#This Row],[iss]]*INDEX(Table5[k_ISS2PIP],MATCH(Table1[[#This Row],[site]],Table5[site],FALSE))</f>
        <v>0</v>
      </c>
      <c r="N21">
        <f>Table1[[#This Row],[rop]]+Table1[[#This Row],[lop]]+Table1[[#This Row],[pip]]</f>
        <v>1.6188308684371808E-2</v>
      </c>
      <c r="O21">
        <f>(Table1[[#This Row],[nsrp_pred]]-Table1[[#This Row],[nsrp]])^2</f>
        <v>4.0220708878011181E-4</v>
      </c>
      <c r="S21" t="s">
        <v>0</v>
      </c>
      <c r="T21" s="1" t="s">
        <v>17</v>
      </c>
      <c r="U21" s="1" t="s">
        <v>19</v>
      </c>
      <c r="V21" s="1" t="s">
        <v>20</v>
      </c>
      <c r="W21" s="2" t="s">
        <v>14</v>
      </c>
    </row>
    <row r="22" spans="1:23">
      <c r="A22" t="s">
        <v>15</v>
      </c>
      <c r="B22" t="s">
        <v>16</v>
      </c>
      <c r="C22">
        <v>2.5928571428571322E-2</v>
      </c>
      <c r="D22">
        <v>0.70000000000000284</v>
      </c>
      <c r="E22">
        <v>0</v>
      </c>
      <c r="F22">
        <v>0.70000000000000284</v>
      </c>
      <c r="G22">
        <v>1.1950000000000001E-2</v>
      </c>
      <c r="H22">
        <v>3.0100000000000002E-2</v>
      </c>
      <c r="I22">
        <v>1.8149999999999999E-2</v>
      </c>
      <c r="J22">
        <v>0.39700996677740863</v>
      </c>
      <c r="K22">
        <f>Table1[[#This Row],[oss]]*INDEX(Table3[k_OSS2ROP],MATCH(Table1[[#This Row],[site.plot]],Table3[site.plot],FALSE))</f>
        <v>3.8779096558580455E-3</v>
      </c>
      <c r="L22">
        <f>Table1[[#This Row],[srp]]*INDEX(Table5[k_SRP2LOP],MATCH(Table1[[#This Row],[site]],Table5[site],FALSE))</f>
        <v>8.6589207975558639E-3</v>
      </c>
      <c r="M22">
        <f>Table1[[#This Row],[iss]]*INDEX(Table5[k_ISS2PIP],MATCH(Table1[[#This Row],[site]],Table5[site],FALSE))</f>
        <v>0</v>
      </c>
      <c r="N22">
        <f>Table1[[#This Row],[rop]]+Table1[[#This Row],[lop]]+Table1[[#This Row],[pip]]</f>
        <v>1.2536830453413909E-2</v>
      </c>
      <c r="O22">
        <f>(Table1[[#This Row],[nsrp_pred]]-Table1[[#This Row],[nsrp]])^2</f>
        <v>3.1507672358721489E-5</v>
      </c>
      <c r="S22" t="s">
        <v>15</v>
      </c>
      <c r="T22">
        <v>5.6508645470225551E-3</v>
      </c>
      <c r="U22">
        <v>0.724595882640658</v>
      </c>
      <c r="V22">
        <v>2.153035086917764E-3</v>
      </c>
      <c r="W22">
        <f>SUMIF(Table1[site],Table5[[#This Row],[site]],Table1[sqresid])</f>
        <v>1.9693173790678944E-2</v>
      </c>
    </row>
    <row r="23" spans="1:23">
      <c r="A23" t="s">
        <v>15</v>
      </c>
      <c r="B23" t="s">
        <v>16</v>
      </c>
      <c r="C23">
        <v>1.4208946428571442E-2</v>
      </c>
      <c r="D23">
        <v>2.9473684210526288</v>
      </c>
      <c r="E23">
        <v>1.0526315789473686</v>
      </c>
      <c r="F23">
        <v>1.8947368421052602</v>
      </c>
      <c r="G23">
        <v>8.1209999999999997E-3</v>
      </c>
      <c r="H23">
        <v>0.05</v>
      </c>
      <c r="I23">
        <v>4.1879E-2</v>
      </c>
      <c r="J23">
        <v>0.16241999999999998</v>
      </c>
      <c r="K23">
        <f>Table1[[#This Row],[oss]]*INDEX(Table3[k_OSS2ROP],MATCH(Table1[[#This Row],[site.plot]],Table3[site.plot],FALSE))</f>
        <v>1.0496597564728484E-2</v>
      </c>
      <c r="L23">
        <f>Table1[[#This Row],[srp]]*INDEX(Table5[k_SRP2LOP],MATCH(Table1[[#This Row],[site]],Table5[site],FALSE))</f>
        <v>5.8844431629247835E-3</v>
      </c>
      <c r="M23">
        <f>Table1[[#This Row],[iss]]*INDEX(Table5[k_ISS2PIP],MATCH(Table1[[#This Row],[site]],Table5[site],FALSE))</f>
        <v>2.2663527230713308E-3</v>
      </c>
      <c r="N23">
        <f>Table1[[#This Row],[rop]]+Table1[[#This Row],[lop]]+Table1[[#This Row],[pip]]</f>
        <v>1.8647393450724598E-2</v>
      </c>
      <c r="O23">
        <f>(Table1[[#This Row],[nsrp_pred]]-Table1[[#This Row],[nsrp]])^2</f>
        <v>5.3970754286033573E-4</v>
      </c>
      <c r="S23" t="s">
        <v>26</v>
      </c>
      <c r="T23">
        <v>7.5206879170659627E-4</v>
      </c>
      <c r="U23">
        <v>0.8272643024056382</v>
      </c>
      <c r="V23">
        <v>8.9698633702107707E-4</v>
      </c>
      <c r="W23" t="e">
        <f>SUMIF(Table1[site],Table5[[#This Row],[site]],Table1[sqresid])</f>
        <v>#N/A</v>
      </c>
    </row>
    <row r="24" spans="1:23">
      <c r="A24" t="s">
        <v>15</v>
      </c>
      <c r="B24" t="s">
        <v>16</v>
      </c>
      <c r="C24">
        <v>9.9186749999999966E-3</v>
      </c>
      <c r="D24">
        <v>2.0512820512820515</v>
      </c>
      <c r="E24">
        <v>0</v>
      </c>
      <c r="F24">
        <v>2.0512820512820515</v>
      </c>
      <c r="G24">
        <v>2.0954E-2</v>
      </c>
      <c r="H24">
        <v>4.1299999999999996E-2</v>
      </c>
      <c r="I24">
        <v>2.0345999999999996E-2</v>
      </c>
      <c r="J24">
        <v>0.50736077481840203</v>
      </c>
      <c r="K24">
        <f>Table1[[#This Row],[oss]]*INDEX(Table3[k_OSS2ROP],MATCH(Table1[[#This Row],[site.plot]],Table3[site.plot],FALSE))</f>
        <v>1.1363837819364191E-2</v>
      </c>
      <c r="L24">
        <f>Table1[[#This Row],[srp]]*INDEX(Table5[k_SRP2LOP],MATCH(Table1[[#This Row],[site]],Table5[site],FALSE))</f>
        <v>1.5183182124852347E-2</v>
      </c>
      <c r="M24">
        <f>Table1[[#This Row],[iss]]*INDEX(Table5[k_ISS2PIP],MATCH(Table1[[#This Row],[site]],Table5[site],FALSE))</f>
        <v>0</v>
      </c>
      <c r="N24">
        <f>Table1[[#This Row],[rop]]+Table1[[#This Row],[lop]]+Table1[[#This Row],[pip]]</f>
        <v>2.6547019944216536E-2</v>
      </c>
      <c r="O24">
        <f>(Table1[[#This Row],[nsrp_pred]]-Table1[[#This Row],[nsrp]])^2</f>
        <v>3.8452648348571307E-5</v>
      </c>
      <c r="S24" t="s">
        <v>28</v>
      </c>
      <c r="T24">
        <v>6.8395904840853124E-4</v>
      </c>
      <c r="U24">
        <v>1.4834240305181075</v>
      </c>
      <c r="V24">
        <v>1.0653987709923693E-3</v>
      </c>
      <c r="W24">
        <f>SUMIF(Table1[site],Table5[[#This Row],[site]],Table1[sqresid])</f>
        <v>1.2831826667677739E-2</v>
      </c>
    </row>
    <row r="25" spans="1:23">
      <c r="A25" t="s">
        <v>15</v>
      </c>
      <c r="B25" t="s">
        <v>16</v>
      </c>
      <c r="C25">
        <v>1.2291999999999999E-2</v>
      </c>
      <c r="D25">
        <v>1</v>
      </c>
      <c r="E25">
        <v>0</v>
      </c>
      <c r="F25">
        <v>1</v>
      </c>
      <c r="G25">
        <v>1.5408E-2</v>
      </c>
      <c r="H25">
        <v>2.7699999999999999E-2</v>
      </c>
      <c r="I25">
        <v>1.2291999999999999E-2</v>
      </c>
      <c r="J25">
        <v>0.55624548736462098</v>
      </c>
      <c r="K25">
        <f>Table1[[#This Row],[oss]]*INDEX(Table3[k_OSS2ROP],MATCH(Table1[[#This Row],[site.plot]],Table3[site.plot],FALSE))</f>
        <v>5.5398709369400426E-3</v>
      </c>
      <c r="L25">
        <f>Table1[[#This Row],[srp]]*INDEX(Table5[k_SRP2LOP],MATCH(Table1[[#This Row],[site]],Table5[site],FALSE))</f>
        <v>1.1164573359727259E-2</v>
      </c>
      <c r="M25">
        <f>Table1[[#This Row],[iss]]*INDEX(Table5[k_ISS2PIP],MATCH(Table1[[#This Row],[site]],Table5[site],FALSE))</f>
        <v>0</v>
      </c>
      <c r="N25">
        <f>Table1[[#This Row],[rop]]+Table1[[#This Row],[lop]]+Table1[[#This Row],[pip]]</f>
        <v>1.6704444296667301E-2</v>
      </c>
      <c r="O25">
        <f>(Table1[[#This Row],[nsrp_pred]]-Table1[[#This Row],[nsrp]])^2</f>
        <v>1.9469664671191797E-5</v>
      </c>
    </row>
    <row r="26" spans="1:23">
      <c r="A26" t="s">
        <v>15</v>
      </c>
      <c r="B26" t="s">
        <v>16</v>
      </c>
      <c r="C26">
        <v>7.9698000000000008E-3</v>
      </c>
      <c r="D26">
        <v>3.333333333333333</v>
      </c>
      <c r="E26">
        <v>1.1111111111111107</v>
      </c>
      <c r="F26">
        <v>2.2222222222222223</v>
      </c>
      <c r="G26">
        <v>1.6233999999999998E-2</v>
      </c>
      <c r="H26">
        <v>4.2799999999999998E-2</v>
      </c>
      <c r="I26">
        <v>2.6565999999999999E-2</v>
      </c>
      <c r="J26">
        <v>0.37929906542056074</v>
      </c>
      <c r="K26">
        <f>Table1[[#This Row],[oss]]*INDEX(Table3[k_OSS2ROP],MATCH(Table1[[#This Row],[site.plot]],Table3[site.plot],FALSE))</f>
        <v>1.2310824304311206E-2</v>
      </c>
      <c r="L26">
        <f>Table1[[#This Row],[srp]]*INDEX(Table5[k_SRP2LOP],MATCH(Table1[[#This Row],[site]],Table5[site],FALSE))</f>
        <v>1.176308955878844E-2</v>
      </c>
      <c r="M26">
        <f>Table1[[#This Row],[iss]]*INDEX(Table5[k_ISS2PIP],MATCH(Table1[[#This Row],[site]],Table5[site],FALSE))</f>
        <v>2.3922612076864034E-3</v>
      </c>
      <c r="N26">
        <f>Table1[[#This Row],[rop]]+Table1[[#This Row],[lop]]+Table1[[#This Row],[pip]]</f>
        <v>2.6466175070786049E-2</v>
      </c>
      <c r="O26">
        <f>(Table1[[#This Row],[nsrp_pred]]-Table1[[#This Row],[nsrp]])^2</f>
        <v>9.9650164925702626E-9</v>
      </c>
    </row>
    <row r="27" spans="1:23">
      <c r="A27" t="s">
        <v>15</v>
      </c>
      <c r="B27" t="s">
        <v>16</v>
      </c>
      <c r="C27">
        <v>6.5342900000000008E-3</v>
      </c>
      <c r="D27">
        <v>5.2631578947368425</v>
      </c>
      <c r="E27">
        <v>0</v>
      </c>
      <c r="F27">
        <v>5.2631578947368425</v>
      </c>
      <c r="G27">
        <v>2.1708999999999999E-2</v>
      </c>
      <c r="H27">
        <v>5.6100000000000004E-2</v>
      </c>
      <c r="I27">
        <v>3.4391000000000005E-2</v>
      </c>
      <c r="J27">
        <v>0.38696969696969691</v>
      </c>
      <c r="K27">
        <f>Table1[[#This Row],[oss]]*INDEX(Table3[k_OSS2ROP],MATCH(Table1[[#This Row],[site.plot]],Table3[site.plot],FALSE))</f>
        <v>2.9157215457579173E-2</v>
      </c>
      <c r="L27">
        <f>Table1[[#This Row],[srp]]*INDEX(Table5[k_SRP2LOP],MATCH(Table1[[#This Row],[site]],Table5[site],FALSE))</f>
        <v>1.5730252016246043E-2</v>
      </c>
      <c r="M27">
        <f>Table1[[#This Row],[iss]]*INDEX(Table5[k_ISS2PIP],MATCH(Table1[[#This Row],[site]],Table5[site],FALSE))</f>
        <v>0</v>
      </c>
      <c r="N27">
        <f>Table1[[#This Row],[rop]]+Table1[[#This Row],[lop]]+Table1[[#This Row],[pip]]</f>
        <v>4.4887467473825216E-2</v>
      </c>
      <c r="O27">
        <f>(Table1[[#This Row],[nsrp_pred]]-Table1[[#This Row],[nsrp]])^2</f>
        <v>1.101758294290706E-4</v>
      </c>
    </row>
    <row r="28" spans="1:23">
      <c r="A28" t="s">
        <v>15</v>
      </c>
      <c r="B28" t="s">
        <v>16</v>
      </c>
      <c r="C28">
        <v>5.5049785714285709E-3</v>
      </c>
      <c r="D28">
        <v>7.3684210526315796</v>
      </c>
      <c r="E28">
        <v>2.1052631578947372</v>
      </c>
      <c r="F28">
        <v>5.2631578947368425</v>
      </c>
      <c r="G28">
        <v>1.8436999999999999E-2</v>
      </c>
      <c r="H28">
        <v>5.8999999999999997E-2</v>
      </c>
      <c r="I28">
        <v>4.0563000000000002E-2</v>
      </c>
      <c r="J28">
        <v>0.31249152542372882</v>
      </c>
      <c r="K28">
        <f>Table1[[#This Row],[oss]]*INDEX(Table3[k_OSS2ROP],MATCH(Table1[[#This Row],[site.plot]],Table3[site.plot],FALSE))</f>
        <v>2.9157215457579173E-2</v>
      </c>
      <c r="L28">
        <f>Table1[[#This Row],[srp]]*INDEX(Table5[k_SRP2LOP],MATCH(Table1[[#This Row],[site]],Table5[site],FALSE))</f>
        <v>1.3359374288245811E-2</v>
      </c>
      <c r="M28">
        <f>Table1[[#This Row],[iss]]*INDEX(Table5[k_ISS2PIP],MATCH(Table1[[#This Row],[site]],Table5[site],FALSE))</f>
        <v>4.5327054461426616E-3</v>
      </c>
      <c r="N28">
        <f>Table1[[#This Row],[rop]]+Table1[[#This Row],[lop]]+Table1[[#This Row],[pip]]</f>
        <v>4.7049295191967648E-2</v>
      </c>
      <c r="O28">
        <f>(Table1[[#This Row],[nsrp_pred]]-Table1[[#This Row],[nsrp]])^2</f>
        <v>4.2072025317342603E-5</v>
      </c>
    </row>
    <row r="29" spans="1:23">
      <c r="A29" t="s">
        <v>15</v>
      </c>
      <c r="B29" t="s">
        <v>16</v>
      </c>
      <c r="C29">
        <v>5.7770857142857143E-3</v>
      </c>
      <c r="D29">
        <v>7.3684210526315796</v>
      </c>
      <c r="E29">
        <v>2.1052631578947372</v>
      </c>
      <c r="F29">
        <v>5.2631578947368425</v>
      </c>
      <c r="G29">
        <v>1.7132000000000001E-2</v>
      </c>
      <c r="H29">
        <v>5.9700000000000003E-2</v>
      </c>
      <c r="I29">
        <v>4.2568000000000002E-2</v>
      </c>
      <c r="J29">
        <v>0.28696817420435511</v>
      </c>
      <c r="K29">
        <f>Table1[[#This Row],[oss]]*INDEX(Table3[k_OSS2ROP],MATCH(Table1[[#This Row],[site.plot]],Table3[site.plot],FALSE))</f>
        <v>2.9157215457579173E-2</v>
      </c>
      <c r="L29">
        <f>Table1[[#This Row],[srp]]*INDEX(Table5[k_SRP2LOP],MATCH(Table1[[#This Row],[site]],Table5[site],FALSE))</f>
        <v>1.2413776661399754E-2</v>
      </c>
      <c r="M29">
        <f>Table1[[#This Row],[iss]]*INDEX(Table5[k_ISS2PIP],MATCH(Table1[[#This Row],[site]],Table5[site],FALSE))</f>
        <v>4.5327054461426616E-3</v>
      </c>
      <c r="N29">
        <f>Table1[[#This Row],[rop]]+Table1[[#This Row],[lop]]+Table1[[#This Row],[pip]]</f>
        <v>4.6103697565121587E-2</v>
      </c>
      <c r="O29">
        <f>(Table1[[#This Row],[nsrp_pred]]-Table1[[#This Row],[nsrp]])^2</f>
        <v>1.250115727200671E-5</v>
      </c>
    </row>
    <row r="30" spans="1:23">
      <c r="A30" t="s">
        <v>15</v>
      </c>
      <c r="B30" t="s">
        <v>16</v>
      </c>
      <c r="C30">
        <v>6.9695799999999995E-3</v>
      </c>
      <c r="D30">
        <v>5.2631578947368425</v>
      </c>
      <c r="E30">
        <v>1.052631578947369</v>
      </c>
      <c r="F30">
        <v>4.2105263157894735</v>
      </c>
      <c r="G30">
        <v>1.6618000000000001E-2</v>
      </c>
      <c r="H30">
        <v>5.33E-2</v>
      </c>
      <c r="I30">
        <v>3.6681999999999999E-2</v>
      </c>
      <c r="J30">
        <v>0.31178236397748593</v>
      </c>
      <c r="K30">
        <f>Table1[[#This Row],[oss]]*INDEX(Table3[k_OSS2ROP],MATCH(Table1[[#This Row],[site.plot]],Table3[site.plot],FALSE))</f>
        <v>2.3325772366063337E-2</v>
      </c>
      <c r="L30">
        <f>Table1[[#This Row],[srp]]*INDEX(Table5[k_SRP2LOP],MATCH(Table1[[#This Row],[site]],Table5[site],FALSE))</f>
        <v>1.2041334377722455E-2</v>
      </c>
      <c r="M30">
        <f>Table1[[#This Row],[iss]]*INDEX(Table5[k_ISS2PIP],MATCH(Table1[[#This Row],[site]],Table5[site],FALSE))</f>
        <v>2.2663527230713317E-3</v>
      </c>
      <c r="N30">
        <f>Table1[[#This Row],[rop]]+Table1[[#This Row],[lop]]+Table1[[#This Row],[pip]]</f>
        <v>3.7633459466857123E-2</v>
      </c>
      <c r="O30">
        <f>(Table1[[#This Row],[nsrp_pred]]-Table1[[#This Row],[nsrp]])^2</f>
        <v>9.0527511707204289E-7</v>
      </c>
    </row>
    <row r="31" spans="1:23">
      <c r="A31" t="s">
        <v>15</v>
      </c>
      <c r="B31" t="s">
        <v>16</v>
      </c>
      <c r="C31">
        <v>1.6510900000000002E-2</v>
      </c>
      <c r="D31">
        <v>1.4285714285714286</v>
      </c>
      <c r="E31">
        <v>1.4285714285714286</v>
      </c>
      <c r="F31">
        <v>0</v>
      </c>
      <c r="G31">
        <v>1.5013E-2</v>
      </c>
      <c r="H31">
        <v>3.8600000000000002E-2</v>
      </c>
      <c r="I31">
        <v>2.3587000000000004E-2</v>
      </c>
      <c r="J31">
        <v>0.38893782383419689</v>
      </c>
      <c r="K31">
        <f>Table1[[#This Row],[oss]]*INDEX(Table3[k_OSS2ROP],MATCH(Table1[[#This Row],[site.plot]],Table3[site.plot],FALSE))</f>
        <v>0</v>
      </c>
      <c r="L31">
        <f>Table1[[#This Row],[srp]]*INDEX(Table5[k_SRP2LOP],MATCH(Table1[[#This Row],[site]],Table5[site],FALSE))</f>
        <v>1.0878357986084199E-2</v>
      </c>
      <c r="M31">
        <f>Table1[[#This Row],[iss]]*INDEX(Table5[k_ISS2PIP],MATCH(Table1[[#This Row],[site]],Table5[site],FALSE))</f>
        <v>3.0757644098825202E-3</v>
      </c>
      <c r="N31">
        <f>Table1[[#This Row],[rop]]+Table1[[#This Row],[lop]]+Table1[[#This Row],[pip]]</f>
        <v>1.3954122395966719E-2</v>
      </c>
      <c r="O31">
        <f>(Table1[[#This Row],[nsrp_pred]]-Table1[[#This Row],[nsrp]])^2</f>
        <v>9.2792330934286039E-5</v>
      </c>
    </row>
    <row r="32" spans="1:23">
      <c r="A32" t="s">
        <v>15</v>
      </c>
      <c r="B32" t="s">
        <v>21</v>
      </c>
      <c r="C32">
        <v>2.4771111111109859E-2</v>
      </c>
      <c r="D32">
        <v>4.5000000000002274</v>
      </c>
      <c r="E32">
        <v>1.5000000000002274</v>
      </c>
      <c r="F32">
        <v>3</v>
      </c>
      <c r="G32">
        <v>8.2530000000000006E-2</v>
      </c>
      <c r="H32">
        <v>0.19400000000000001</v>
      </c>
      <c r="I32">
        <v>0.11147</v>
      </c>
      <c r="J32">
        <v>0.42541237113402064</v>
      </c>
      <c r="K32">
        <f>Table1[[#This Row],[oss]]*INDEX(Table3[k_OSS2ROP],MATCH(Table1[[#This Row],[site.plot]],Table3[site.plot],FALSE))</f>
        <v>1.7736628835618232E-2</v>
      </c>
      <c r="L32">
        <f>Table1[[#This Row],[srp]]*INDEX(Table5[k_SRP2LOP],MATCH(Table1[[#This Row],[site]],Table5[site],FALSE))</f>
        <v>5.9800898194333506E-2</v>
      </c>
      <c r="M32">
        <f>Table1[[#This Row],[iss]]*INDEX(Table5[k_ISS2PIP],MATCH(Table1[[#This Row],[site]],Table5[site],FALSE))</f>
        <v>3.2295526303771356E-3</v>
      </c>
      <c r="N32">
        <f>Table1[[#This Row],[rop]]+Table1[[#This Row],[lop]]+Table1[[#This Row],[pip]]</f>
        <v>8.0767079660328867E-2</v>
      </c>
      <c r="O32">
        <f>(Table1[[#This Row],[nsrp_pred]]-Table1[[#This Row],[nsrp]])^2</f>
        <v>9.4266931738419134E-4</v>
      </c>
    </row>
    <row r="33" spans="1:15">
      <c r="A33" t="s">
        <v>15</v>
      </c>
      <c r="B33" t="s">
        <v>21</v>
      </c>
      <c r="C33">
        <v>1.8070000000001366E-2</v>
      </c>
      <c r="D33">
        <v>2.9999999999997726</v>
      </c>
      <c r="E33">
        <v>0.5</v>
      </c>
      <c r="F33">
        <v>2.4999999999997726</v>
      </c>
      <c r="G33">
        <v>2.7089999999999999E-2</v>
      </c>
      <c r="H33">
        <v>8.1299999999999997E-2</v>
      </c>
      <c r="I33">
        <v>5.4209999999999994E-2</v>
      </c>
      <c r="J33">
        <v>0.33321033210332102</v>
      </c>
      <c r="K33">
        <f>Table1[[#This Row],[oss]]*INDEX(Table3[k_OSS2ROP],MATCH(Table1[[#This Row],[site.plot]],Table3[site.plot],FALSE))</f>
        <v>1.4780524029680516E-2</v>
      </c>
      <c r="L33">
        <f>Table1[[#This Row],[srp]]*INDEX(Table5[k_SRP2LOP],MATCH(Table1[[#This Row],[site]],Table5[site],FALSE))</f>
        <v>1.9629302460735423E-2</v>
      </c>
      <c r="M33">
        <f>Table1[[#This Row],[iss]]*INDEX(Table5[k_ISS2PIP],MATCH(Table1[[#This Row],[site]],Table5[site],FALSE))</f>
        <v>1.076517543458882E-3</v>
      </c>
      <c r="N33">
        <f>Table1[[#This Row],[rop]]+Table1[[#This Row],[lop]]+Table1[[#This Row],[pip]]</f>
        <v>3.5486344033874823E-2</v>
      </c>
      <c r="O33">
        <f>(Table1[[#This Row],[nsrp_pred]]-Table1[[#This Row],[nsrp]])^2</f>
        <v>3.5057529273781473E-4</v>
      </c>
    </row>
    <row r="34" spans="1:15">
      <c r="A34" t="s">
        <v>15</v>
      </c>
      <c r="B34" t="s">
        <v>21</v>
      </c>
      <c r="C34">
        <v>8.7015000000000009E-3</v>
      </c>
      <c r="D34">
        <v>5</v>
      </c>
      <c r="E34">
        <v>5</v>
      </c>
      <c r="F34">
        <v>0</v>
      </c>
      <c r="G34">
        <v>3.218E-2</v>
      </c>
      <c r="H34">
        <v>7.5687500000000005E-2</v>
      </c>
      <c r="I34">
        <v>4.3507500000000005E-2</v>
      </c>
      <c r="J34">
        <v>0.42516928158546652</v>
      </c>
      <c r="K34">
        <f>Table1[[#This Row],[oss]]*INDEX(Table3[k_OSS2ROP],MATCH(Table1[[#This Row],[site.plot]],Table3[site.plot],FALSE))</f>
        <v>0</v>
      </c>
      <c r="L34">
        <f>Table1[[#This Row],[srp]]*INDEX(Table5[k_SRP2LOP],MATCH(Table1[[#This Row],[site]],Table5[site],FALSE))</f>
        <v>2.3317495503376376E-2</v>
      </c>
      <c r="M34">
        <f>Table1[[#This Row],[iss]]*INDEX(Table5[k_ISS2PIP],MATCH(Table1[[#This Row],[site]],Table5[site],FALSE))</f>
        <v>1.076517543458882E-2</v>
      </c>
      <c r="N34">
        <f>Table1[[#This Row],[rop]]+Table1[[#This Row],[lop]]+Table1[[#This Row],[pip]]</f>
        <v>3.4082670937965194E-2</v>
      </c>
      <c r="O34">
        <f>(Table1[[#This Row],[nsrp_pred]]-Table1[[#This Row],[nsrp]])^2</f>
        <v>8.8827402848575972E-5</v>
      </c>
    </row>
    <row r="35" spans="1:15">
      <c r="A35" t="s">
        <v>15</v>
      </c>
      <c r="B35" t="s">
        <v>21</v>
      </c>
      <c r="C35">
        <v>1.6393392857142856E-2</v>
      </c>
      <c r="D35">
        <v>3.5</v>
      </c>
      <c r="E35">
        <v>2.5</v>
      </c>
      <c r="F35">
        <v>1</v>
      </c>
      <c r="G35">
        <v>3.5920000000000001E-2</v>
      </c>
      <c r="H35">
        <v>9.3296875000000001E-2</v>
      </c>
      <c r="I35">
        <v>5.7376875000000001E-2</v>
      </c>
      <c r="J35">
        <v>0.38500753642605928</v>
      </c>
      <c r="K35">
        <f>Table1[[#This Row],[oss]]*INDEX(Table3[k_OSS2ROP],MATCH(Table1[[#This Row],[site.plot]],Table3[site.plot],FALSE))</f>
        <v>5.9122096118727442E-3</v>
      </c>
      <c r="L35">
        <f>Table1[[#This Row],[srp]]*INDEX(Table5[k_SRP2LOP],MATCH(Table1[[#This Row],[site]],Table5[site],FALSE))</f>
        <v>2.6027484104452436E-2</v>
      </c>
      <c r="M35">
        <f>Table1[[#This Row],[iss]]*INDEX(Table5[k_ISS2PIP],MATCH(Table1[[#This Row],[site]],Table5[site],FALSE))</f>
        <v>5.3825877172944099E-3</v>
      </c>
      <c r="N35">
        <f>Table1[[#This Row],[rop]]+Table1[[#This Row],[lop]]+Table1[[#This Row],[pip]]</f>
        <v>3.732228143361959E-2</v>
      </c>
      <c r="O35">
        <f>(Table1[[#This Row],[nsrp_pred]]-Table1[[#This Row],[nsrp]])^2</f>
        <v>4.0218672311270656E-4</v>
      </c>
    </row>
    <row r="36" spans="1:15">
      <c r="A36" t="s">
        <v>15</v>
      </c>
      <c r="B36" t="s">
        <v>21</v>
      </c>
      <c r="C36">
        <v>1.29975E-2</v>
      </c>
      <c r="D36">
        <v>3</v>
      </c>
      <c r="E36">
        <v>2</v>
      </c>
      <c r="F36">
        <v>1</v>
      </c>
      <c r="G36">
        <v>3.057E-2</v>
      </c>
      <c r="H36">
        <v>6.9562499999999999E-2</v>
      </c>
      <c r="I36">
        <v>3.8992499999999999E-2</v>
      </c>
      <c r="J36">
        <v>0.43946091644204854</v>
      </c>
      <c r="K36">
        <f>Table1[[#This Row],[oss]]*INDEX(Table3[k_OSS2ROP],MATCH(Table1[[#This Row],[site.plot]],Table3[site.plot],FALSE))</f>
        <v>5.9122096118727442E-3</v>
      </c>
      <c r="L36">
        <f>Table1[[#This Row],[srp]]*INDEX(Table5[k_SRP2LOP],MATCH(Table1[[#This Row],[site]],Table5[site],FALSE))</f>
        <v>2.2150896132324915E-2</v>
      </c>
      <c r="M36">
        <f>Table1[[#This Row],[iss]]*INDEX(Table5[k_ISS2PIP],MATCH(Table1[[#This Row],[site]],Table5[site],FALSE))</f>
        <v>4.306070173835528E-3</v>
      </c>
      <c r="N36">
        <f>Table1[[#This Row],[rop]]+Table1[[#This Row],[lop]]+Table1[[#This Row],[pip]]</f>
        <v>3.2369175918033191E-2</v>
      </c>
      <c r="O36">
        <f>(Table1[[#This Row],[nsrp_pred]]-Table1[[#This Row],[nsrp]])^2</f>
        <v>4.3868421894761464E-5</v>
      </c>
    </row>
    <row r="37" spans="1:15">
      <c r="A37" t="s">
        <v>15</v>
      </c>
      <c r="B37" t="s">
        <v>21</v>
      </c>
      <c r="C37">
        <v>1.3655535714285714E-2</v>
      </c>
      <c r="D37">
        <v>3.5</v>
      </c>
      <c r="E37">
        <v>1.5</v>
      </c>
      <c r="F37">
        <v>2</v>
      </c>
      <c r="G37">
        <v>2.494E-2</v>
      </c>
      <c r="H37">
        <v>7.2734375000000004E-2</v>
      </c>
      <c r="I37">
        <v>4.7794375E-2</v>
      </c>
      <c r="J37">
        <v>0.34289151450053706</v>
      </c>
      <c r="K37">
        <f>Table1[[#This Row],[oss]]*INDEX(Table3[k_OSS2ROP],MATCH(Table1[[#This Row],[site.plot]],Table3[site.plot],FALSE))</f>
        <v>1.1824419223745488E-2</v>
      </c>
      <c r="L37">
        <f>Table1[[#This Row],[srp]]*INDEX(Table5[k_SRP2LOP],MATCH(Table1[[#This Row],[site]],Table5[site],FALSE))</f>
        <v>1.8071421313058011E-2</v>
      </c>
      <c r="M37">
        <f>Table1[[#This Row],[iss]]*INDEX(Table5[k_ISS2PIP],MATCH(Table1[[#This Row],[site]],Table5[site],FALSE))</f>
        <v>3.229552630376646E-3</v>
      </c>
      <c r="N37">
        <f>Table1[[#This Row],[rop]]+Table1[[#This Row],[lop]]+Table1[[#This Row],[pip]]</f>
        <v>3.3125393167180141E-2</v>
      </c>
      <c r="O37">
        <f>(Table1[[#This Row],[nsrp_pred]]-Table1[[#This Row],[nsrp]])^2</f>
        <v>2.1517902801159908E-4</v>
      </c>
    </row>
    <row r="38" spans="1:15">
      <c r="A38" t="s">
        <v>15</v>
      </c>
      <c r="B38" t="s">
        <v>21</v>
      </c>
      <c r="C38">
        <v>1.1019999999999442E-2</v>
      </c>
      <c r="D38">
        <v>4.5000000000002274</v>
      </c>
      <c r="E38">
        <v>4.5000000000002274</v>
      </c>
      <c r="F38">
        <v>0</v>
      </c>
      <c r="G38">
        <v>2.2159999999999999E-2</v>
      </c>
      <c r="H38">
        <v>7.1749999999999994E-2</v>
      </c>
      <c r="I38">
        <v>4.9589999999999995E-2</v>
      </c>
      <c r="J38">
        <v>0.3088501742160279</v>
      </c>
      <c r="K38">
        <f>Table1[[#This Row],[oss]]*INDEX(Table3[k_OSS2ROP],MATCH(Table1[[#This Row],[site.plot]],Table3[site.plot],FALSE))</f>
        <v>0</v>
      </c>
      <c r="L38">
        <f>Table1[[#This Row],[srp]]*INDEX(Table5[k_SRP2LOP],MATCH(Table1[[#This Row],[site]],Table5[site],FALSE))</f>
        <v>1.605704475931698E-2</v>
      </c>
      <c r="M38">
        <f>Table1[[#This Row],[iss]]*INDEX(Table5[k_ISS2PIP],MATCH(Table1[[#This Row],[site]],Table5[site],FALSE))</f>
        <v>9.688657891130428E-3</v>
      </c>
      <c r="N38">
        <f>Table1[[#This Row],[rop]]+Table1[[#This Row],[lop]]+Table1[[#This Row],[pip]]</f>
        <v>2.5745702650447407E-2</v>
      </c>
      <c r="O38">
        <f>(Table1[[#This Row],[nsrp_pred]]-Table1[[#This Row],[nsrp]])^2</f>
        <v>5.6855051609388065E-4</v>
      </c>
    </row>
    <row r="39" spans="1:15">
      <c r="A39" t="s">
        <v>15</v>
      </c>
      <c r="B39" t="s">
        <v>21</v>
      </c>
      <c r="C39">
        <v>5.8857142857142734E-4</v>
      </c>
      <c r="D39">
        <v>3.5</v>
      </c>
      <c r="E39">
        <v>3.5</v>
      </c>
      <c r="F39">
        <v>0</v>
      </c>
      <c r="G39">
        <v>2.1340000000000001E-2</v>
      </c>
      <c r="H39">
        <v>2.3399999999999997E-2</v>
      </c>
      <c r="I39">
        <v>2.0599999999999959E-3</v>
      </c>
      <c r="J39">
        <v>0.91196581196581217</v>
      </c>
      <c r="K39">
        <f>Table1[[#This Row],[oss]]*INDEX(Table3[k_OSS2ROP],MATCH(Table1[[#This Row],[site.plot]],Table3[site.plot],FALSE))</f>
        <v>0</v>
      </c>
      <c r="L39">
        <f>Table1[[#This Row],[srp]]*INDEX(Table5[k_SRP2LOP],MATCH(Table1[[#This Row],[site]],Table5[site],FALSE))</f>
        <v>1.5462876135551643E-2</v>
      </c>
      <c r="M39">
        <f>Table1[[#This Row],[iss]]*INDEX(Table5[k_ISS2PIP],MATCH(Table1[[#This Row],[site]],Table5[site],FALSE))</f>
        <v>7.5356228042121739E-3</v>
      </c>
      <c r="N39">
        <f>Table1[[#This Row],[rop]]+Table1[[#This Row],[lop]]+Table1[[#This Row],[pip]]</f>
        <v>2.2998498939763818E-2</v>
      </c>
      <c r="O39">
        <f>(Table1[[#This Row],[nsrp_pred]]-Table1[[#This Row],[nsrp]])^2</f>
        <v>4.3842073785049069E-4</v>
      </c>
    </row>
    <row r="40" spans="1:15">
      <c r="A40" t="s">
        <v>15</v>
      </c>
      <c r="B40" t="s">
        <v>21</v>
      </c>
      <c r="C40">
        <v>6.7537500000000002E-3</v>
      </c>
      <c r="D40">
        <v>8</v>
      </c>
      <c r="E40">
        <v>8</v>
      </c>
      <c r="F40">
        <v>0</v>
      </c>
      <c r="G40">
        <v>5.8970000000000002E-2</v>
      </c>
      <c r="H40">
        <v>0.113</v>
      </c>
      <c r="I40">
        <v>5.4030000000000002E-2</v>
      </c>
      <c r="J40">
        <v>0.52185840707964604</v>
      </c>
      <c r="K40">
        <f>Table1[[#This Row],[oss]]*INDEX(Table3[k_OSS2ROP],MATCH(Table1[[#This Row],[site.plot]],Table3[site.plot],FALSE))</f>
        <v>0</v>
      </c>
      <c r="L40">
        <f>Table1[[#This Row],[srp]]*INDEX(Table5[k_SRP2LOP],MATCH(Table1[[#This Row],[site]],Table5[site],FALSE))</f>
        <v>4.27294191993196E-2</v>
      </c>
      <c r="M40">
        <f>Table1[[#This Row],[iss]]*INDEX(Table5[k_ISS2PIP],MATCH(Table1[[#This Row],[site]],Table5[site],FALSE))</f>
        <v>1.7224280695342112E-2</v>
      </c>
      <c r="N40">
        <f>Table1[[#This Row],[rop]]+Table1[[#This Row],[lop]]+Table1[[#This Row],[pip]]</f>
        <v>5.9953699894661712E-2</v>
      </c>
      <c r="O40">
        <f>(Table1[[#This Row],[nsrp_pred]]-Table1[[#This Row],[nsrp]])^2</f>
        <v>3.5090220442015158E-5</v>
      </c>
    </row>
    <row r="41" spans="1:15">
      <c r="A41" t="s">
        <v>15</v>
      </c>
      <c r="B41" t="s">
        <v>21</v>
      </c>
      <c r="C41">
        <v>3.3250526315789473E-3</v>
      </c>
      <c r="D41">
        <v>23.75</v>
      </c>
      <c r="E41">
        <v>23.75</v>
      </c>
      <c r="F41">
        <v>0</v>
      </c>
      <c r="G41">
        <v>2.8029999999999999E-2</v>
      </c>
      <c r="H41">
        <v>0.107</v>
      </c>
      <c r="I41">
        <v>7.8969999999999999E-2</v>
      </c>
      <c r="J41">
        <v>0.26196261682242988</v>
      </c>
      <c r="K41">
        <f>Table1[[#This Row],[oss]]*INDEX(Table3[k_OSS2ROP],MATCH(Table1[[#This Row],[site.plot]],Table3[site.plot],FALSE))</f>
        <v>0</v>
      </c>
      <c r="L41">
        <f>Table1[[#This Row],[srp]]*INDEX(Table5[k_SRP2LOP],MATCH(Table1[[#This Row],[site]],Table5[site],FALSE))</f>
        <v>2.0310422590417643E-2</v>
      </c>
      <c r="M41">
        <f>Table1[[#This Row],[iss]]*INDEX(Table5[k_ISS2PIP],MATCH(Table1[[#This Row],[site]],Table5[site],FALSE))</f>
        <v>5.1134583314296891E-2</v>
      </c>
      <c r="N41">
        <f>Table1[[#This Row],[rop]]+Table1[[#This Row],[lop]]+Table1[[#This Row],[pip]]</f>
        <v>7.1445005904714531E-2</v>
      </c>
      <c r="O41">
        <f>(Table1[[#This Row],[nsrp_pred]]-Table1[[#This Row],[nsrp]])^2</f>
        <v>5.6625536134081148E-5</v>
      </c>
    </row>
    <row r="42" spans="1:15">
      <c r="A42" t="s">
        <v>15</v>
      </c>
      <c r="B42" t="s">
        <v>21</v>
      </c>
      <c r="C42">
        <v>2.3292999999999998E-2</v>
      </c>
      <c r="D42">
        <v>2</v>
      </c>
      <c r="E42">
        <v>1</v>
      </c>
      <c r="F42">
        <v>1</v>
      </c>
      <c r="G42">
        <v>4.7213999999999999E-2</v>
      </c>
      <c r="H42">
        <v>9.3799999999999994E-2</v>
      </c>
      <c r="I42">
        <v>4.6585999999999995E-2</v>
      </c>
      <c r="J42">
        <v>0.50334754797441361</v>
      </c>
      <c r="K42">
        <f>Table1[[#This Row],[oss]]*INDEX(Table3[k_OSS2ROP],MATCH(Table1[[#This Row],[site.plot]],Table3[site.plot],FALSE))</f>
        <v>5.9122096118727442E-3</v>
      </c>
      <c r="L42">
        <f>Table1[[#This Row],[srp]]*INDEX(Table5[k_SRP2LOP],MATCH(Table1[[#This Row],[site]],Table5[site],FALSE))</f>
        <v>3.4211070002996023E-2</v>
      </c>
      <c r="M42">
        <f>Table1[[#This Row],[iss]]*INDEX(Table5[k_ISS2PIP],MATCH(Table1[[#This Row],[site]],Table5[site],FALSE))</f>
        <v>2.153035086917764E-3</v>
      </c>
      <c r="N42">
        <f>Table1[[#This Row],[rop]]+Table1[[#This Row],[lop]]+Table1[[#This Row],[pip]]</f>
        <v>4.2276314701786527E-2</v>
      </c>
      <c r="O42">
        <f>(Table1[[#This Row],[nsrp_pred]]-Table1[[#This Row],[nsrp]])^2</f>
        <v>1.8573387369637313E-5</v>
      </c>
    </row>
    <row r="43" spans="1:15">
      <c r="A43" t="s">
        <v>15</v>
      </c>
      <c r="B43" t="s">
        <v>21</v>
      </c>
      <c r="C43">
        <v>2.4419500000000004E-2</v>
      </c>
      <c r="D43">
        <v>2</v>
      </c>
      <c r="E43">
        <v>0</v>
      </c>
      <c r="F43">
        <v>2</v>
      </c>
      <c r="G43">
        <v>8.1160999999999997E-2</v>
      </c>
      <c r="H43">
        <v>0.13</v>
      </c>
      <c r="I43">
        <v>4.8839000000000007E-2</v>
      </c>
      <c r="J43">
        <v>0.62431538461538461</v>
      </c>
      <c r="K43">
        <f>Table1[[#This Row],[oss]]*INDEX(Table3[k_OSS2ROP],MATCH(Table1[[#This Row],[site.plot]],Table3[site.plot],FALSE))</f>
        <v>1.1824419223745488E-2</v>
      </c>
      <c r="L43">
        <f>Table1[[#This Row],[srp]]*INDEX(Table5[k_SRP2LOP],MATCH(Table1[[#This Row],[site]],Table5[site],FALSE))</f>
        <v>5.8808926430998443E-2</v>
      </c>
      <c r="M43">
        <f>Table1[[#This Row],[iss]]*INDEX(Table5[k_ISS2PIP],MATCH(Table1[[#This Row],[site]],Table5[site],FALSE))</f>
        <v>0</v>
      </c>
      <c r="N43">
        <f>Table1[[#This Row],[rop]]+Table1[[#This Row],[lop]]+Table1[[#This Row],[pip]]</f>
        <v>7.0633345654743926E-2</v>
      </c>
      <c r="O43">
        <f>(Table1[[#This Row],[nsrp_pred]]-Table1[[#This Row],[nsrp]])^2</f>
        <v>4.7499350251845512E-4</v>
      </c>
    </row>
    <row r="44" spans="1:15">
      <c r="A44" t="s">
        <v>15</v>
      </c>
      <c r="B44" t="s">
        <v>21</v>
      </c>
      <c r="C44">
        <v>2.3924399999999998E-2</v>
      </c>
      <c r="D44">
        <v>2.5</v>
      </c>
      <c r="E44">
        <v>0.5</v>
      </c>
      <c r="F44">
        <v>2</v>
      </c>
      <c r="G44">
        <v>5.9188999999999999E-2</v>
      </c>
      <c r="H44">
        <v>0.11899999999999999</v>
      </c>
      <c r="I44">
        <v>5.9810999999999996E-2</v>
      </c>
      <c r="J44">
        <v>0.49738655462184878</v>
      </c>
      <c r="K44">
        <f>Table1[[#This Row],[oss]]*INDEX(Table3[k_OSS2ROP],MATCH(Table1[[#This Row],[site.plot]],Table3[site.plot],FALSE))</f>
        <v>1.1824419223745488E-2</v>
      </c>
      <c r="L44">
        <f>Table1[[#This Row],[srp]]*INDEX(Table5[k_SRP2LOP],MATCH(Table1[[#This Row],[site]],Table5[site],FALSE))</f>
        <v>4.2888105697617904E-2</v>
      </c>
      <c r="M44">
        <f>Table1[[#This Row],[iss]]*INDEX(Table5[k_ISS2PIP],MATCH(Table1[[#This Row],[site]],Table5[site],FALSE))</f>
        <v>1.076517543458882E-3</v>
      </c>
      <c r="N44">
        <f>Table1[[#This Row],[rop]]+Table1[[#This Row],[lop]]+Table1[[#This Row],[pip]]</f>
        <v>5.5789042464822275E-2</v>
      </c>
      <c r="O44">
        <f>(Table1[[#This Row],[nsrp_pred]]-Table1[[#This Row],[nsrp]])^2</f>
        <v>1.6176142414772851E-5</v>
      </c>
    </row>
    <row r="45" spans="1:15">
      <c r="A45" t="s">
        <v>15</v>
      </c>
      <c r="B45" t="s">
        <v>21</v>
      </c>
      <c r="C45">
        <v>0.11045969999999999</v>
      </c>
      <c r="D45">
        <v>0.51282051282051289</v>
      </c>
      <c r="E45">
        <v>0</v>
      </c>
      <c r="F45">
        <v>0.51282051282051289</v>
      </c>
      <c r="G45">
        <v>5.5354E-2</v>
      </c>
      <c r="H45">
        <v>0.112</v>
      </c>
      <c r="I45">
        <v>5.6646000000000002E-2</v>
      </c>
      <c r="J45">
        <v>0.49423214285714284</v>
      </c>
      <c r="K45">
        <f>Table1[[#This Row],[oss]]*INDEX(Table3[k_OSS2ROP],MATCH(Table1[[#This Row],[site.plot]],Table3[site.plot],FALSE))</f>
        <v>3.031902365062946E-3</v>
      </c>
      <c r="L45">
        <f>Table1[[#This Row],[srp]]*INDEX(Table5[k_SRP2LOP],MATCH(Table1[[#This Row],[site]],Table5[site],FALSE))</f>
        <v>4.0109280487690982E-2</v>
      </c>
      <c r="M45">
        <f>Table1[[#This Row],[iss]]*INDEX(Table5[k_ISS2PIP],MATCH(Table1[[#This Row],[site]],Table5[site],FALSE))</f>
        <v>0</v>
      </c>
      <c r="N45">
        <f>Table1[[#This Row],[rop]]+Table1[[#This Row],[lop]]+Table1[[#This Row],[pip]]</f>
        <v>4.314118285275393E-2</v>
      </c>
      <c r="O45">
        <f>(Table1[[#This Row],[nsrp_pred]]-Table1[[#This Row],[nsrp]])^2</f>
        <v>1.8238008618055152E-4</v>
      </c>
    </row>
    <row r="46" spans="1:15">
      <c r="A46" t="s">
        <v>15</v>
      </c>
      <c r="B46" t="s">
        <v>21</v>
      </c>
      <c r="C46">
        <v>1.8155666666666667E-2</v>
      </c>
      <c r="D46">
        <v>3</v>
      </c>
      <c r="E46">
        <v>1</v>
      </c>
      <c r="F46">
        <v>2</v>
      </c>
      <c r="G46">
        <v>1.8332999999999999E-2</v>
      </c>
      <c r="H46">
        <v>7.2800000000000004E-2</v>
      </c>
      <c r="I46">
        <v>5.4467000000000002E-2</v>
      </c>
      <c r="J46">
        <v>0.25182692307692306</v>
      </c>
      <c r="K46">
        <f>Table1[[#This Row],[oss]]*INDEX(Table3[k_OSS2ROP],MATCH(Table1[[#This Row],[site.plot]],Table3[site.plot],FALSE))</f>
        <v>1.1824419223745488E-2</v>
      </c>
      <c r="L46">
        <f>Table1[[#This Row],[srp]]*INDEX(Table5[k_SRP2LOP],MATCH(Table1[[#This Row],[site]],Table5[site],FALSE))</f>
        <v>1.3284016316451182E-2</v>
      </c>
      <c r="M46">
        <f>Table1[[#This Row],[iss]]*INDEX(Table5[k_ISS2PIP],MATCH(Table1[[#This Row],[site]],Table5[site],FALSE))</f>
        <v>2.153035086917764E-3</v>
      </c>
      <c r="N46">
        <f>Table1[[#This Row],[rop]]+Table1[[#This Row],[lop]]+Table1[[#This Row],[pip]]</f>
        <v>2.7261470627114433E-2</v>
      </c>
      <c r="O46">
        <f>(Table1[[#This Row],[nsrp_pred]]-Table1[[#This Row],[nsrp]])^2</f>
        <v>7.401408284589395E-4</v>
      </c>
    </row>
    <row r="47" spans="1:15">
      <c r="A47" t="s">
        <v>15</v>
      </c>
      <c r="B47" t="s">
        <v>21</v>
      </c>
      <c r="C47">
        <v>1.6076130000000001E-2</v>
      </c>
      <c r="D47">
        <v>2.7027027027027026</v>
      </c>
      <c r="E47">
        <v>1.6216216216216215</v>
      </c>
      <c r="F47">
        <v>1.0810810810810811</v>
      </c>
      <c r="G47">
        <v>7.1551000000000003E-2</v>
      </c>
      <c r="H47">
        <v>0.115</v>
      </c>
      <c r="I47">
        <v>4.3449000000000002E-2</v>
      </c>
      <c r="J47">
        <v>0.62218260869565223</v>
      </c>
      <c r="K47">
        <f>Table1[[#This Row],[oss]]*INDEX(Table3[k_OSS2ROP],MATCH(Table1[[#This Row],[site.plot]],Table3[site.plot],FALSE))</f>
        <v>6.3915779587813458E-3</v>
      </c>
      <c r="L47">
        <f>Table1[[#This Row],[srp]]*INDEX(Table5[k_SRP2LOP],MATCH(Table1[[#This Row],[site]],Table5[site],FALSE))</f>
        <v>5.1845559998821726E-2</v>
      </c>
      <c r="M47">
        <f>Table1[[#This Row],[iss]]*INDEX(Table5[k_ISS2PIP],MATCH(Table1[[#This Row],[site]],Table5[site],FALSE))</f>
        <v>3.4914082490558333E-3</v>
      </c>
      <c r="N47">
        <f>Table1[[#This Row],[rop]]+Table1[[#This Row],[lop]]+Table1[[#This Row],[pip]]</f>
        <v>6.1728546206658907E-2</v>
      </c>
      <c r="O47">
        <f>(Table1[[#This Row],[nsrp_pred]]-Table1[[#This Row],[nsrp]])^2</f>
        <v>3.3414180952137798E-4</v>
      </c>
    </row>
    <row r="48" spans="1:15">
      <c r="A48" t="s">
        <v>15</v>
      </c>
      <c r="B48" t="s">
        <v>21</v>
      </c>
      <c r="C48">
        <v>5.3840655555555542E-3</v>
      </c>
      <c r="D48">
        <v>9.8901098901098905</v>
      </c>
      <c r="E48">
        <v>6.593406593406594</v>
      </c>
      <c r="F48">
        <v>3.2967032967032965</v>
      </c>
      <c r="G48">
        <v>6.8751000000000007E-2</v>
      </c>
      <c r="H48">
        <v>0.122</v>
      </c>
      <c r="I48">
        <v>5.3248999999999991E-2</v>
      </c>
      <c r="J48">
        <v>0.563532786885246</v>
      </c>
      <c r="K48">
        <f>Table1[[#This Row],[oss]]*INDEX(Table3[k_OSS2ROP],MATCH(Table1[[#This Row],[site.plot]],Table3[site.plot],FALSE))</f>
        <v>1.9490800918261792E-2</v>
      </c>
      <c r="L48">
        <f>Table1[[#This Row],[srp]]*INDEX(Table5[k_SRP2LOP],MATCH(Table1[[#This Row],[site]],Table5[site],FALSE))</f>
        <v>4.9816691527427882E-2</v>
      </c>
      <c r="M48">
        <f>Table1[[#This Row],[iss]]*INDEX(Table5[k_ISS2PIP],MATCH(Table1[[#This Row],[site]],Table5[site],FALSE))</f>
        <v>1.4195835737919323E-2</v>
      </c>
      <c r="N48">
        <f>Table1[[#This Row],[rop]]+Table1[[#This Row],[lop]]+Table1[[#This Row],[pip]]</f>
        <v>8.3503328183609005E-2</v>
      </c>
      <c r="O48">
        <f>(Table1[[#This Row],[nsrp_pred]]-Table1[[#This Row],[nsrp]])^2</f>
        <v>9.1532437384151874E-4</v>
      </c>
    </row>
    <row r="49" spans="1:15">
      <c r="A49" t="s">
        <v>15</v>
      </c>
      <c r="B49" t="s">
        <v>21</v>
      </c>
      <c r="C49">
        <v>5.0265600000000014E-2</v>
      </c>
      <c r="D49">
        <v>0.59523809523809523</v>
      </c>
      <c r="E49">
        <v>0.59523809523809523</v>
      </c>
      <c r="F49">
        <v>0</v>
      </c>
      <c r="G49">
        <v>5.5079999999999997E-2</v>
      </c>
      <c r="H49">
        <v>8.5000000000000006E-2</v>
      </c>
      <c r="I49">
        <v>2.9920000000000009E-2</v>
      </c>
      <c r="J49">
        <v>0.64799999999999991</v>
      </c>
      <c r="K49">
        <f>Table1[[#This Row],[oss]]*INDEX(Table3[k_OSS2ROP],MATCH(Table1[[#This Row],[site.plot]],Table3[site.plot],FALSE))</f>
        <v>0</v>
      </c>
      <c r="L49">
        <f>Table1[[#This Row],[srp]]*INDEX(Table5[k_SRP2LOP],MATCH(Table1[[#This Row],[site]],Table5[site],FALSE))</f>
        <v>3.9910741215847444E-2</v>
      </c>
      <c r="M49">
        <f>Table1[[#This Row],[iss]]*INDEX(Table5[k_ISS2PIP],MATCH(Table1[[#This Row],[site]],Table5[site],FALSE))</f>
        <v>1.2815685041177166E-3</v>
      </c>
      <c r="N49">
        <f>Table1[[#This Row],[rop]]+Table1[[#This Row],[lop]]+Table1[[#This Row],[pip]]</f>
        <v>4.119230971996516E-2</v>
      </c>
      <c r="O49">
        <f>(Table1[[#This Row],[nsrp_pred]]-Table1[[#This Row],[nsrp]])^2</f>
        <v>1.2706496642282081E-4</v>
      </c>
    </row>
    <row r="50" spans="1:15">
      <c r="A50" t="s">
        <v>15</v>
      </c>
      <c r="B50" t="s">
        <v>21</v>
      </c>
      <c r="C50">
        <v>2.1259199999999999E-2</v>
      </c>
      <c r="D50">
        <v>2.5</v>
      </c>
      <c r="E50">
        <v>-1</v>
      </c>
      <c r="F50">
        <v>3.5</v>
      </c>
      <c r="G50">
        <v>5.2852000000000003E-2</v>
      </c>
      <c r="H50">
        <v>0.106</v>
      </c>
      <c r="I50">
        <v>5.3147999999999994E-2</v>
      </c>
      <c r="J50">
        <v>0.49860377358490571</v>
      </c>
      <c r="K50">
        <f>Table1[[#This Row],[oss]]*INDEX(Table3[k_OSS2ROP],MATCH(Table1[[#This Row],[site.plot]],Table3[site.plot],FALSE))</f>
        <v>2.0692733641554606E-2</v>
      </c>
      <c r="L50">
        <f>Table1[[#This Row],[srp]]*INDEX(Table5[k_SRP2LOP],MATCH(Table1[[#This Row],[site]],Table5[site],FALSE))</f>
        <v>3.8296341589324059E-2</v>
      </c>
      <c r="M50">
        <f>Table1[[#This Row],[iss]]*INDEX(Table5[k_ISS2PIP],MATCH(Table1[[#This Row],[site]],Table5[site],FALSE))</f>
        <v>-2.153035086917764E-3</v>
      </c>
      <c r="N50">
        <f>Table1[[#This Row],[rop]]+Table1[[#This Row],[lop]]+Table1[[#This Row],[pip]]</f>
        <v>5.6836040143960903E-2</v>
      </c>
      <c r="O50">
        <f>(Table1[[#This Row],[nsrp_pred]]-Table1[[#This Row],[nsrp]])^2</f>
        <v>1.3601640103467204E-5</v>
      </c>
    </row>
    <row r="51" spans="1:15">
      <c r="A51" t="s">
        <v>15</v>
      </c>
      <c r="B51" t="s">
        <v>21</v>
      </c>
      <c r="C51">
        <v>1.6550800000000001E-2</v>
      </c>
      <c r="D51">
        <v>2.5</v>
      </c>
      <c r="E51">
        <v>1</v>
      </c>
      <c r="F51">
        <v>1.5</v>
      </c>
      <c r="G51">
        <v>4.6023000000000001E-2</v>
      </c>
      <c r="H51">
        <v>8.7400000000000005E-2</v>
      </c>
      <c r="I51">
        <v>4.1377000000000004E-2</v>
      </c>
      <c r="J51">
        <v>0.52657894736842104</v>
      </c>
      <c r="K51">
        <f>Table1[[#This Row],[oss]]*INDEX(Table3[k_OSS2ROP],MATCH(Table1[[#This Row],[site.plot]],Table3[site.plot],FALSE))</f>
        <v>8.8683144178091158E-3</v>
      </c>
      <c r="L51">
        <f>Table1[[#This Row],[srp]]*INDEX(Table5[k_SRP2LOP],MATCH(Table1[[#This Row],[site]],Table5[site],FALSE))</f>
        <v>3.3348076306771002E-2</v>
      </c>
      <c r="M51">
        <f>Table1[[#This Row],[iss]]*INDEX(Table5[k_ISS2PIP],MATCH(Table1[[#This Row],[site]],Table5[site],FALSE))</f>
        <v>2.153035086917764E-3</v>
      </c>
      <c r="N51">
        <f>Table1[[#This Row],[rop]]+Table1[[#This Row],[lop]]+Table1[[#This Row],[pip]]</f>
        <v>4.436942581149788E-2</v>
      </c>
      <c r="O51">
        <f>(Table1[[#This Row],[nsrp_pred]]-Table1[[#This Row],[nsrp]])^2</f>
        <v>8.9546122373187199E-6</v>
      </c>
    </row>
    <row r="52" spans="1:15">
      <c r="A52" t="s">
        <v>15</v>
      </c>
      <c r="B52" t="s">
        <v>21</v>
      </c>
      <c r="C52">
        <v>3.7738181818182011E-2</v>
      </c>
      <c r="D52">
        <v>1.0999999999999943</v>
      </c>
      <c r="E52">
        <v>2</v>
      </c>
      <c r="F52">
        <v>-0.90000000000000568</v>
      </c>
      <c r="G52">
        <v>2.5388000000000001E-2</v>
      </c>
      <c r="H52">
        <v>6.6900000000000001E-2</v>
      </c>
      <c r="I52">
        <v>4.1512E-2</v>
      </c>
      <c r="J52">
        <v>0.37949177877428997</v>
      </c>
      <c r="K52">
        <f>Table1[[#This Row],[oss]]*INDEX(Table3[k_OSS2ROP],MATCH(Table1[[#This Row],[site.plot]],Table3[site.plot],FALSE))</f>
        <v>-5.3209886506855033E-3</v>
      </c>
      <c r="L52">
        <f>Table1[[#This Row],[srp]]*INDEX(Table5[k_SRP2LOP],MATCH(Table1[[#This Row],[site]],Table5[site],FALSE))</f>
        <v>1.8396040268481025E-2</v>
      </c>
      <c r="M52">
        <f>Table1[[#This Row],[iss]]*INDEX(Table5[k_ISS2PIP],MATCH(Table1[[#This Row],[site]],Table5[site],FALSE))</f>
        <v>4.306070173835528E-3</v>
      </c>
      <c r="N52">
        <f>Table1[[#This Row],[rop]]+Table1[[#This Row],[lop]]+Table1[[#This Row],[pip]]</f>
        <v>1.7381121791631048E-2</v>
      </c>
      <c r="O52">
        <f>(Table1[[#This Row],[nsrp_pred]]-Table1[[#This Row],[nsrp]])^2</f>
        <v>5.822992831071356E-4</v>
      </c>
    </row>
    <row r="53" spans="1:15">
      <c r="A53" t="s">
        <v>15</v>
      </c>
      <c r="B53" t="s">
        <v>21</v>
      </c>
      <c r="C53">
        <v>3.7377631578947401E-3</v>
      </c>
      <c r="D53">
        <v>7.5999999999999943</v>
      </c>
      <c r="E53">
        <v>5</v>
      </c>
      <c r="F53">
        <v>2.5999999999999943</v>
      </c>
      <c r="G53">
        <v>1.8793000000000001E-2</v>
      </c>
      <c r="H53">
        <v>4.7200000000000006E-2</v>
      </c>
      <c r="I53">
        <v>2.8407000000000005E-2</v>
      </c>
      <c r="J53">
        <v>0.39815677966101692</v>
      </c>
      <c r="K53">
        <f>Table1[[#This Row],[oss]]*INDEX(Table3[k_OSS2ROP],MATCH(Table1[[#This Row],[site.plot]],Table3[site.plot],FALSE))</f>
        <v>1.5371744990869102E-2</v>
      </c>
      <c r="L53">
        <f>Table1[[#This Row],[srp]]*INDEX(Table5[k_SRP2LOP],MATCH(Table1[[#This Row],[site]],Table5[site],FALSE))</f>
        <v>1.3617330422465886E-2</v>
      </c>
      <c r="M53">
        <f>Table1[[#This Row],[iss]]*INDEX(Table5[k_ISS2PIP],MATCH(Table1[[#This Row],[site]],Table5[site],FALSE))</f>
        <v>1.076517543458882E-2</v>
      </c>
      <c r="N53">
        <f>Table1[[#This Row],[rop]]+Table1[[#This Row],[lop]]+Table1[[#This Row],[pip]]</f>
        <v>3.9754250847923805E-2</v>
      </c>
      <c r="O53">
        <f>(Table1[[#This Row],[nsrp_pred]]-Table1[[#This Row],[nsrp]])^2</f>
        <v>1.287601018057074E-4</v>
      </c>
    </row>
    <row r="54" spans="1:15">
      <c r="A54" t="s">
        <v>15</v>
      </c>
      <c r="B54" t="s">
        <v>21</v>
      </c>
      <c r="C54">
        <v>2.4968849999999994E-2</v>
      </c>
      <c r="D54">
        <v>1.0526315789473684</v>
      </c>
      <c r="E54">
        <v>1.0526315789473684</v>
      </c>
      <c r="F54">
        <v>0</v>
      </c>
      <c r="G54">
        <v>3.1517000000000003E-2</v>
      </c>
      <c r="H54">
        <v>5.7799999999999997E-2</v>
      </c>
      <c r="I54">
        <v>2.6282999999999994E-2</v>
      </c>
      <c r="J54">
        <v>0.54527681660899663</v>
      </c>
      <c r="K54">
        <f>Table1[[#This Row],[oss]]*INDEX(Table3[k_OSS2ROP],MATCH(Table1[[#This Row],[site.plot]],Table3[site.plot],FALSE))</f>
        <v>0</v>
      </c>
      <c r="L54">
        <f>Table1[[#This Row],[srp]]*INDEX(Table5[k_SRP2LOP],MATCH(Table1[[#This Row],[site]],Table5[site],FALSE))</f>
        <v>2.2837088433185621E-2</v>
      </c>
      <c r="M54">
        <f>Table1[[#This Row],[iss]]*INDEX(Table5[k_ISS2PIP],MATCH(Table1[[#This Row],[site]],Table5[site],FALSE))</f>
        <v>2.2663527230713304E-3</v>
      </c>
      <c r="N54">
        <f>Table1[[#This Row],[rop]]+Table1[[#This Row],[lop]]+Table1[[#This Row],[pip]]</f>
        <v>2.5103441156256952E-2</v>
      </c>
      <c r="O54">
        <f>(Table1[[#This Row],[nsrp_pred]]-Table1[[#This Row],[nsrp]])^2</f>
        <v>1.3913590658524207E-6</v>
      </c>
    </row>
    <row r="55" spans="1:15">
      <c r="A55" t="s">
        <v>15</v>
      </c>
      <c r="B55" t="s">
        <v>21</v>
      </c>
      <c r="C55">
        <v>2.4251000000000005E-2</v>
      </c>
      <c r="D55">
        <v>1</v>
      </c>
      <c r="E55">
        <v>1</v>
      </c>
      <c r="F55">
        <v>0</v>
      </c>
      <c r="G55">
        <v>2.0948999999999999E-2</v>
      </c>
      <c r="H55">
        <v>4.5200000000000004E-2</v>
      </c>
      <c r="I55">
        <v>2.4251000000000005E-2</v>
      </c>
      <c r="J55">
        <v>0.46347345132743356</v>
      </c>
      <c r="K55">
        <f>Table1[[#This Row],[oss]]*INDEX(Table3[k_OSS2ROP],MATCH(Table1[[#This Row],[site.plot]],Table3[site.plot],FALSE))</f>
        <v>0</v>
      </c>
      <c r="L55">
        <f>Table1[[#This Row],[srp]]*INDEX(Table5[k_SRP2LOP],MATCH(Table1[[#This Row],[site]],Table5[site],FALSE))</f>
        <v>1.5179559145439144E-2</v>
      </c>
      <c r="M55">
        <f>Table1[[#This Row],[iss]]*INDEX(Table5[k_ISS2PIP],MATCH(Table1[[#This Row],[site]],Table5[site],FALSE))</f>
        <v>2.153035086917764E-3</v>
      </c>
      <c r="N55">
        <f>Table1[[#This Row],[rop]]+Table1[[#This Row],[lop]]+Table1[[#This Row],[pip]]</f>
        <v>1.7332594232356908E-2</v>
      </c>
      <c r="O55">
        <f>(Table1[[#This Row],[nsrp_pred]]-Table1[[#This Row],[nsrp]])^2</f>
        <v>4.7864338365757276E-5</v>
      </c>
    </row>
    <row r="56" spans="1:15">
      <c r="A56" t="s">
        <v>15</v>
      </c>
      <c r="B56" t="s">
        <v>21</v>
      </c>
      <c r="C56">
        <v>1.6122000000000004E-2</v>
      </c>
      <c r="D56">
        <v>1</v>
      </c>
      <c r="E56">
        <v>0</v>
      </c>
      <c r="F56">
        <v>1</v>
      </c>
      <c r="G56">
        <v>2.6377999999999999E-2</v>
      </c>
      <c r="H56">
        <v>4.2500000000000003E-2</v>
      </c>
      <c r="I56">
        <v>1.6122000000000004E-2</v>
      </c>
      <c r="J56">
        <v>0.62065882352941171</v>
      </c>
      <c r="K56">
        <f>Table1[[#This Row],[oss]]*INDEX(Table3[k_OSS2ROP],MATCH(Table1[[#This Row],[site.plot]],Table3[site.plot],FALSE))</f>
        <v>5.9122096118727442E-3</v>
      </c>
      <c r="L56">
        <f>Table1[[#This Row],[srp]]*INDEX(Table5[k_SRP2LOP],MATCH(Table1[[#This Row],[site]],Table5[site],FALSE))</f>
        <v>1.9113390192295274E-2</v>
      </c>
      <c r="M56">
        <f>Table1[[#This Row],[iss]]*INDEX(Table5[k_ISS2PIP],MATCH(Table1[[#This Row],[site]],Table5[site],FALSE))</f>
        <v>0</v>
      </c>
      <c r="N56">
        <f>Table1[[#This Row],[rop]]+Table1[[#This Row],[lop]]+Table1[[#This Row],[pip]]</f>
        <v>2.5025599804168019E-2</v>
      </c>
      <c r="O56">
        <f>(Table1[[#This Row],[nsrp_pred]]-Table1[[#This Row],[nsrp]])^2</f>
        <v>7.927408947278072E-5</v>
      </c>
    </row>
    <row r="57" spans="1:15">
      <c r="A57" t="s">
        <v>15</v>
      </c>
      <c r="B57" t="s">
        <v>21</v>
      </c>
      <c r="C57">
        <v>2.0159950000000003E-2</v>
      </c>
      <c r="D57">
        <v>1.0526315789473684</v>
      </c>
      <c r="E57">
        <v>1.0526315789473684</v>
      </c>
      <c r="F57">
        <v>0</v>
      </c>
      <c r="G57">
        <v>2.0479000000000001E-2</v>
      </c>
      <c r="H57">
        <v>4.1700000000000001E-2</v>
      </c>
      <c r="I57">
        <v>2.1221E-2</v>
      </c>
      <c r="J57">
        <v>0.49110311750599522</v>
      </c>
      <c r="K57">
        <f>Table1[[#This Row],[oss]]*INDEX(Table3[k_OSS2ROP],MATCH(Table1[[#This Row],[site.plot]],Table3[site.plot],FALSE))</f>
        <v>0</v>
      </c>
      <c r="L57">
        <f>Table1[[#This Row],[srp]]*INDEX(Table5[k_SRP2LOP],MATCH(Table1[[#This Row],[site]],Table5[site],FALSE))</f>
        <v>1.4838999080598035E-2</v>
      </c>
      <c r="M57">
        <f>Table1[[#This Row],[iss]]*INDEX(Table5[k_ISS2PIP],MATCH(Table1[[#This Row],[site]],Table5[site],FALSE))</f>
        <v>2.2663527230713304E-3</v>
      </c>
      <c r="N57">
        <f>Table1[[#This Row],[rop]]+Table1[[#This Row],[lop]]+Table1[[#This Row],[pip]]</f>
        <v>1.7105351803669365E-2</v>
      </c>
      <c r="O57">
        <f>(Table1[[#This Row],[nsrp_pred]]-Table1[[#This Row],[nsrp]])^2</f>
        <v>1.6938560075959612E-5</v>
      </c>
    </row>
    <row r="58" spans="1:15">
      <c r="A58" t="s">
        <v>15</v>
      </c>
      <c r="B58" t="s">
        <v>21</v>
      </c>
      <c r="C58">
        <v>1.1393225E-2</v>
      </c>
      <c r="D58">
        <v>3.243243243243243</v>
      </c>
      <c r="E58">
        <v>1.0810810810810811</v>
      </c>
      <c r="F58">
        <v>2.1621621621621618</v>
      </c>
      <c r="G58">
        <v>4.3449000000000002E-2</v>
      </c>
      <c r="H58">
        <v>8.0399999999999999E-2</v>
      </c>
      <c r="I58">
        <v>3.6950999999999998E-2</v>
      </c>
      <c r="J58">
        <v>0.54041044776119407</v>
      </c>
      <c r="K58">
        <f>Table1[[#This Row],[oss]]*INDEX(Table3[k_OSS2ROP],MATCH(Table1[[#This Row],[site.plot]],Table3[site.plot],FALSE))</f>
        <v>1.2783155917562688E-2</v>
      </c>
      <c r="L58">
        <f>Table1[[#This Row],[srp]]*INDEX(Table5[k_SRP2LOP],MATCH(Table1[[#This Row],[site]],Table5[site],FALSE))</f>
        <v>3.1482966504853951E-2</v>
      </c>
      <c r="M58">
        <f>Table1[[#This Row],[iss]]*INDEX(Table5[k_ISS2PIP],MATCH(Table1[[#This Row],[site]],Table5[site],FALSE))</f>
        <v>2.3276054993705557E-3</v>
      </c>
      <c r="N58">
        <f>Table1[[#This Row],[rop]]+Table1[[#This Row],[lop]]+Table1[[#This Row],[pip]]</f>
        <v>4.6593727921787197E-2</v>
      </c>
      <c r="O58">
        <f>(Table1[[#This Row],[nsrp_pred]]-Table1[[#This Row],[nsrp]])^2</f>
        <v>9.2982201773614471E-5</v>
      </c>
    </row>
    <row r="59" spans="1:15">
      <c r="A59" t="s">
        <v>15</v>
      </c>
      <c r="B59" t="s">
        <v>21</v>
      </c>
      <c r="C59">
        <v>2.7803699999999997E-2</v>
      </c>
      <c r="D59">
        <v>1.1111111111111112</v>
      </c>
      <c r="E59">
        <v>1.1111111111111112</v>
      </c>
      <c r="F59">
        <v>0</v>
      </c>
      <c r="G59">
        <v>1.7507000000000002E-2</v>
      </c>
      <c r="H59">
        <v>4.8399999999999999E-2</v>
      </c>
      <c r="I59">
        <v>3.0892999999999997E-2</v>
      </c>
      <c r="J59">
        <v>0.36171487603305791</v>
      </c>
      <c r="K59">
        <f>Table1[[#This Row],[oss]]*INDEX(Table3[k_OSS2ROP],MATCH(Table1[[#This Row],[site.plot]],Table3[site.plot],FALSE))</f>
        <v>0</v>
      </c>
      <c r="L59">
        <f>Table1[[#This Row],[srp]]*INDEX(Table5[k_SRP2LOP],MATCH(Table1[[#This Row],[site]],Table5[site],FALSE))</f>
        <v>1.2685500117390001E-2</v>
      </c>
      <c r="M59">
        <f>Table1[[#This Row],[iss]]*INDEX(Table5[k_ISS2PIP],MATCH(Table1[[#This Row],[site]],Table5[site],FALSE))</f>
        <v>2.3922612076864047E-3</v>
      </c>
      <c r="N59">
        <f>Table1[[#This Row],[rop]]+Table1[[#This Row],[lop]]+Table1[[#This Row],[pip]]</f>
        <v>1.5077761325076405E-2</v>
      </c>
      <c r="O59">
        <f>(Table1[[#This Row],[nsrp_pred]]-Table1[[#This Row],[nsrp]])^2</f>
        <v>2.5012177434479891E-4</v>
      </c>
    </row>
    <row r="60" spans="1:15">
      <c r="A60" t="s">
        <v>15</v>
      </c>
      <c r="B60" t="s">
        <v>21</v>
      </c>
      <c r="C60">
        <v>7.9351124999999991E-3</v>
      </c>
      <c r="D60">
        <v>4.2105263157894735</v>
      </c>
      <c r="E60">
        <v>2.1052631578947367</v>
      </c>
      <c r="F60">
        <v>2.1052631578947367</v>
      </c>
      <c r="G60">
        <v>3.1489000000000003E-2</v>
      </c>
      <c r="H60">
        <v>6.4899999999999999E-2</v>
      </c>
      <c r="I60">
        <v>3.3410999999999996E-2</v>
      </c>
      <c r="J60">
        <v>0.48519260400616337</v>
      </c>
      <c r="K60">
        <f>Table1[[#This Row],[oss]]*INDEX(Table3[k_OSS2ROP],MATCH(Table1[[#This Row],[site.plot]],Table3[site.plot],FALSE))</f>
        <v>1.244675707762683E-2</v>
      </c>
      <c r="L60">
        <f>Table1[[#This Row],[srp]]*INDEX(Table5[k_SRP2LOP],MATCH(Table1[[#This Row],[site]],Table5[site],FALSE))</f>
        <v>2.2816799748471683E-2</v>
      </c>
      <c r="M60">
        <f>Table1[[#This Row],[iss]]*INDEX(Table5[k_ISS2PIP],MATCH(Table1[[#This Row],[site]],Table5[site],FALSE))</f>
        <v>4.5327054461426607E-3</v>
      </c>
      <c r="N60">
        <f>Table1[[#This Row],[rop]]+Table1[[#This Row],[lop]]+Table1[[#This Row],[pip]]</f>
        <v>3.9796262272241173E-2</v>
      </c>
      <c r="O60">
        <f>(Table1[[#This Row],[nsrp_pred]]-Table1[[#This Row],[nsrp]])^2</f>
        <v>4.0771574285306558E-5</v>
      </c>
    </row>
    <row r="61" spans="1:15">
      <c r="A61" t="s">
        <v>15</v>
      </c>
      <c r="B61" t="s">
        <v>21</v>
      </c>
      <c r="C61">
        <v>8.8439812499999972E-3</v>
      </c>
      <c r="D61">
        <v>4.1025641025641031</v>
      </c>
      <c r="E61">
        <v>2.0512820512820515</v>
      </c>
      <c r="F61">
        <v>2.0512820512820515</v>
      </c>
      <c r="G61">
        <v>2.3016999999999999E-2</v>
      </c>
      <c r="H61">
        <v>5.9299999999999999E-2</v>
      </c>
      <c r="I61">
        <v>3.6282999999999996E-2</v>
      </c>
      <c r="J61">
        <v>0.38814502529510964</v>
      </c>
      <c r="K61">
        <f>Table1[[#This Row],[oss]]*INDEX(Table3[k_OSS2ROP],MATCH(Table1[[#This Row],[site.plot]],Table3[site.plot],FALSE))</f>
        <v>1.2127609460251784E-2</v>
      </c>
      <c r="L61">
        <f>Table1[[#This Row],[srp]]*INDEX(Table5[k_SRP2LOP],MATCH(Table1[[#This Row],[site]],Table5[site],FALSE))</f>
        <v>1.6678023430740024E-2</v>
      </c>
      <c r="M61">
        <f>Table1[[#This Row],[iss]]*INDEX(Table5[k_ISS2PIP],MATCH(Table1[[#This Row],[site]],Table5[site],FALSE))</f>
        <v>4.416482229574901E-3</v>
      </c>
      <c r="N61">
        <f>Table1[[#This Row],[rop]]+Table1[[#This Row],[lop]]+Table1[[#This Row],[pip]]</f>
        <v>3.3222115120566706E-2</v>
      </c>
      <c r="O61">
        <f>(Table1[[#This Row],[nsrp_pred]]-Table1[[#This Row],[nsrp]])^2</f>
        <v>9.3690162451433459E-6</v>
      </c>
    </row>
    <row r="62" spans="1:15">
      <c r="A62" t="s">
        <v>26</v>
      </c>
      <c r="B62" t="s">
        <v>22</v>
      </c>
      <c r="C62">
        <v>1.0859897260274017E-3</v>
      </c>
      <c r="D62">
        <v>121.66666666666616</v>
      </c>
      <c r="E62">
        <v>113.88888888888837</v>
      </c>
      <c r="F62">
        <v>7.7777777777777857</v>
      </c>
      <c r="G62">
        <v>3.0839999999999999E-2</v>
      </c>
      <c r="H62">
        <v>0.16296875</v>
      </c>
      <c r="I62">
        <v>0.13212874999999999</v>
      </c>
      <c r="J62">
        <v>0.18923873441994246</v>
      </c>
      <c r="K62">
        <f>Table1[[#This Row],[oss]]*INDEX(Table3[k_OSS2ROP],MATCH(Table1[[#This Row],[site.plot]],Table3[site.plot],FALSE))</f>
        <v>5.6605509383737427E-3</v>
      </c>
      <c r="L62">
        <f>Table1[[#This Row],[srp]]*INDEX(Table5[k_SRP2LOP],MATCH(Table1[[#This Row],[site]],Table5[site],FALSE))</f>
        <v>2.5512831086189881E-2</v>
      </c>
      <c r="M62">
        <f>Table1[[#This Row],[iss]]*INDEX(Table5[k_ISS2PIP],MATCH(Table1[[#This Row],[site]],Table5[site],FALSE))</f>
        <v>0.10215677727184443</v>
      </c>
      <c r="N62">
        <f>Table1[[#This Row],[rop]]+Table1[[#This Row],[lop]]+Table1[[#This Row],[pip]]</f>
        <v>0.13333015929640804</v>
      </c>
      <c r="O62">
        <f>(Table1[[#This Row],[nsrp_pred]]-Table1[[#This Row],[nsrp]])^2</f>
        <v>1.4433842974956891E-6</v>
      </c>
    </row>
    <row r="63" spans="1:15">
      <c r="A63" t="s">
        <v>26</v>
      </c>
      <c r="B63" t="s">
        <v>22</v>
      </c>
      <c r="C63">
        <v>9.574805194805195E-4</v>
      </c>
      <c r="D63">
        <v>96.25</v>
      </c>
      <c r="E63">
        <v>88.75</v>
      </c>
      <c r="F63">
        <v>7.5</v>
      </c>
      <c r="G63">
        <v>2.3779999999999999E-2</v>
      </c>
      <c r="H63">
        <v>0.1159375</v>
      </c>
      <c r="I63">
        <v>9.2157500000000003E-2</v>
      </c>
      <c r="J63">
        <v>0.20511051212938006</v>
      </c>
      <c r="K63">
        <f>Table1[[#This Row],[oss]]*INDEX(Table3[k_OSS2ROP],MATCH(Table1[[#This Row],[site.plot]],Table3[site.plot],FALSE))</f>
        <v>5.4583884048603889E-3</v>
      </c>
      <c r="L63">
        <f>Table1[[#This Row],[srp]]*INDEX(Table5[k_SRP2LOP],MATCH(Table1[[#This Row],[site]],Table5[site],FALSE))</f>
        <v>1.9672345111206076E-2</v>
      </c>
      <c r="M63">
        <f>Table1[[#This Row],[iss]]*INDEX(Table5[k_ISS2PIP],MATCH(Table1[[#This Row],[site]],Table5[site],FALSE))</f>
        <v>7.9607537410620585E-2</v>
      </c>
      <c r="N63">
        <f>Table1[[#This Row],[rop]]+Table1[[#This Row],[lop]]+Table1[[#This Row],[pip]]</f>
        <v>0.10473827092668705</v>
      </c>
      <c r="O63">
        <f>(Table1[[#This Row],[nsrp_pred]]-Table1[[#This Row],[nsrp]])^2</f>
        <v>1.5827579710977417E-4</v>
      </c>
    </row>
    <row r="64" spans="1:15">
      <c r="A64" t="s">
        <v>26</v>
      </c>
      <c r="B64" t="s">
        <v>22</v>
      </c>
      <c r="C64">
        <v>9.2215384615384631E-4</v>
      </c>
      <c r="D64">
        <v>14.444444444444445</v>
      </c>
      <c r="E64">
        <v>14.444444444444445</v>
      </c>
      <c r="F64">
        <v>0</v>
      </c>
      <c r="G64">
        <v>1.3979999999999999E-2</v>
      </c>
      <c r="H64">
        <v>2.7300000000000001E-2</v>
      </c>
      <c r="I64">
        <v>1.3320000000000002E-2</v>
      </c>
      <c r="J64">
        <v>0.51208791208791204</v>
      </c>
      <c r="K64">
        <f>Table1[[#This Row],[oss]]*INDEX(Table3[k_OSS2ROP],MATCH(Table1[[#This Row],[site.plot]],Table3[site.plot],FALSE))</f>
        <v>0</v>
      </c>
      <c r="L64">
        <f>Table1[[#This Row],[srp]]*INDEX(Table5[k_SRP2LOP],MATCH(Table1[[#This Row],[site]],Table5[site],FALSE))</f>
        <v>1.1565154947630822E-2</v>
      </c>
      <c r="M64">
        <f>Table1[[#This Row],[iss]]*INDEX(Table5[k_ISS2PIP],MATCH(Table1[[#This Row],[site]],Table5[site],FALSE))</f>
        <v>1.2956469312526669E-2</v>
      </c>
      <c r="N64">
        <f>Table1[[#This Row],[rop]]+Table1[[#This Row],[lop]]+Table1[[#This Row],[pip]]</f>
        <v>2.4521624260157492E-2</v>
      </c>
      <c r="O64">
        <f>(Table1[[#This Row],[nsrp_pred]]-Table1[[#This Row],[nsrp]])^2</f>
        <v>1.2547638606574883E-4</v>
      </c>
    </row>
    <row r="65" spans="1:15">
      <c r="A65" t="s">
        <v>26</v>
      </c>
      <c r="B65" t="s">
        <v>22</v>
      </c>
      <c r="C65">
        <v>1.0638235294117646E-3</v>
      </c>
      <c r="D65">
        <v>34</v>
      </c>
      <c r="E65">
        <v>34</v>
      </c>
      <c r="F65">
        <v>0</v>
      </c>
      <c r="G65">
        <v>2.163E-2</v>
      </c>
      <c r="H65">
        <v>5.7799999999999997E-2</v>
      </c>
      <c r="I65">
        <v>3.6169999999999994E-2</v>
      </c>
      <c r="J65">
        <v>0.37422145328719725</v>
      </c>
      <c r="K65">
        <f>Table1[[#This Row],[oss]]*INDEX(Table3[k_OSS2ROP],MATCH(Table1[[#This Row],[site.plot]],Table3[site.plot],FALSE))</f>
        <v>0</v>
      </c>
      <c r="L65">
        <f>Table1[[#This Row],[srp]]*INDEX(Table5[k_SRP2LOP],MATCH(Table1[[#This Row],[site]],Table5[site],FALSE))</f>
        <v>1.7893726861033955E-2</v>
      </c>
      <c r="M65">
        <f>Table1[[#This Row],[iss]]*INDEX(Table5[k_ISS2PIP],MATCH(Table1[[#This Row],[site]],Table5[site],FALSE))</f>
        <v>3.0497535458716619E-2</v>
      </c>
      <c r="N65">
        <f>Table1[[#This Row],[rop]]+Table1[[#This Row],[lop]]+Table1[[#This Row],[pip]]</f>
        <v>4.8391262319750578E-2</v>
      </c>
      <c r="O65">
        <f>(Table1[[#This Row],[nsrp_pred]]-Table1[[#This Row],[nsrp]])^2</f>
        <v>1.4935925268815542E-4</v>
      </c>
    </row>
    <row r="66" spans="1:15">
      <c r="A66" t="s">
        <v>26</v>
      </c>
      <c r="B66" t="s">
        <v>22</v>
      </c>
      <c r="C66">
        <v>1.4419607843137257E-3</v>
      </c>
      <c r="D66">
        <v>51</v>
      </c>
      <c r="E66">
        <v>48.5</v>
      </c>
      <c r="F66">
        <v>2.5</v>
      </c>
      <c r="G66">
        <v>1.8159999999999999E-2</v>
      </c>
      <c r="H66">
        <v>9.1700000000000004E-2</v>
      </c>
      <c r="I66">
        <v>7.3540000000000008E-2</v>
      </c>
      <c r="J66">
        <v>0.19803707742639037</v>
      </c>
      <c r="K66">
        <f>Table1[[#This Row],[oss]]*INDEX(Table3[k_OSS2ROP],MATCH(Table1[[#This Row],[site.plot]],Table3[site.plot],FALSE))</f>
        <v>1.8194628016201296E-3</v>
      </c>
      <c r="L66">
        <f>Table1[[#This Row],[srp]]*INDEX(Table5[k_SRP2LOP],MATCH(Table1[[#This Row],[site]],Table5[site],FALSE))</f>
        <v>1.5023119731686388E-2</v>
      </c>
      <c r="M66">
        <f>Table1[[#This Row],[iss]]*INDEX(Table5[k_ISS2PIP],MATCH(Table1[[#This Row],[site]],Table5[site],FALSE))</f>
        <v>4.3503837345522239E-2</v>
      </c>
      <c r="N66">
        <f>Table1[[#This Row],[rop]]+Table1[[#This Row],[lop]]+Table1[[#This Row],[pip]]</f>
        <v>6.0346419878828758E-2</v>
      </c>
      <c r="O66">
        <f>(Table1[[#This Row],[nsrp_pred]]-Table1[[#This Row],[nsrp]])^2</f>
        <v>1.7407055641376518E-4</v>
      </c>
    </row>
    <row r="67" spans="1:15">
      <c r="A67" t="s">
        <v>26</v>
      </c>
      <c r="B67" t="s">
        <v>22</v>
      </c>
      <c r="C67">
        <v>1.2584466019417474E-3</v>
      </c>
      <c r="D67">
        <v>51.5</v>
      </c>
      <c r="E67">
        <v>48</v>
      </c>
      <c r="F67">
        <v>3.5</v>
      </c>
      <c r="G67">
        <v>2.2689999999999998E-2</v>
      </c>
      <c r="H67">
        <v>8.7499999999999994E-2</v>
      </c>
      <c r="I67">
        <v>6.4809999999999993E-2</v>
      </c>
      <c r="J67">
        <v>0.25931428571428572</v>
      </c>
      <c r="K67">
        <f>Table1[[#This Row],[oss]]*INDEX(Table3[k_OSS2ROP],MATCH(Table1[[#This Row],[site.plot]],Table3[site.plot],FALSE))</f>
        <v>2.5472479222681814E-3</v>
      </c>
      <c r="L67">
        <f>Table1[[#This Row],[srp]]*INDEX(Table5[k_SRP2LOP],MATCH(Table1[[#This Row],[site]],Table5[site],FALSE))</f>
        <v>1.8770627021583931E-2</v>
      </c>
      <c r="M67">
        <f>Table1[[#This Row],[iss]]*INDEX(Table5[k_ISS2PIP],MATCH(Table1[[#This Row],[site]],Table5[site],FALSE))</f>
        <v>4.3055344177011699E-2</v>
      </c>
      <c r="N67">
        <f>Table1[[#This Row],[rop]]+Table1[[#This Row],[lop]]+Table1[[#This Row],[pip]]</f>
        <v>6.4373219120863814E-2</v>
      </c>
      <c r="O67">
        <f>(Table1[[#This Row],[nsrp_pred]]-Table1[[#This Row],[nsrp]])^2</f>
        <v>1.9077753637897276E-7</v>
      </c>
    </row>
    <row r="68" spans="1:15">
      <c r="A68" t="s">
        <v>26</v>
      </c>
      <c r="B68" t="s">
        <v>22</v>
      </c>
      <c r="C68">
        <v>1.8362999999999999E-3</v>
      </c>
      <c r="D68">
        <v>23.333333333333332</v>
      </c>
      <c r="E68">
        <v>20</v>
      </c>
      <c r="F68">
        <v>3.3333333333333321</v>
      </c>
      <c r="G68">
        <v>1.2052999999999999E-2</v>
      </c>
      <c r="H68">
        <v>5.4899999999999997E-2</v>
      </c>
      <c r="I68">
        <v>4.2846999999999996E-2</v>
      </c>
      <c r="J68">
        <v>0.21954462659380691</v>
      </c>
      <c r="K68">
        <f>Table1[[#This Row],[oss]]*INDEX(Table3[k_OSS2ROP],MATCH(Table1[[#This Row],[site.plot]],Table3[site.plot],FALSE))</f>
        <v>2.425950402160172E-3</v>
      </c>
      <c r="L68">
        <f>Table1[[#This Row],[srp]]*INDEX(Table5[k_SRP2LOP],MATCH(Table1[[#This Row],[site]],Table5[site],FALSE))</f>
        <v>9.9710166368951574E-3</v>
      </c>
      <c r="M68">
        <f>Table1[[#This Row],[iss]]*INDEX(Table5[k_ISS2PIP],MATCH(Table1[[#This Row],[site]],Table5[site],FALSE))</f>
        <v>1.793972674042154E-2</v>
      </c>
      <c r="N68">
        <f>Table1[[#This Row],[rop]]+Table1[[#This Row],[lop]]+Table1[[#This Row],[pip]]</f>
        <v>3.033669377947687E-2</v>
      </c>
      <c r="O68">
        <f>(Table1[[#This Row],[nsrp_pred]]-Table1[[#This Row],[nsrp]])^2</f>
        <v>1.5650776173125962E-4</v>
      </c>
    </row>
    <row r="69" spans="1:15">
      <c r="A69" t="s">
        <v>26</v>
      </c>
      <c r="B69" t="s">
        <v>22</v>
      </c>
      <c r="C69">
        <v>5.823973770491803E-4</v>
      </c>
      <c r="D69">
        <v>169.44444444444446</v>
      </c>
      <c r="E69">
        <v>32.222222222222221</v>
      </c>
      <c r="F69">
        <v>137.22222222222223</v>
      </c>
      <c r="G69">
        <v>1.6316000000000001E-2</v>
      </c>
      <c r="H69">
        <v>0.115</v>
      </c>
      <c r="I69">
        <v>9.8684000000000008E-2</v>
      </c>
      <c r="J69">
        <v>0.1418782608695652</v>
      </c>
      <c r="K69">
        <f>Table1[[#This Row],[oss]]*INDEX(Table3[k_OSS2ROP],MATCH(Table1[[#This Row],[site.plot]],Table3[site.plot],FALSE))</f>
        <v>9.9868291555593791E-2</v>
      </c>
      <c r="L69">
        <f>Table1[[#This Row],[srp]]*INDEX(Table5[k_SRP2LOP],MATCH(Table1[[#This Row],[site]],Table5[site],FALSE))</f>
        <v>1.3497644358050393E-2</v>
      </c>
      <c r="M69">
        <f>Table1[[#This Row],[iss]]*INDEX(Table5[k_ISS2PIP],MATCH(Table1[[#This Row],[site]],Table5[site],FALSE))</f>
        <v>2.8902893081790261E-2</v>
      </c>
      <c r="N69">
        <f>Table1[[#This Row],[rop]]+Table1[[#This Row],[lop]]+Table1[[#This Row],[pip]]</f>
        <v>0.14226882899543444</v>
      </c>
      <c r="O69">
        <f>(Table1[[#This Row],[nsrp_pred]]-Table1[[#This Row],[nsrp]])^2</f>
        <v>1.8996373185612622E-3</v>
      </c>
    </row>
    <row r="70" spans="1:15">
      <c r="A70" t="s">
        <v>26</v>
      </c>
      <c r="B70" t="s">
        <v>22</v>
      </c>
      <c r="C70">
        <v>1.0577368421052632E-3</v>
      </c>
      <c r="D70">
        <v>42.222222222222221</v>
      </c>
      <c r="E70">
        <v>5.5555555555555571</v>
      </c>
      <c r="F70">
        <v>36.666666666666664</v>
      </c>
      <c r="G70">
        <v>1.554E-2</v>
      </c>
      <c r="H70">
        <v>6.0200000000000004E-2</v>
      </c>
      <c r="I70">
        <v>4.4660000000000005E-2</v>
      </c>
      <c r="J70">
        <v>0.25813953488372093</v>
      </c>
      <c r="K70">
        <f>Table1[[#This Row],[oss]]*INDEX(Table3[k_OSS2ROP],MATCH(Table1[[#This Row],[site.plot]],Table3[site.plot],FALSE))</f>
        <v>2.6685454423761901E-2</v>
      </c>
      <c r="L70">
        <f>Table1[[#This Row],[srp]]*INDEX(Table5[k_SRP2LOP],MATCH(Table1[[#This Row],[site]],Table5[site],FALSE))</f>
        <v>1.2855687259383618E-2</v>
      </c>
      <c r="M70">
        <f>Table1[[#This Row],[iss]]*INDEX(Table5[k_ISS2PIP],MATCH(Table1[[#This Row],[site]],Table5[site],FALSE))</f>
        <v>4.9832574278948737E-3</v>
      </c>
      <c r="N70">
        <f>Table1[[#This Row],[rop]]+Table1[[#This Row],[lop]]+Table1[[#This Row],[pip]]</f>
        <v>4.4524399111040391E-2</v>
      </c>
      <c r="O70">
        <f>(Table1[[#This Row],[nsrp_pred]]-Table1[[#This Row],[nsrp]])^2</f>
        <v>1.8387601086637528E-8</v>
      </c>
    </row>
    <row r="71" spans="1:15">
      <c r="A71" t="s">
        <v>26</v>
      </c>
      <c r="B71" t="s">
        <v>22</v>
      </c>
      <c r="C71">
        <v>2.6378749999999996E-3</v>
      </c>
      <c r="D71">
        <v>8</v>
      </c>
      <c r="E71">
        <v>1</v>
      </c>
      <c r="F71">
        <v>7</v>
      </c>
      <c r="G71">
        <v>1.5197E-2</v>
      </c>
      <c r="H71">
        <v>3.6299999999999999E-2</v>
      </c>
      <c r="I71">
        <v>2.1102999999999997E-2</v>
      </c>
      <c r="J71">
        <v>0.41865013774104687</v>
      </c>
      <c r="K71">
        <f>Table1[[#This Row],[oss]]*INDEX(Table3[k_OSS2ROP],MATCH(Table1[[#This Row],[site.plot]],Table3[site.plot],FALSE))</f>
        <v>5.0944958445363628E-3</v>
      </c>
      <c r="L71">
        <f>Table1[[#This Row],[srp]]*INDEX(Table5[k_SRP2LOP],MATCH(Table1[[#This Row],[site]],Table5[site],FALSE))</f>
        <v>1.2571935603658484E-2</v>
      </c>
      <c r="M71">
        <f>Table1[[#This Row],[iss]]*INDEX(Table5[k_ISS2PIP],MATCH(Table1[[#This Row],[site]],Table5[site],FALSE))</f>
        <v>8.9698633702107707E-4</v>
      </c>
      <c r="N71">
        <f>Table1[[#This Row],[rop]]+Table1[[#This Row],[lop]]+Table1[[#This Row],[pip]]</f>
        <v>1.8563417785215922E-2</v>
      </c>
      <c r="O71">
        <f>(Table1[[#This Row],[nsrp_pred]]-Table1[[#This Row],[nsrp]])^2</f>
        <v>6.4494778256475848E-6</v>
      </c>
    </row>
    <row r="72" spans="1:15">
      <c r="A72" t="s">
        <v>26</v>
      </c>
      <c r="B72" t="s">
        <v>22</v>
      </c>
      <c r="C72">
        <v>1.3761799999999996E-3</v>
      </c>
      <c r="D72">
        <v>7.6923076923076925</v>
      </c>
      <c r="E72">
        <v>2.0512820512820511</v>
      </c>
      <c r="F72">
        <v>5.6410256410256414</v>
      </c>
      <c r="G72">
        <v>1.8114000000000002E-2</v>
      </c>
      <c r="H72">
        <v>2.87E-2</v>
      </c>
      <c r="I72">
        <v>1.0585999999999998E-2</v>
      </c>
      <c r="J72">
        <v>0.63114982578397216</v>
      </c>
      <c r="K72">
        <f>Table1[[#This Row],[oss]]*INDEX(Table3[k_OSS2ROP],MATCH(Table1[[#This Row],[site.plot]],Table3[site.plot],FALSE))</f>
        <v>4.1054545267326008E-3</v>
      </c>
      <c r="L72">
        <f>Table1[[#This Row],[srp]]*INDEX(Table5[k_SRP2LOP],MATCH(Table1[[#This Row],[site]],Table5[site],FALSE))</f>
        <v>1.4985065573775732E-2</v>
      </c>
      <c r="M72">
        <f>Table1[[#This Row],[iss]]*INDEX(Table5[k_ISS2PIP],MATCH(Table1[[#This Row],[site]],Table5[site],FALSE))</f>
        <v>1.8399719733765683E-3</v>
      </c>
      <c r="N72">
        <f>Table1[[#This Row],[rop]]+Table1[[#This Row],[lop]]+Table1[[#This Row],[pip]]</f>
        <v>2.0930492073884904E-2</v>
      </c>
      <c r="O72">
        <f>(Table1[[#This Row],[nsrp_pred]]-Table1[[#This Row],[nsrp]])^2</f>
        <v>1.0700851626666763E-4</v>
      </c>
    </row>
    <row r="73" spans="1:15">
      <c r="A73" t="s">
        <v>26</v>
      </c>
      <c r="B73" t="s">
        <v>22</v>
      </c>
      <c r="C73">
        <v>1.8376312499999994E-3</v>
      </c>
      <c r="D73">
        <v>4.1025641025641031</v>
      </c>
      <c r="E73">
        <v>6.1538461538461551</v>
      </c>
      <c r="F73">
        <v>-2.0512820512820515</v>
      </c>
      <c r="G73">
        <v>1.3261E-2</v>
      </c>
      <c r="H73">
        <v>2.0799999999999999E-2</v>
      </c>
      <c r="I73">
        <v>7.5389999999999988E-3</v>
      </c>
      <c r="J73">
        <v>0.63754807692307691</v>
      </c>
      <c r="K73">
        <f>Table1[[#This Row],[oss]]*INDEX(Table3[k_OSS2ROP],MATCH(Table1[[#This Row],[site.plot]],Table3[site.plot],FALSE))</f>
        <v>-1.4928925551754913E-3</v>
      </c>
      <c r="L73">
        <f>Table1[[#This Row],[srp]]*INDEX(Table5[k_SRP2LOP],MATCH(Table1[[#This Row],[site]],Table5[site],FALSE))</f>
        <v>1.0970351914201168E-2</v>
      </c>
      <c r="M73">
        <f>Table1[[#This Row],[iss]]*INDEX(Table5[k_ISS2PIP],MATCH(Table1[[#This Row],[site]],Table5[site],FALSE))</f>
        <v>5.5199159201297062E-3</v>
      </c>
      <c r="N73">
        <f>Table1[[#This Row],[rop]]+Table1[[#This Row],[lop]]+Table1[[#This Row],[pip]]</f>
        <v>1.4997375279155383E-2</v>
      </c>
      <c r="O73">
        <f>(Table1[[#This Row],[nsrp_pred]]-Table1[[#This Row],[nsrp]])^2</f>
        <v>5.5627361804716159E-5</v>
      </c>
    </row>
    <row r="74" spans="1:15">
      <c r="A74" t="s">
        <v>26</v>
      </c>
      <c r="B74" t="s">
        <v>22</v>
      </c>
      <c r="C74">
        <v>1.574487777777778E-3</v>
      </c>
      <c r="D74">
        <v>18</v>
      </c>
      <c r="E74">
        <v>2</v>
      </c>
      <c r="F74">
        <v>16</v>
      </c>
      <c r="G74">
        <v>1.2592199999999999E-3</v>
      </c>
      <c r="H74">
        <v>2.9600000000000001E-2</v>
      </c>
      <c r="I74">
        <v>2.8340780000000003E-2</v>
      </c>
      <c r="J74">
        <v>4.2541216216216211E-2</v>
      </c>
      <c r="K74">
        <f>Table1[[#This Row],[oss]]*INDEX(Table3[k_OSS2ROP],MATCH(Table1[[#This Row],[site.plot]],Table3[site.plot],FALSE))</f>
        <v>1.164456193036883E-2</v>
      </c>
      <c r="L74">
        <f>Table1[[#This Row],[srp]]*INDEX(Table5[k_SRP2LOP],MATCH(Table1[[#This Row],[site]],Table5[site],FALSE))</f>
        <v>1.0417077548752277E-3</v>
      </c>
      <c r="M74">
        <f>Table1[[#This Row],[iss]]*INDEX(Table5[k_ISS2PIP],MATCH(Table1[[#This Row],[site]],Table5[site],FALSE))</f>
        <v>1.7939726740421541E-3</v>
      </c>
      <c r="N74">
        <f>Table1[[#This Row],[rop]]+Table1[[#This Row],[lop]]+Table1[[#This Row],[pip]]</f>
        <v>1.4480242359286213E-2</v>
      </c>
      <c r="O74">
        <f>(Table1[[#This Row],[nsrp_pred]]-Table1[[#This Row],[nsrp]])^2</f>
        <v>1.921145036896438E-4</v>
      </c>
    </row>
    <row r="75" spans="1:15">
      <c r="A75" t="s">
        <v>26</v>
      </c>
      <c r="B75" t="s">
        <v>22</v>
      </c>
      <c r="C75">
        <v>1.279669464285714E-3</v>
      </c>
      <c r="D75">
        <v>112.00000000000001</v>
      </c>
      <c r="E75">
        <v>11.666666666666671</v>
      </c>
      <c r="F75">
        <v>100.33333333333334</v>
      </c>
      <c r="G75">
        <v>3.67702E-3</v>
      </c>
      <c r="H75">
        <v>0.14699999999999999</v>
      </c>
      <c r="I75">
        <v>0.14332297999999999</v>
      </c>
      <c r="J75">
        <v>2.501374149659864E-2</v>
      </c>
      <c r="K75">
        <f>Table1[[#This Row],[oss]]*INDEX(Table3[k_OSS2ROP],MATCH(Table1[[#This Row],[site.plot]],Table3[site.plot],FALSE))</f>
        <v>7.3021107105021216E-2</v>
      </c>
      <c r="L75">
        <f>Table1[[#This Row],[srp]]*INDEX(Table5[k_SRP2LOP],MATCH(Table1[[#This Row],[site]],Table5[site],FALSE))</f>
        <v>3.0418673852315799E-3</v>
      </c>
      <c r="M75">
        <f>Table1[[#This Row],[iss]]*INDEX(Table5[k_ISS2PIP],MATCH(Table1[[#This Row],[site]],Table5[site],FALSE))</f>
        <v>1.0464840598579236E-2</v>
      </c>
      <c r="N75">
        <f>Table1[[#This Row],[rop]]+Table1[[#This Row],[lop]]+Table1[[#This Row],[pip]]</f>
        <v>8.6527815088832033E-2</v>
      </c>
      <c r="O75">
        <f>(Table1[[#This Row],[nsrp_pred]]-Table1[[#This Row],[nsrp]])^2</f>
        <v>3.2256907572867639E-3</v>
      </c>
    </row>
    <row r="76" spans="1:15">
      <c r="A76" t="s">
        <v>26</v>
      </c>
      <c r="B76" t="s">
        <v>22</v>
      </c>
      <c r="C76">
        <v>1.1589953488372092E-3</v>
      </c>
      <c r="D76">
        <v>80.625</v>
      </c>
      <c r="E76">
        <v>5</v>
      </c>
      <c r="F76">
        <v>75.625</v>
      </c>
      <c r="G76">
        <v>7.5560000000000002E-3</v>
      </c>
      <c r="H76">
        <v>0.10100000000000001</v>
      </c>
      <c r="I76">
        <v>9.3443999999999999E-2</v>
      </c>
      <c r="J76">
        <v>7.4811881188118809E-2</v>
      </c>
      <c r="K76">
        <f>Table1[[#This Row],[oss]]*INDEX(Table3[k_OSS2ROP],MATCH(Table1[[#This Row],[site.plot]],Table3[site.plot],FALSE))</f>
        <v>5.5038749749008922E-2</v>
      </c>
      <c r="L76">
        <f>Table1[[#This Row],[srp]]*INDEX(Table5[k_SRP2LOP],MATCH(Table1[[#This Row],[site]],Table5[site],FALSE))</f>
        <v>6.2508090689770025E-3</v>
      </c>
      <c r="M76">
        <f>Table1[[#This Row],[iss]]*INDEX(Table5[k_ISS2PIP],MATCH(Table1[[#This Row],[site]],Table5[site],FALSE))</f>
        <v>4.4849316851053849E-3</v>
      </c>
      <c r="N76">
        <f>Table1[[#This Row],[rop]]+Table1[[#This Row],[lop]]+Table1[[#This Row],[pip]]</f>
        <v>6.577449050309131E-2</v>
      </c>
      <c r="O76">
        <f>(Table1[[#This Row],[nsrp_pred]]-Table1[[#This Row],[nsrp]])^2</f>
        <v>7.6560175579952017E-4</v>
      </c>
    </row>
    <row r="77" spans="1:15">
      <c r="A77" t="s">
        <v>26</v>
      </c>
      <c r="B77" t="s">
        <v>22</v>
      </c>
      <c r="C77">
        <v>6.179147727272728E-4</v>
      </c>
      <c r="D77">
        <v>58.666666666666664</v>
      </c>
      <c r="E77">
        <v>2.2222222222222214</v>
      </c>
      <c r="F77">
        <v>56.444444444444443</v>
      </c>
      <c r="G77">
        <v>3.7948999999999997E-2</v>
      </c>
      <c r="H77">
        <v>7.4200000000000002E-2</v>
      </c>
      <c r="I77">
        <v>3.6251000000000005E-2</v>
      </c>
      <c r="J77">
        <v>0.51144204851752018</v>
      </c>
      <c r="K77">
        <f>Table1[[#This Row],[oss]]*INDEX(Table3[k_OSS2ROP],MATCH(Table1[[#This Row],[site.plot]],Table3[site.plot],FALSE))</f>
        <v>4.1079426809912258E-2</v>
      </c>
      <c r="L77">
        <f>Table1[[#This Row],[srp]]*INDEX(Table5[k_SRP2LOP],MATCH(Table1[[#This Row],[site]],Table5[site],FALSE))</f>
        <v>3.139385301199156E-2</v>
      </c>
      <c r="M77">
        <f>Table1[[#This Row],[iss]]*INDEX(Table5[k_ISS2PIP],MATCH(Table1[[#This Row],[site]],Table5[site],FALSE))</f>
        <v>1.9933029711579485E-3</v>
      </c>
      <c r="N77">
        <f>Table1[[#This Row],[rop]]+Table1[[#This Row],[lop]]+Table1[[#This Row],[pip]]</f>
        <v>7.4466582793061772E-2</v>
      </c>
      <c r="O77">
        <f>(Table1[[#This Row],[nsrp_pred]]-Table1[[#This Row],[nsrp]])^2</f>
        <v>1.4604307682133586E-3</v>
      </c>
    </row>
    <row r="78" spans="1:15">
      <c r="A78" t="s">
        <v>26</v>
      </c>
      <c r="B78" t="s">
        <v>22</v>
      </c>
      <c r="C78">
        <v>9.4863894967177234E-4</v>
      </c>
      <c r="D78">
        <v>57.125</v>
      </c>
      <c r="E78">
        <v>3.75</v>
      </c>
      <c r="F78">
        <v>53.375</v>
      </c>
      <c r="G78">
        <v>9.2090000000000002E-3</v>
      </c>
      <c r="H78">
        <v>6.3399999999999998E-2</v>
      </c>
      <c r="I78">
        <v>5.4190999999999996E-2</v>
      </c>
      <c r="J78">
        <v>0.14525236593059937</v>
      </c>
      <c r="K78">
        <f>Table1[[#This Row],[oss]]*INDEX(Table3[k_OSS2ROP],MATCH(Table1[[#This Row],[site.plot]],Table3[site.plot],FALSE))</f>
        <v>3.8845530814589767E-2</v>
      </c>
      <c r="L78">
        <f>Table1[[#This Row],[srp]]*INDEX(Table5[k_SRP2LOP],MATCH(Table1[[#This Row],[site]],Table5[site],FALSE))</f>
        <v>7.618276960853522E-3</v>
      </c>
      <c r="M78">
        <f>Table1[[#This Row],[iss]]*INDEX(Table5[k_ISS2PIP],MATCH(Table1[[#This Row],[site]],Table5[site],FALSE))</f>
        <v>3.3636987638290391E-3</v>
      </c>
      <c r="N78">
        <f>Table1[[#This Row],[rop]]+Table1[[#This Row],[lop]]+Table1[[#This Row],[pip]]</f>
        <v>4.9827506539272329E-2</v>
      </c>
      <c r="O78">
        <f>(Table1[[#This Row],[nsrp_pred]]-Table1[[#This Row],[nsrp]])^2</f>
        <v>1.9040075181813114E-5</v>
      </c>
    </row>
    <row r="79" spans="1:15">
      <c r="A79" t="s">
        <v>26</v>
      </c>
      <c r="B79" t="s">
        <v>22</v>
      </c>
      <c r="C79">
        <v>1.1442523809523809E-3</v>
      </c>
      <c r="D79">
        <v>11.052631578947368</v>
      </c>
      <c r="E79">
        <v>1.0526315789473681</v>
      </c>
      <c r="F79">
        <v>10</v>
      </c>
      <c r="G79">
        <v>9.2530000000000008E-3</v>
      </c>
      <c r="H79">
        <v>2.1899999999999999E-2</v>
      </c>
      <c r="I79">
        <v>1.2646999999999999E-2</v>
      </c>
      <c r="J79">
        <v>0.42251141552511423</v>
      </c>
      <c r="K79">
        <f>Table1[[#This Row],[oss]]*INDEX(Table3[k_OSS2ROP],MATCH(Table1[[#This Row],[site.plot]],Table3[site.plot],FALSE))</f>
        <v>7.2778512064805186E-3</v>
      </c>
      <c r="L79">
        <f>Table1[[#This Row],[srp]]*INDEX(Table5[k_SRP2LOP],MATCH(Table1[[#This Row],[site]],Table5[site],FALSE))</f>
        <v>7.654676590159371E-3</v>
      </c>
      <c r="M79">
        <f>Table1[[#This Row],[iss]]*INDEX(Table5[k_ISS2PIP],MATCH(Table1[[#This Row],[site]],Table5[site],FALSE))</f>
        <v>9.4419614423271248E-4</v>
      </c>
      <c r="N79">
        <f>Table1[[#This Row],[rop]]+Table1[[#This Row],[lop]]+Table1[[#This Row],[pip]]</f>
        <v>1.5876723940872604E-2</v>
      </c>
      <c r="O79">
        <f>(Table1[[#This Row],[nsrp_pred]]-Table1[[#This Row],[nsrp]])^2</f>
        <v>1.0431116734245675E-5</v>
      </c>
    </row>
    <row r="80" spans="1:15">
      <c r="A80" t="s">
        <v>26</v>
      </c>
      <c r="B80" t="s">
        <v>22</v>
      </c>
      <c r="C80">
        <v>2.1486428571428559E-4</v>
      </c>
      <c r="D80">
        <v>7.5675675675675675</v>
      </c>
      <c r="E80">
        <v>1.0810810810810816</v>
      </c>
      <c r="F80">
        <v>6.486486486486486</v>
      </c>
      <c r="G80">
        <v>1.7274000000000001E-2</v>
      </c>
      <c r="H80">
        <v>1.89E-2</v>
      </c>
      <c r="I80">
        <v>1.625999999999999E-3</v>
      </c>
      <c r="J80">
        <v>0.91396825396825399</v>
      </c>
      <c r="K80">
        <f>Table1[[#This Row],[oss]]*INDEX(Table3[k_OSS2ROP],MATCH(Table1[[#This Row],[site.plot]],Table3[site.plot],FALSE))</f>
        <v>4.720768350149525E-3</v>
      </c>
      <c r="L80">
        <f>Table1[[#This Row],[srp]]*INDEX(Table5[k_SRP2LOP],MATCH(Table1[[#This Row],[site]],Table5[site],FALSE))</f>
        <v>1.4290163559754996E-2</v>
      </c>
      <c r="M80">
        <f>Table1[[#This Row],[iss]]*INDEX(Table5[k_ISS2PIP],MATCH(Table1[[#This Row],[site]],Table5[site],FALSE))</f>
        <v>9.6971495894170544E-4</v>
      </c>
      <c r="N80">
        <f>Table1[[#This Row],[rop]]+Table1[[#This Row],[lop]]+Table1[[#This Row],[pip]]</f>
        <v>1.9980646868846225E-2</v>
      </c>
      <c r="O80">
        <f>(Table1[[#This Row],[nsrp_pred]]-Table1[[#This Row],[nsrp]])^2</f>
        <v>3.368930616800466E-4</v>
      </c>
    </row>
    <row r="81" spans="1:15">
      <c r="A81" t="s">
        <v>26</v>
      </c>
      <c r="B81" t="s">
        <v>22</v>
      </c>
      <c r="C81">
        <v>1.8763687499999996E-3</v>
      </c>
      <c r="D81">
        <v>8.4210526315789469</v>
      </c>
      <c r="E81">
        <v>1.0526315789473673</v>
      </c>
      <c r="F81">
        <v>7.3684210526315796</v>
      </c>
      <c r="G81">
        <v>8.5990000000000007E-3</v>
      </c>
      <c r="H81">
        <v>2.4399999999999998E-2</v>
      </c>
      <c r="I81">
        <v>1.5800999999999996E-2</v>
      </c>
      <c r="J81">
        <v>0.35241803278688533</v>
      </c>
      <c r="K81">
        <f>Table1[[#This Row],[oss]]*INDEX(Table3[k_OSS2ROP],MATCH(Table1[[#This Row],[site.plot]],Table3[site.plot],FALSE))</f>
        <v>5.3626272047751196E-3</v>
      </c>
      <c r="L81">
        <f>Table1[[#This Row],[srp]]*INDEX(Table5[k_SRP2LOP],MATCH(Table1[[#This Row],[site]],Table5[site],FALSE))</f>
        <v>7.1136457363860832E-3</v>
      </c>
      <c r="M81">
        <f>Table1[[#This Row],[iss]]*INDEX(Table5[k_ISS2PIP],MATCH(Table1[[#This Row],[site]],Table5[site],FALSE))</f>
        <v>9.4419614423271161E-4</v>
      </c>
      <c r="N81">
        <f>Table1[[#This Row],[rop]]+Table1[[#This Row],[lop]]+Table1[[#This Row],[pip]]</f>
        <v>1.3420469085393915E-2</v>
      </c>
      <c r="O81">
        <f>(Table1[[#This Row],[nsrp_pred]]-Table1[[#This Row],[nsrp]])^2</f>
        <v>5.6669274353952624E-6</v>
      </c>
    </row>
    <row r="82" spans="1:15">
      <c r="A82" t="s">
        <v>26</v>
      </c>
      <c r="B82" t="s">
        <v>22</v>
      </c>
      <c r="C82">
        <v>3.9716666666666667E-3</v>
      </c>
      <c r="D82">
        <v>6</v>
      </c>
      <c r="E82">
        <v>1</v>
      </c>
      <c r="F82">
        <v>5</v>
      </c>
      <c r="G82">
        <v>5.47E-3</v>
      </c>
      <c r="H82">
        <v>2.93E-2</v>
      </c>
      <c r="I82">
        <v>2.383E-2</v>
      </c>
      <c r="J82">
        <v>0.18668941979522186</v>
      </c>
      <c r="K82">
        <f>Table1[[#This Row],[oss]]*INDEX(Table3[k_OSS2ROP],MATCH(Table1[[#This Row],[site.plot]],Table3[site.plot],FALSE))</f>
        <v>3.6389256032402593E-3</v>
      </c>
      <c r="L82">
        <f>Table1[[#This Row],[srp]]*INDEX(Table5[k_SRP2LOP],MATCH(Table1[[#This Row],[site]],Table5[site],FALSE))</f>
        <v>4.5251357341588409E-3</v>
      </c>
      <c r="M82">
        <f>Table1[[#This Row],[iss]]*INDEX(Table5[k_ISS2PIP],MATCH(Table1[[#This Row],[site]],Table5[site],FALSE))</f>
        <v>8.9698633702107707E-4</v>
      </c>
      <c r="N82">
        <f>Table1[[#This Row],[rop]]+Table1[[#This Row],[lop]]+Table1[[#This Row],[pip]]</f>
        <v>9.0610476744201768E-3</v>
      </c>
      <c r="O82">
        <f>(Table1[[#This Row],[nsrp_pred]]-Table1[[#This Row],[nsrp]])^2</f>
        <v>2.1812195279524967E-4</v>
      </c>
    </row>
    <row r="83" spans="1:15">
      <c r="A83" t="s">
        <v>26</v>
      </c>
      <c r="B83" t="s">
        <v>23</v>
      </c>
      <c r="C83">
        <v>2.4344385964912281E-3</v>
      </c>
      <c r="D83">
        <v>35.625</v>
      </c>
      <c r="E83">
        <v>30.625</v>
      </c>
      <c r="F83">
        <v>5</v>
      </c>
      <c r="G83">
        <v>1.532E-2</v>
      </c>
      <c r="H83">
        <v>0.102046875</v>
      </c>
      <c r="I83">
        <v>8.6726874999999995E-2</v>
      </c>
      <c r="J83">
        <v>0.15012708620425663</v>
      </c>
      <c r="K83">
        <f>Table1[[#This Row],[oss]]*INDEX(Table3[k_OSS2ROP],MATCH(Table1[[#This Row],[site.plot]],Table3[site.plot],FALSE))</f>
        <v>4.2929002474304282E-3</v>
      </c>
      <c r="L83">
        <f>Table1[[#This Row],[srp]]*INDEX(Table5[k_SRP2LOP],MATCH(Table1[[#This Row],[site]],Table5[site],FALSE))</f>
        <v>1.2673689112854377E-2</v>
      </c>
      <c r="M83">
        <f>Table1[[#This Row],[iss]]*INDEX(Table5[k_ISS2PIP],MATCH(Table1[[#This Row],[site]],Table5[site],FALSE))</f>
        <v>2.7470206571270486E-2</v>
      </c>
      <c r="N83">
        <f>Table1[[#This Row],[rop]]+Table1[[#This Row],[lop]]+Table1[[#This Row],[pip]]</f>
        <v>4.4436795931555292E-2</v>
      </c>
      <c r="O83">
        <f>(Table1[[#This Row],[nsrp_pred]]-Table1[[#This Row],[nsrp]])^2</f>
        <v>1.7884507876153048E-3</v>
      </c>
    </row>
    <row r="84" spans="1:15">
      <c r="A84" t="s">
        <v>26</v>
      </c>
      <c r="B84" t="s">
        <v>23</v>
      </c>
      <c r="C84">
        <v>2.0759183673469198E-3</v>
      </c>
      <c r="D84">
        <v>24.500000000000227</v>
      </c>
      <c r="E84">
        <v>21.500000000000227</v>
      </c>
      <c r="F84">
        <v>3</v>
      </c>
      <c r="G84">
        <v>2.3539999999999998E-2</v>
      </c>
      <c r="H84">
        <v>7.4400000000000008E-2</v>
      </c>
      <c r="I84">
        <v>5.0860000000000009E-2</v>
      </c>
      <c r="J84">
        <v>0.31639784946236554</v>
      </c>
      <c r="K84">
        <f>Table1[[#This Row],[oss]]*INDEX(Table3[k_OSS2ROP],MATCH(Table1[[#This Row],[site.plot]],Table3[site.plot],FALSE))</f>
        <v>2.5757401484582569E-3</v>
      </c>
      <c r="L84">
        <f>Table1[[#This Row],[srp]]*INDEX(Table5[k_SRP2LOP],MATCH(Table1[[#This Row],[site]],Table5[site],FALSE))</f>
        <v>1.9473801678628722E-2</v>
      </c>
      <c r="M84">
        <f>Table1[[#This Row],[iss]]*INDEX(Table5[k_ISS2PIP],MATCH(Table1[[#This Row],[site]],Table5[site],FALSE))</f>
        <v>1.9285206245953361E-2</v>
      </c>
      <c r="N84">
        <f>Table1[[#This Row],[rop]]+Table1[[#This Row],[lop]]+Table1[[#This Row],[pip]]</f>
        <v>4.1334748073040342E-2</v>
      </c>
      <c r="O84">
        <f>(Table1[[#This Row],[nsrp_pred]]-Table1[[#This Row],[nsrp]])^2</f>
        <v>9.0730424272048856E-5</v>
      </c>
    </row>
    <row r="85" spans="1:15">
      <c r="A85" t="s">
        <v>26</v>
      </c>
      <c r="B85" t="s">
        <v>23</v>
      </c>
      <c r="C85">
        <v>1.736E-2</v>
      </c>
      <c r="D85">
        <v>4</v>
      </c>
      <c r="E85">
        <v>4</v>
      </c>
      <c r="F85">
        <v>0</v>
      </c>
      <c r="G85">
        <v>1.736E-2</v>
      </c>
      <c r="H85">
        <v>8.6800000000000002E-2</v>
      </c>
      <c r="I85">
        <v>6.9440000000000002E-2</v>
      </c>
      <c r="J85">
        <v>0.2</v>
      </c>
      <c r="K85">
        <f>Table1[[#This Row],[oss]]*INDEX(Table3[k_OSS2ROP],MATCH(Table1[[#This Row],[site.plot]],Table3[site.plot],FALSE))</f>
        <v>0</v>
      </c>
      <c r="L85">
        <f>Table1[[#This Row],[srp]]*INDEX(Table5[k_SRP2LOP],MATCH(Table1[[#This Row],[site]],Table5[site],FALSE))</f>
        <v>1.4361308289761879E-2</v>
      </c>
      <c r="M85">
        <f>Table1[[#This Row],[iss]]*INDEX(Table5[k_ISS2PIP],MATCH(Table1[[#This Row],[site]],Table5[site],FALSE))</f>
        <v>3.5879453480843083E-3</v>
      </c>
      <c r="N85">
        <f>Table1[[#This Row],[rop]]+Table1[[#This Row],[lop]]+Table1[[#This Row],[pip]]</f>
        <v>1.7949253637846187E-2</v>
      </c>
      <c r="O85">
        <f>(Table1[[#This Row],[nsrp_pred]]-Table1[[#This Row],[nsrp]])^2</f>
        <v>2.6512969609316559E-3</v>
      </c>
    </row>
    <row r="86" spans="1:15">
      <c r="A86" t="s">
        <v>26</v>
      </c>
      <c r="B86" t="s">
        <v>23</v>
      </c>
      <c r="C86">
        <v>1.5975384615384617E-3</v>
      </c>
      <c r="D86">
        <v>24.375</v>
      </c>
      <c r="E86">
        <v>24.375</v>
      </c>
      <c r="F86">
        <v>0</v>
      </c>
      <c r="G86">
        <v>2.376E-2</v>
      </c>
      <c r="H86">
        <v>6.2700000000000006E-2</v>
      </c>
      <c r="I86">
        <v>3.8940000000000002E-2</v>
      </c>
      <c r="J86">
        <v>0.37894736842105259</v>
      </c>
      <c r="K86">
        <f>Table1[[#This Row],[oss]]*INDEX(Table3[k_OSS2ROP],MATCH(Table1[[#This Row],[site.plot]],Table3[site.plot],FALSE))</f>
        <v>0</v>
      </c>
      <c r="L86">
        <f>Table1[[#This Row],[srp]]*INDEX(Table5[k_SRP2LOP],MATCH(Table1[[#This Row],[site]],Table5[site],FALSE))</f>
        <v>1.9655799825157964E-2</v>
      </c>
      <c r="M86">
        <f>Table1[[#This Row],[iss]]*INDEX(Table5[k_ISS2PIP],MATCH(Table1[[#This Row],[site]],Table5[site],FALSE))</f>
        <v>2.1864041964888753E-2</v>
      </c>
      <c r="N86">
        <f>Table1[[#This Row],[rop]]+Table1[[#This Row],[lop]]+Table1[[#This Row],[pip]]</f>
        <v>4.1519841790046717E-2</v>
      </c>
      <c r="O86">
        <f>(Table1[[#This Row],[nsrp_pred]]-Table1[[#This Row],[nsrp]])^2</f>
        <v>6.6555836616714381E-6</v>
      </c>
    </row>
    <row r="87" spans="1:15">
      <c r="A87" t="s">
        <v>26</v>
      </c>
      <c r="B87" t="s">
        <v>23</v>
      </c>
      <c r="C87">
        <v>1.0497729729729728E-3</v>
      </c>
      <c r="D87">
        <v>61.666666666666671</v>
      </c>
      <c r="E87">
        <v>13.333333333333336</v>
      </c>
      <c r="F87">
        <v>48.333333333333336</v>
      </c>
      <c r="G87">
        <v>3.0263999999999999E-2</v>
      </c>
      <c r="H87">
        <v>9.5000000000000001E-2</v>
      </c>
      <c r="I87">
        <v>6.4736000000000002E-2</v>
      </c>
      <c r="J87">
        <v>0.31856842105263156</v>
      </c>
      <c r="K87">
        <f>Table1[[#This Row],[oss]]*INDEX(Table3[k_OSS2ROP],MATCH(Table1[[#This Row],[site.plot]],Table3[site.plot],FALSE))</f>
        <v>4.1498035725160809E-2</v>
      </c>
      <c r="L87">
        <f>Table1[[#This Row],[srp]]*INDEX(Table5[k_SRP2LOP],MATCH(Table1[[#This Row],[site]],Table5[site],FALSE))</f>
        <v>2.5036326848004234E-2</v>
      </c>
      <c r="M87">
        <f>Table1[[#This Row],[iss]]*INDEX(Table5[k_ISS2PIP],MATCH(Table1[[#This Row],[site]],Table5[site],FALSE))</f>
        <v>1.1959817826947697E-2</v>
      </c>
      <c r="N87">
        <f>Table1[[#This Row],[rop]]+Table1[[#This Row],[lop]]+Table1[[#This Row],[pip]]</f>
        <v>7.8494180400112745E-2</v>
      </c>
      <c r="O87">
        <f>(Table1[[#This Row],[nsrp_pred]]-Table1[[#This Row],[nsrp]])^2</f>
        <v>1.8928752792204644E-4</v>
      </c>
    </row>
    <row r="88" spans="1:15">
      <c r="A88" t="s">
        <v>26</v>
      </c>
      <c r="B88" t="s">
        <v>23</v>
      </c>
      <c r="C88">
        <v>1.9523499999999998E-3</v>
      </c>
      <c r="D88">
        <v>20</v>
      </c>
      <c r="E88">
        <v>8.8888888888888893</v>
      </c>
      <c r="F88">
        <v>11.111111111111111</v>
      </c>
      <c r="G88">
        <v>1.6653000000000001E-2</v>
      </c>
      <c r="H88">
        <v>5.57E-2</v>
      </c>
      <c r="I88">
        <v>3.9046999999999998E-2</v>
      </c>
      <c r="J88">
        <v>0.29897666068222623</v>
      </c>
      <c r="K88">
        <f>Table1[[#This Row],[oss]]*INDEX(Table3[k_OSS2ROP],MATCH(Table1[[#This Row],[site.plot]],Table3[site.plot],FALSE))</f>
        <v>9.5397783276231739E-3</v>
      </c>
      <c r="L88">
        <f>Table1[[#This Row],[srp]]*INDEX(Table5[k_SRP2LOP],MATCH(Table1[[#This Row],[site]],Table5[site],FALSE))</f>
        <v>1.3776432427961094E-2</v>
      </c>
      <c r="M88">
        <f>Table1[[#This Row],[iss]]*INDEX(Table5[k_ISS2PIP],MATCH(Table1[[#This Row],[site]],Table5[site],FALSE))</f>
        <v>7.9732118846317958E-3</v>
      </c>
      <c r="N88">
        <f>Table1[[#This Row],[rop]]+Table1[[#This Row],[lop]]+Table1[[#This Row],[pip]]</f>
        <v>3.1289422640216058E-2</v>
      </c>
      <c r="O88">
        <f>(Table1[[#This Row],[nsrp_pred]]-Table1[[#This Row],[nsrp]])^2</f>
        <v>6.0180006493032372E-5</v>
      </c>
    </row>
    <row r="89" spans="1:15">
      <c r="A89" t="s">
        <v>26</v>
      </c>
      <c r="B89" t="s">
        <v>23</v>
      </c>
      <c r="C89">
        <v>2.1346500000000004E-2</v>
      </c>
      <c r="D89">
        <v>2</v>
      </c>
      <c r="E89">
        <v>7</v>
      </c>
      <c r="F89">
        <v>-5</v>
      </c>
      <c r="G89">
        <v>4.9707000000000001E-2</v>
      </c>
      <c r="H89">
        <v>9.240000000000001E-2</v>
      </c>
      <c r="I89">
        <v>4.2693000000000009E-2</v>
      </c>
      <c r="J89">
        <v>0.53795454545454546</v>
      </c>
      <c r="K89">
        <f>Table1[[#This Row],[oss]]*INDEX(Table3[k_OSS2ROP],MATCH(Table1[[#This Row],[site.plot]],Table3[site.plot],FALSE))</f>
        <v>-4.2929002474304282E-3</v>
      </c>
      <c r="L89">
        <f>Table1[[#This Row],[srp]]*INDEX(Table5[k_SRP2LOP],MATCH(Table1[[#This Row],[site]],Table5[site],FALSE))</f>
        <v>4.1120826679677057E-2</v>
      </c>
      <c r="M89">
        <f>Table1[[#This Row],[iss]]*INDEX(Table5[k_ISS2PIP],MATCH(Table1[[#This Row],[site]],Table5[site],FALSE))</f>
        <v>6.2789043591475399E-3</v>
      </c>
      <c r="N89">
        <f>Table1[[#This Row],[rop]]+Table1[[#This Row],[lop]]+Table1[[#This Row],[pip]]</f>
        <v>4.3106830791394171E-2</v>
      </c>
      <c r="O89">
        <f>(Table1[[#This Row],[nsrp_pred]]-Table1[[#This Row],[nsrp]])^2</f>
        <v>1.712559239059188E-7</v>
      </c>
    </row>
    <row r="90" spans="1:15">
      <c r="A90" t="s">
        <v>26</v>
      </c>
      <c r="B90" t="s">
        <v>23</v>
      </c>
      <c r="C90">
        <v>1.6237741935483875E-3</v>
      </c>
      <c r="D90">
        <v>30.999999999999993</v>
      </c>
      <c r="E90">
        <v>3.3333333333333357</v>
      </c>
      <c r="F90">
        <v>27.666666666666657</v>
      </c>
      <c r="G90">
        <v>8.463E-3</v>
      </c>
      <c r="H90">
        <v>5.8799999999999998E-2</v>
      </c>
      <c r="I90">
        <v>5.0337E-2</v>
      </c>
      <c r="J90">
        <v>0.14392857142857143</v>
      </c>
      <c r="K90">
        <f>Table1[[#This Row],[oss]]*INDEX(Table3[k_OSS2ROP],MATCH(Table1[[#This Row],[site.plot]],Table3[site.plot],FALSE))</f>
        <v>2.3754048035781693E-2</v>
      </c>
      <c r="L90">
        <f>Table1[[#This Row],[srp]]*INDEX(Table5[k_SRP2LOP],MATCH(Table1[[#This Row],[site]],Table5[site],FALSE))</f>
        <v>7.0011377912589162E-3</v>
      </c>
      <c r="M90">
        <f>Table1[[#This Row],[iss]]*INDEX(Table5[k_ISS2PIP],MATCH(Table1[[#This Row],[site]],Table5[site],FALSE))</f>
        <v>2.9899544567369256E-3</v>
      </c>
      <c r="N90">
        <f>Table1[[#This Row],[rop]]+Table1[[#This Row],[lop]]+Table1[[#This Row],[pip]]</f>
        <v>3.3745140283777536E-2</v>
      </c>
      <c r="O90">
        <f>(Table1[[#This Row],[nsrp_pred]]-Table1[[#This Row],[nsrp]])^2</f>
        <v>2.7528980884280579E-4</v>
      </c>
    </row>
    <row r="91" spans="1:15">
      <c r="A91" t="s">
        <v>26</v>
      </c>
      <c r="B91" t="s">
        <v>23</v>
      </c>
      <c r="C91">
        <v>1.3004655870445345E-3</v>
      </c>
      <c r="D91">
        <v>49.400000000000006</v>
      </c>
      <c r="E91">
        <v>4</v>
      </c>
      <c r="F91">
        <v>45.400000000000006</v>
      </c>
      <c r="G91">
        <v>1.2657E-2</v>
      </c>
      <c r="H91">
        <v>7.690000000000001E-2</v>
      </c>
      <c r="I91">
        <v>6.4243000000000008E-2</v>
      </c>
      <c r="J91">
        <v>0.16459037711313393</v>
      </c>
      <c r="K91">
        <f>Table1[[#This Row],[oss]]*INDEX(Table3[k_OSS2ROP],MATCH(Table1[[#This Row],[site.plot]],Table3[site.plot],FALSE))</f>
        <v>3.8979534246668293E-2</v>
      </c>
      <c r="L91">
        <f>Table1[[#This Row],[srp]]*INDEX(Table5[k_SRP2LOP],MATCH(Table1[[#This Row],[site]],Table5[site],FALSE))</f>
        <v>1.0470684275548163E-2</v>
      </c>
      <c r="M91">
        <f>Table1[[#This Row],[iss]]*INDEX(Table5[k_ISS2PIP],MATCH(Table1[[#This Row],[site]],Table5[site],FALSE))</f>
        <v>3.5879453480843083E-3</v>
      </c>
      <c r="N91">
        <f>Table1[[#This Row],[rop]]+Table1[[#This Row],[lop]]+Table1[[#This Row],[pip]]</f>
        <v>5.3038163870300761E-2</v>
      </c>
      <c r="O91">
        <f>(Table1[[#This Row],[nsrp_pred]]-Table1[[#This Row],[nsrp]])^2</f>
        <v>1.255483526934136E-4</v>
      </c>
    </row>
    <row r="92" spans="1:15">
      <c r="A92" t="s">
        <v>26</v>
      </c>
      <c r="B92" t="s">
        <v>23</v>
      </c>
      <c r="C92">
        <v>1.4760827250608274E-3</v>
      </c>
      <c r="D92">
        <v>41.099999999999994</v>
      </c>
      <c r="E92">
        <v>3</v>
      </c>
      <c r="F92">
        <v>38.099999999999994</v>
      </c>
      <c r="G92">
        <v>9.5329999999999998E-3</v>
      </c>
      <c r="H92">
        <v>7.0199999999999999E-2</v>
      </c>
      <c r="I92">
        <v>6.0666999999999999E-2</v>
      </c>
      <c r="J92">
        <v>0.13579772079772079</v>
      </c>
      <c r="K92">
        <f>Table1[[#This Row],[oss]]*INDEX(Table3[k_OSS2ROP],MATCH(Table1[[#This Row],[site.plot]],Table3[site.plot],FALSE))</f>
        <v>3.2711899885419858E-2</v>
      </c>
      <c r="L92">
        <f>Table1[[#This Row],[srp]]*INDEX(Table5[k_SRP2LOP],MATCH(Table1[[#This Row],[site]],Table5[site],FALSE))</f>
        <v>7.8863105948329491E-3</v>
      </c>
      <c r="M92">
        <f>Table1[[#This Row],[iss]]*INDEX(Table5[k_ISS2PIP],MATCH(Table1[[#This Row],[site]],Table5[site],FALSE))</f>
        <v>2.6909590110632312E-3</v>
      </c>
      <c r="N92">
        <f>Table1[[#This Row],[rop]]+Table1[[#This Row],[lop]]+Table1[[#This Row],[pip]]</f>
        <v>4.3289169491316039E-2</v>
      </c>
      <c r="O92">
        <f>(Table1[[#This Row],[nsrp_pred]]-Table1[[#This Row],[nsrp]])^2</f>
        <v>3.0198899318854703E-4</v>
      </c>
    </row>
    <row r="93" spans="1:15">
      <c r="A93" t="s">
        <v>26</v>
      </c>
      <c r="B93" t="s">
        <v>23</v>
      </c>
      <c r="C93">
        <v>6.1235599078341004E-4</v>
      </c>
      <c r="D93">
        <v>57.866666666666674</v>
      </c>
      <c r="E93">
        <v>4</v>
      </c>
      <c r="F93">
        <v>53.866666666666674</v>
      </c>
      <c r="G93">
        <v>1.4964999999999999E-2</v>
      </c>
      <c r="H93">
        <v>5.04E-2</v>
      </c>
      <c r="I93">
        <v>3.5435000000000001E-2</v>
      </c>
      <c r="J93">
        <v>0.29692460317460317</v>
      </c>
      <c r="K93">
        <f>Table1[[#This Row],[oss]]*INDEX(Table3[k_OSS2ROP],MATCH(Table1[[#This Row],[site.plot]],Table3[site.plot],FALSE))</f>
        <v>4.6248845332317157E-2</v>
      </c>
      <c r="L93">
        <f>Table1[[#This Row],[srp]]*INDEX(Table5[k_SRP2LOP],MATCH(Table1[[#This Row],[site]],Table5[site],FALSE))</f>
        <v>1.2380010285500375E-2</v>
      </c>
      <c r="M93">
        <f>Table1[[#This Row],[iss]]*INDEX(Table5[k_ISS2PIP],MATCH(Table1[[#This Row],[site]],Table5[site],FALSE))</f>
        <v>3.5879453480843083E-3</v>
      </c>
      <c r="N93">
        <f>Table1[[#This Row],[rop]]+Table1[[#This Row],[lop]]+Table1[[#This Row],[pip]]</f>
        <v>6.221680096590184E-2</v>
      </c>
      <c r="O93">
        <f>(Table1[[#This Row],[nsrp_pred]]-Table1[[#This Row],[nsrp]])^2</f>
        <v>7.1726486297718072E-4</v>
      </c>
    </row>
    <row r="94" spans="1:15">
      <c r="A94" t="s">
        <v>26</v>
      </c>
      <c r="B94" t="s">
        <v>23</v>
      </c>
      <c r="C94">
        <v>2.2616210526315811E-3</v>
      </c>
      <c r="D94">
        <v>7.5999999999999943</v>
      </c>
      <c r="E94">
        <v>1</v>
      </c>
      <c r="F94">
        <v>6.5999999999999943</v>
      </c>
      <c r="G94">
        <v>1.91168E-3</v>
      </c>
      <c r="H94">
        <v>1.9100000000000002E-2</v>
      </c>
      <c r="I94">
        <v>1.7188320000000003E-2</v>
      </c>
      <c r="J94">
        <v>0.10008795811518323</v>
      </c>
      <c r="K94">
        <f>Table1[[#This Row],[oss]]*INDEX(Table3[k_OSS2ROP],MATCH(Table1[[#This Row],[site.plot]],Table3[site.plot],FALSE))</f>
        <v>5.6666283266081606E-3</v>
      </c>
      <c r="L94">
        <f>Table1[[#This Row],[srp]]*INDEX(Table5[k_SRP2LOP],MATCH(Table1[[#This Row],[site]],Table5[site],FALSE))</f>
        <v>1.5814646216228104E-3</v>
      </c>
      <c r="M94">
        <f>Table1[[#This Row],[iss]]*INDEX(Table5[k_ISS2PIP],MATCH(Table1[[#This Row],[site]],Table5[site],FALSE))</f>
        <v>8.9698633702107707E-4</v>
      </c>
      <c r="N94">
        <f>Table1[[#This Row],[rop]]+Table1[[#This Row],[lop]]+Table1[[#This Row],[pip]]</f>
        <v>8.1450792852520472E-3</v>
      </c>
      <c r="O94">
        <f>(Table1[[#This Row],[nsrp_pred]]-Table1[[#This Row],[nsrp]])^2</f>
        <v>8.1780202624875123E-5</v>
      </c>
    </row>
    <row r="95" spans="1:15">
      <c r="A95" t="s">
        <v>26</v>
      </c>
      <c r="B95" t="s">
        <v>23</v>
      </c>
      <c r="C95">
        <v>1.2514825E-2</v>
      </c>
      <c r="D95">
        <v>2.1052631578947367</v>
      </c>
      <c r="E95">
        <v>1.0526315789473684</v>
      </c>
      <c r="F95">
        <v>1.0526315789473684</v>
      </c>
      <c r="G95">
        <v>6.3530000000000001E-3</v>
      </c>
      <c r="H95">
        <v>3.27E-2</v>
      </c>
      <c r="I95">
        <v>2.6346999999999999E-2</v>
      </c>
      <c r="J95">
        <v>0.19428134556574925</v>
      </c>
      <c r="K95">
        <f>Table1[[#This Row],[oss]]*INDEX(Table3[k_OSS2ROP],MATCH(Table1[[#This Row],[site.plot]],Table3[site.plot],FALSE))</f>
        <v>9.0376847314324799E-4</v>
      </c>
      <c r="L95">
        <f>Table1[[#This Row],[srp]]*INDEX(Table5[k_SRP2LOP],MATCH(Table1[[#This Row],[site]],Table5[site],FALSE))</f>
        <v>5.2556101131830193E-3</v>
      </c>
      <c r="M95">
        <f>Table1[[#This Row],[iss]]*INDEX(Table5[k_ISS2PIP],MATCH(Table1[[#This Row],[site]],Table5[site],FALSE))</f>
        <v>9.441961442327127E-4</v>
      </c>
      <c r="N95">
        <f>Table1[[#This Row],[rop]]+Table1[[#This Row],[lop]]+Table1[[#This Row],[pip]]</f>
        <v>7.1035747305589802E-3</v>
      </c>
      <c r="O95">
        <f>(Table1[[#This Row],[nsrp_pred]]-Table1[[#This Row],[nsrp]])^2</f>
        <v>3.7030941610056116E-4</v>
      </c>
    </row>
    <row r="96" spans="1:15">
      <c r="A96" t="s">
        <v>26</v>
      </c>
      <c r="B96" t="s">
        <v>23</v>
      </c>
      <c r="C96">
        <v>8.8989999999999989E-3</v>
      </c>
      <c r="D96">
        <v>4</v>
      </c>
      <c r="E96">
        <v>1</v>
      </c>
      <c r="F96">
        <v>3</v>
      </c>
      <c r="G96">
        <v>1.0803999999999999E-2</v>
      </c>
      <c r="H96">
        <v>4.6399999999999997E-2</v>
      </c>
      <c r="I96">
        <v>3.5595999999999996E-2</v>
      </c>
      <c r="J96">
        <v>0.23284482758620689</v>
      </c>
      <c r="K96">
        <f>Table1[[#This Row],[oss]]*INDEX(Table3[k_OSS2ROP],MATCH(Table1[[#This Row],[site.plot]],Table3[site.plot],FALSE))</f>
        <v>2.5757401484582569E-3</v>
      </c>
      <c r="L96">
        <f>Table1[[#This Row],[srp]]*INDEX(Table5[k_SRP2LOP],MATCH(Table1[[#This Row],[site]],Table5[site],FALSE))</f>
        <v>8.9377635231905148E-3</v>
      </c>
      <c r="M96">
        <f>Table1[[#This Row],[iss]]*INDEX(Table5[k_ISS2PIP],MATCH(Table1[[#This Row],[site]],Table5[site],FALSE))</f>
        <v>8.9698633702107707E-4</v>
      </c>
      <c r="N96">
        <f>Table1[[#This Row],[rop]]+Table1[[#This Row],[lop]]+Table1[[#This Row],[pip]]</f>
        <v>1.2410490008669849E-2</v>
      </c>
      <c r="O96">
        <f>(Table1[[#This Row],[nsrp_pred]]-Table1[[#This Row],[nsrp]])^2</f>
        <v>5.3756787355807004E-4</v>
      </c>
    </row>
    <row r="97" spans="1:15" hidden="1">
      <c r="A97" t="s">
        <v>26</v>
      </c>
      <c r="B97" t="s">
        <v>27</v>
      </c>
      <c r="C97">
        <v>4.7884222222222203E-3</v>
      </c>
      <c r="D97">
        <v>4.7368421052631584</v>
      </c>
      <c r="E97">
        <v>3.1578947368421058</v>
      </c>
      <c r="F97">
        <v>1.5789473684210527</v>
      </c>
      <c r="G97">
        <v>1.5618E-2</v>
      </c>
      <c r="H97">
        <v>3.8299999999999994E-2</v>
      </c>
      <c r="I97">
        <v>2.2681999999999994E-2</v>
      </c>
      <c r="J97">
        <v>0.40778067885117503</v>
      </c>
      <c r="K97" t="e">
        <f>Table1[[#This Row],[oss]]*INDEX(Table3[k_OSS2ROP],MATCH(Table1[[#This Row],[site.plot]],Table3[site.plot],FALSE))</f>
        <v>#N/A</v>
      </c>
      <c r="L97">
        <f>Table1[[#This Row],[srp]]*INDEX(Table5[k_SRP2LOP],MATCH(Table1[[#This Row],[site]],Table5[site],FALSE))</f>
        <v>1.2920213874971257E-2</v>
      </c>
      <c r="M97">
        <f>Table1[[#This Row],[iss]]*INDEX(Table5[k_ISS2PIP],MATCH(Table1[[#This Row],[site]],Table5[site],FALSE))</f>
        <v>2.8325884326981386E-3</v>
      </c>
      <c r="N97" t="e">
        <f>Table1[[#This Row],[rop]]+Table1[[#This Row],[lop]]+Table1[[#This Row],[pip]]</f>
        <v>#N/A</v>
      </c>
      <c r="O97" t="e">
        <f>(Table1[[#This Row],[nsrp_pred]]-Table1[[#This Row],[nsrp]])^2</f>
        <v>#N/A</v>
      </c>
    </row>
    <row r="98" spans="1:15" hidden="1">
      <c r="A98" t="s">
        <v>26</v>
      </c>
      <c r="B98" t="s">
        <v>27</v>
      </c>
      <c r="C98">
        <v>1.7582727272727272E-3</v>
      </c>
      <c r="D98">
        <v>11</v>
      </c>
      <c r="E98">
        <v>1</v>
      </c>
      <c r="F98">
        <v>10</v>
      </c>
      <c r="G98">
        <v>2.0858999999999999E-2</v>
      </c>
      <c r="H98">
        <v>4.02E-2</v>
      </c>
      <c r="I98">
        <v>1.9341000000000001E-2</v>
      </c>
      <c r="J98">
        <v>0.51888059701492539</v>
      </c>
      <c r="K98" t="e">
        <f>Table1[[#This Row],[oss]]*INDEX(Table3[k_OSS2ROP],MATCH(Table1[[#This Row],[site.plot]],Table3[site.plot],FALSE))</f>
        <v>#N/A</v>
      </c>
      <c r="L98">
        <f>Table1[[#This Row],[srp]]*INDEX(Table5[k_SRP2LOP],MATCH(Table1[[#This Row],[site]],Table5[site],FALSE))</f>
        <v>1.7255906083879207E-2</v>
      </c>
      <c r="M98">
        <f>Table1[[#This Row],[iss]]*INDEX(Table5[k_ISS2PIP],MATCH(Table1[[#This Row],[site]],Table5[site],FALSE))</f>
        <v>8.9698633702107707E-4</v>
      </c>
      <c r="N98" t="e">
        <f>Table1[[#This Row],[rop]]+Table1[[#This Row],[lop]]+Table1[[#This Row],[pip]]</f>
        <v>#N/A</v>
      </c>
      <c r="O98" t="e">
        <f>(Table1[[#This Row],[nsrp_pred]]-Table1[[#This Row],[nsrp]])^2</f>
        <v>#N/A</v>
      </c>
    </row>
    <row r="99" spans="1:15" hidden="1">
      <c r="A99" t="s">
        <v>26</v>
      </c>
      <c r="B99" t="s">
        <v>27</v>
      </c>
      <c r="C99">
        <v>1.0036739130434794E-2</v>
      </c>
      <c r="D99">
        <v>4.5999999999999943</v>
      </c>
      <c r="E99">
        <v>2</v>
      </c>
      <c r="F99">
        <v>2.5999999999999943</v>
      </c>
      <c r="G99">
        <v>2.6831000000000001E-2</v>
      </c>
      <c r="H99">
        <v>7.2999999999999995E-2</v>
      </c>
      <c r="I99">
        <v>4.6168999999999995E-2</v>
      </c>
      <c r="J99">
        <v>0.36754794520547951</v>
      </c>
      <c r="K99" t="e">
        <f>Table1[[#This Row],[oss]]*INDEX(Table3[k_OSS2ROP],MATCH(Table1[[#This Row],[site.plot]],Table3[site.plot],FALSE))</f>
        <v>#N/A</v>
      </c>
      <c r="L99">
        <f>Table1[[#This Row],[srp]]*INDEX(Table5[k_SRP2LOP],MATCH(Table1[[#This Row],[site]],Table5[site],FALSE))</f>
        <v>2.2196328497845679E-2</v>
      </c>
      <c r="M99">
        <f>Table1[[#This Row],[iss]]*INDEX(Table5[k_ISS2PIP],MATCH(Table1[[#This Row],[site]],Table5[site],FALSE))</f>
        <v>1.7939726740421541E-3</v>
      </c>
      <c r="N99" t="e">
        <f>Table1[[#This Row],[rop]]+Table1[[#This Row],[lop]]+Table1[[#This Row],[pip]]</f>
        <v>#N/A</v>
      </c>
      <c r="O99" t="e">
        <f>(Table1[[#This Row],[nsrp_pred]]-Table1[[#This Row],[nsrp]])^2</f>
        <v>#N/A</v>
      </c>
    </row>
    <row r="100" spans="1:15">
      <c r="A100" t="s">
        <v>28</v>
      </c>
      <c r="B100" t="s">
        <v>25</v>
      </c>
      <c r="C100">
        <v>1.8268421052632451E-3</v>
      </c>
      <c r="D100">
        <v>9.4999999999995453</v>
      </c>
      <c r="E100">
        <v>9.4999999999995453</v>
      </c>
      <c r="F100">
        <v>0</v>
      </c>
      <c r="G100">
        <v>1.8519999999999998E-2</v>
      </c>
      <c r="H100">
        <v>3.5874999999999997E-2</v>
      </c>
      <c r="I100">
        <v>1.7354999999999999E-2</v>
      </c>
      <c r="J100">
        <v>0.51623693379790936</v>
      </c>
      <c r="K100">
        <f>Table1[[#This Row],[oss]]*INDEX(Table3[k_OSS2ROP],MATCH(Table1[[#This Row],[site.plot]],Table3[site.plot],FALSE))</f>
        <v>0</v>
      </c>
      <c r="L100">
        <f>Table1[[#This Row],[srp]]*INDEX(Table5[k_SRP2LOP],MATCH(Table1[[#This Row],[site]],Table5[site],FALSE))</f>
        <v>2.7473013045195348E-2</v>
      </c>
      <c r="M100">
        <f>Table1[[#This Row],[iss]]*INDEX(Table5[k_ISS2PIP],MATCH(Table1[[#This Row],[site]],Table5[site],FALSE))</f>
        <v>1.0121288324427024E-2</v>
      </c>
      <c r="N100">
        <f>Table1[[#This Row],[rop]]+Table1[[#This Row],[lop]]+Table1[[#This Row],[pip]]</f>
        <v>3.7594301369622371E-2</v>
      </c>
      <c r="O100">
        <f>(Table1[[#This Row],[nsrp_pred]]-Table1[[#This Row],[nsrp]])^2</f>
        <v>4.0962931993039804E-4</v>
      </c>
    </row>
    <row r="101" spans="1:15">
      <c r="A101" t="s">
        <v>28</v>
      </c>
      <c r="B101" t="s">
        <v>25</v>
      </c>
      <c r="C101">
        <v>3.8431988636363637E-3</v>
      </c>
      <c r="D101">
        <v>16.923076923076923</v>
      </c>
      <c r="E101">
        <v>14.871794871794872</v>
      </c>
      <c r="F101">
        <v>2.0512820512820511</v>
      </c>
      <c r="G101">
        <v>1.5679999999999999E-2</v>
      </c>
      <c r="H101">
        <v>8.0718750000000006E-2</v>
      </c>
      <c r="I101">
        <v>6.5038750000000006E-2</v>
      </c>
      <c r="J101">
        <v>0.19425474254742545</v>
      </c>
      <c r="K101">
        <f>Table1[[#This Row],[oss]]*INDEX(Table3[k_OSS2ROP],MATCH(Table1[[#This Row],[site.plot]],Table3[site.plot],FALSE))</f>
        <v>1.2711898815181526E-3</v>
      </c>
      <c r="L101">
        <f>Table1[[#This Row],[srp]]*INDEX(Table5[k_SRP2LOP],MATCH(Table1[[#This Row],[site]],Table5[site],FALSE))</f>
        <v>2.3260088798523926E-2</v>
      </c>
      <c r="M101">
        <f>Table1[[#This Row],[iss]]*INDEX(Table5[k_ISS2PIP],MATCH(Table1[[#This Row],[site]],Table5[site],FALSE))</f>
        <v>1.5844391978860877E-2</v>
      </c>
      <c r="N101">
        <f>Table1[[#This Row],[rop]]+Table1[[#This Row],[lop]]+Table1[[#This Row],[pip]]</f>
        <v>4.0375670658902955E-2</v>
      </c>
      <c r="O101">
        <f>(Table1[[#This Row],[nsrp_pred]]-Table1[[#This Row],[nsrp]])^2</f>
        <v>6.0826748258524814E-4</v>
      </c>
    </row>
    <row r="102" spans="1:15">
      <c r="A102" t="s">
        <v>28</v>
      </c>
      <c r="B102" t="s">
        <v>25</v>
      </c>
      <c r="C102">
        <v>1.926093333333333E-3</v>
      </c>
      <c r="D102">
        <v>39.473684210526315</v>
      </c>
      <c r="E102">
        <v>35.263157894736842</v>
      </c>
      <c r="F102">
        <v>4.2105263157894726</v>
      </c>
      <c r="G102">
        <v>1.7569999999999999E-2</v>
      </c>
      <c r="H102">
        <v>9.3599999999999989E-2</v>
      </c>
      <c r="I102">
        <v>7.6029999999999986E-2</v>
      </c>
      <c r="J102">
        <v>0.18771367521367521</v>
      </c>
      <c r="K102">
        <f>Table1[[#This Row],[oss]]*INDEX(Table3[k_OSS2ROP],MATCH(Table1[[#This Row],[site.plot]],Table3[site.plot],FALSE))</f>
        <v>2.6092844936425235E-3</v>
      </c>
      <c r="L102">
        <f>Table1[[#This Row],[srp]]*INDEX(Table5[k_SRP2LOP],MATCH(Table1[[#This Row],[site]],Table5[site],FALSE))</f>
        <v>2.6063760216203147E-2</v>
      </c>
      <c r="M102">
        <f>Table1[[#This Row],[iss]]*INDEX(Table5[k_ISS2PIP],MATCH(Table1[[#This Row],[site]],Table5[site],FALSE))</f>
        <v>3.7569325082362499E-2</v>
      </c>
      <c r="N102">
        <f>Table1[[#This Row],[rop]]+Table1[[#This Row],[lop]]+Table1[[#This Row],[pip]]</f>
        <v>6.6242369792208169E-2</v>
      </c>
      <c r="O102">
        <f>(Table1[[#This Row],[nsrp_pred]]-Table1[[#This Row],[nsrp]])^2</f>
        <v>9.5797705084478885E-5</v>
      </c>
    </row>
    <row r="103" spans="1:15">
      <c r="A103" t="s">
        <v>28</v>
      </c>
      <c r="B103" t="s">
        <v>25</v>
      </c>
      <c r="C103">
        <v>6.6977777777777773E-3</v>
      </c>
      <c r="D103">
        <v>4.5</v>
      </c>
      <c r="E103">
        <v>4.5</v>
      </c>
      <c r="F103">
        <v>0</v>
      </c>
      <c r="G103">
        <v>1.916E-2</v>
      </c>
      <c r="H103">
        <v>4.9299999999999997E-2</v>
      </c>
      <c r="I103">
        <v>3.0139999999999997E-2</v>
      </c>
      <c r="J103">
        <v>0.38864097363083167</v>
      </c>
      <c r="K103">
        <f>Table1[[#This Row],[oss]]*INDEX(Table3[k_OSS2ROP],MATCH(Table1[[#This Row],[site.plot]],Table3[site.plot],FALSE))</f>
        <v>0</v>
      </c>
      <c r="L103">
        <f>Table1[[#This Row],[srp]]*INDEX(Table5[k_SRP2LOP],MATCH(Table1[[#This Row],[site]],Table5[site],FALSE))</f>
        <v>2.8422404424726939E-2</v>
      </c>
      <c r="M103">
        <f>Table1[[#This Row],[iss]]*INDEX(Table5[k_ISS2PIP],MATCH(Table1[[#This Row],[site]],Table5[site],FALSE))</f>
        <v>4.7942944694656618E-3</v>
      </c>
      <c r="N103">
        <f>Table1[[#This Row],[rop]]+Table1[[#This Row],[lop]]+Table1[[#This Row],[pip]]</f>
        <v>3.3216698894192598E-2</v>
      </c>
      <c r="O103">
        <f>(Table1[[#This Row],[nsrp_pred]]-Table1[[#This Row],[nsrp]])^2</f>
        <v>9.4660760855259755E-6</v>
      </c>
    </row>
    <row r="104" spans="1:15">
      <c r="A104" t="s">
        <v>28</v>
      </c>
      <c r="B104" t="s">
        <v>25</v>
      </c>
      <c r="C104">
        <v>6.2444444444438134E-3</v>
      </c>
      <c r="D104">
        <v>4.5000000000004547</v>
      </c>
      <c r="E104">
        <v>4.5000000000004547</v>
      </c>
      <c r="F104">
        <v>0</v>
      </c>
      <c r="G104">
        <v>1.67E-2</v>
      </c>
      <c r="H104">
        <v>4.48E-2</v>
      </c>
      <c r="I104">
        <v>2.81E-2</v>
      </c>
      <c r="J104">
        <v>0.37276785714285715</v>
      </c>
      <c r="K104">
        <f>Table1[[#This Row],[oss]]*INDEX(Table3[k_OSS2ROP],MATCH(Table1[[#This Row],[site.plot]],Table3[site.plot],FALSE))</f>
        <v>0</v>
      </c>
      <c r="L104">
        <f>Table1[[#This Row],[srp]]*INDEX(Table5[k_SRP2LOP],MATCH(Table1[[#This Row],[site]],Table5[site],FALSE))</f>
        <v>2.4773181309652392E-2</v>
      </c>
      <c r="M104">
        <f>Table1[[#This Row],[iss]]*INDEX(Table5[k_ISS2PIP],MATCH(Table1[[#This Row],[site]],Table5[site],FALSE))</f>
        <v>4.7942944694661467E-3</v>
      </c>
      <c r="N104">
        <f>Table1[[#This Row],[rop]]+Table1[[#This Row],[lop]]+Table1[[#This Row],[pip]]</f>
        <v>2.956747577911854E-2</v>
      </c>
      <c r="O104">
        <f>(Table1[[#This Row],[nsrp_pred]]-Table1[[#This Row],[nsrp]])^2</f>
        <v>2.1534851622995655E-6</v>
      </c>
    </row>
    <row r="105" spans="1:15">
      <c r="A105" t="s">
        <v>28</v>
      </c>
      <c r="B105" t="s">
        <v>25</v>
      </c>
      <c r="C105">
        <v>2.4215384615386311E-3</v>
      </c>
      <c r="D105">
        <v>6.4999999999995453</v>
      </c>
      <c r="E105">
        <v>6.4999999999995453</v>
      </c>
      <c r="F105">
        <v>0</v>
      </c>
      <c r="G105">
        <v>1.576E-2</v>
      </c>
      <c r="H105">
        <v>3.15E-2</v>
      </c>
      <c r="I105">
        <v>1.5740000000000001E-2</v>
      </c>
      <c r="J105">
        <v>0.50031746031746027</v>
      </c>
      <c r="K105">
        <f>Table1[[#This Row],[oss]]*INDEX(Table3[k_OSS2ROP],MATCH(Table1[[#This Row],[site.plot]],Table3[site.plot],FALSE))</f>
        <v>0</v>
      </c>
      <c r="L105">
        <f>Table1[[#This Row],[srp]]*INDEX(Table5[k_SRP2LOP],MATCH(Table1[[#This Row],[site]],Table5[site],FALSE))</f>
        <v>2.3378762720965372E-2</v>
      </c>
      <c r="M105">
        <f>Table1[[#This Row],[iss]]*INDEX(Table5[k_ISS2PIP],MATCH(Table1[[#This Row],[site]],Table5[site],FALSE))</f>
        <v>6.9250920114499155E-3</v>
      </c>
      <c r="N105">
        <f>Table1[[#This Row],[rop]]+Table1[[#This Row],[lop]]+Table1[[#This Row],[pip]]</f>
        <v>3.0303854732415286E-2</v>
      </c>
      <c r="O105">
        <f>(Table1[[#This Row],[nsrp_pred]]-Table1[[#This Row],[nsrp]])^2</f>
        <v>2.1210586466689511E-4</v>
      </c>
    </row>
    <row r="106" spans="1:15">
      <c r="A106" t="s">
        <v>28</v>
      </c>
      <c r="B106" t="s">
        <v>25</v>
      </c>
      <c r="C106">
        <v>1.5047441860465117E-3</v>
      </c>
      <c r="D106">
        <v>26.875</v>
      </c>
      <c r="E106">
        <v>26.25</v>
      </c>
      <c r="F106">
        <v>0.625</v>
      </c>
      <c r="G106">
        <v>2.0559999999999998E-2</v>
      </c>
      <c r="H106">
        <v>6.0999999999999999E-2</v>
      </c>
      <c r="I106">
        <v>4.0440000000000004E-2</v>
      </c>
      <c r="J106">
        <v>0.33704918032786885</v>
      </c>
      <c r="K106">
        <f>Table1[[#This Row],[oss]]*INDEX(Table3[k_OSS2ROP],MATCH(Table1[[#This Row],[site.plot]],Table3[site.plot],FALSE))</f>
        <v>3.8731566702506219E-4</v>
      </c>
      <c r="L106">
        <f>Table1[[#This Row],[srp]]*INDEX(Table5[k_SRP2LOP],MATCH(Table1[[#This Row],[site]],Table5[site],FALSE))</f>
        <v>3.0499198067452288E-2</v>
      </c>
      <c r="M106">
        <f>Table1[[#This Row],[iss]]*INDEX(Table5[k_ISS2PIP],MATCH(Table1[[#This Row],[site]],Table5[site],FALSE))</f>
        <v>2.7966717738549696E-2</v>
      </c>
      <c r="N106">
        <f>Table1[[#This Row],[rop]]+Table1[[#This Row],[lop]]+Table1[[#This Row],[pip]]</f>
        <v>5.8853231473027047E-2</v>
      </c>
      <c r="O106">
        <f>(Table1[[#This Row],[nsrp_pred]]-Table1[[#This Row],[nsrp]])^2</f>
        <v>3.3904709327927366E-4</v>
      </c>
    </row>
    <row r="107" spans="1:15">
      <c r="A107" t="s">
        <v>28</v>
      </c>
      <c r="B107" t="s">
        <v>25</v>
      </c>
      <c r="C107">
        <v>7.4592000000000026E-3</v>
      </c>
      <c r="D107">
        <v>1.0810810810810809</v>
      </c>
      <c r="E107">
        <v>1.0810810810810809</v>
      </c>
      <c r="F107">
        <v>0</v>
      </c>
      <c r="G107">
        <v>1.8835999999999999E-2</v>
      </c>
      <c r="H107">
        <v>2.69E-2</v>
      </c>
      <c r="I107">
        <v>8.0640000000000017E-3</v>
      </c>
      <c r="J107">
        <v>0.70022304832713744</v>
      </c>
      <c r="K107">
        <f>Table1[[#This Row],[oss]]*INDEX(Table3[k_OSS2ROP],MATCH(Table1[[#This Row],[site.plot]],Table3[site.plot],FALSE))</f>
        <v>0</v>
      </c>
      <c r="L107">
        <f>Table1[[#This Row],[srp]]*INDEX(Table5[k_SRP2LOP],MATCH(Table1[[#This Row],[site]],Table5[site],FALSE))</f>
        <v>2.7941775038839069E-2</v>
      </c>
      <c r="M107">
        <f>Table1[[#This Row],[iss]]*INDEX(Table5[k_ISS2PIP],MATCH(Table1[[#This Row],[site]],Table5[site],FALSE))</f>
        <v>1.1517824551268855E-3</v>
      </c>
      <c r="N107">
        <f>Table1[[#This Row],[rop]]+Table1[[#This Row],[lop]]+Table1[[#This Row],[pip]]</f>
        <v>2.9093557493965954E-2</v>
      </c>
      <c r="O107">
        <f>(Table1[[#This Row],[nsrp_pred]]-Table1[[#This Row],[nsrp]])^2</f>
        <v>4.4224228839201955E-4</v>
      </c>
    </row>
    <row r="108" spans="1:15">
      <c r="A108" t="s">
        <v>28</v>
      </c>
      <c r="B108" t="s">
        <v>25</v>
      </c>
      <c r="C108">
        <v>1.3557787234042815E-3</v>
      </c>
      <c r="D108">
        <v>29.374999999999432</v>
      </c>
      <c r="E108">
        <v>7.5</v>
      </c>
      <c r="F108">
        <v>21.874999999999432</v>
      </c>
      <c r="G108">
        <v>1.5074000000000001E-2</v>
      </c>
      <c r="H108">
        <v>5.4899999999999997E-2</v>
      </c>
      <c r="I108">
        <v>3.9826E-2</v>
      </c>
      <c r="J108">
        <v>0.27457194899817855</v>
      </c>
      <c r="K108">
        <f>Table1[[#This Row],[oss]]*INDEX(Table3[k_OSS2ROP],MATCH(Table1[[#This Row],[site.plot]],Table3[site.plot],FALSE))</f>
        <v>1.3556048345876823E-2</v>
      </c>
      <c r="L108">
        <f>Table1[[#This Row],[srp]]*INDEX(Table5[k_SRP2LOP],MATCH(Table1[[#This Row],[site]],Table5[site],FALSE))</f>
        <v>2.2361133836029952E-2</v>
      </c>
      <c r="M108">
        <f>Table1[[#This Row],[iss]]*INDEX(Table5[k_ISS2PIP],MATCH(Table1[[#This Row],[site]],Table5[site],FALSE))</f>
        <v>7.9904907824427697E-3</v>
      </c>
      <c r="N108">
        <f>Table1[[#This Row],[rop]]+Table1[[#This Row],[lop]]+Table1[[#This Row],[pip]]</f>
        <v>4.3907672964349539E-2</v>
      </c>
      <c r="O108">
        <f>(Table1[[#This Row],[nsrp_pred]]-Table1[[#This Row],[nsrp]])^2</f>
        <v>1.6660054187901954E-5</v>
      </c>
    </row>
    <row r="109" spans="1:15">
      <c r="A109" t="s">
        <v>28</v>
      </c>
      <c r="B109" t="s">
        <v>25</v>
      </c>
      <c r="C109">
        <v>7.443902439024431E-4</v>
      </c>
      <c r="D109">
        <v>102.49999999999943</v>
      </c>
      <c r="E109">
        <v>22.5</v>
      </c>
      <c r="F109">
        <v>79.999999999999432</v>
      </c>
      <c r="G109">
        <v>1.7299999999999999E-2</v>
      </c>
      <c r="H109">
        <v>9.3599999999999989E-2</v>
      </c>
      <c r="I109">
        <v>7.6299999999999993E-2</v>
      </c>
      <c r="J109">
        <v>0.18482905982905984</v>
      </c>
      <c r="K109">
        <f>Table1[[#This Row],[oss]]*INDEX(Table3[k_OSS2ROP],MATCH(Table1[[#This Row],[site.plot]],Table3[site.plot],FALSE))</f>
        <v>4.9576405379207607E-2</v>
      </c>
      <c r="L109">
        <f>Table1[[#This Row],[srp]]*INDEX(Table5[k_SRP2LOP],MATCH(Table1[[#This Row],[site]],Table5[site],FALSE))</f>
        <v>2.5663235727963259E-2</v>
      </c>
      <c r="M109">
        <f>Table1[[#This Row],[iss]]*INDEX(Table5[k_ISS2PIP],MATCH(Table1[[#This Row],[site]],Table5[site],FALSE))</f>
        <v>2.3971472347328309E-2</v>
      </c>
      <c r="N109">
        <f>Table1[[#This Row],[rop]]+Table1[[#This Row],[lop]]+Table1[[#This Row],[pip]]</f>
        <v>9.9211113454499178E-2</v>
      </c>
      <c r="O109">
        <f>(Table1[[#This Row],[nsrp_pred]]-Table1[[#This Row],[nsrp]])^2</f>
        <v>5.2491911972493363E-4</v>
      </c>
    </row>
    <row r="110" spans="1:15">
      <c r="A110" t="s">
        <v>28</v>
      </c>
      <c r="B110" t="s">
        <v>25</v>
      </c>
      <c r="C110">
        <v>1.4414666666666665E-3</v>
      </c>
      <c r="D110">
        <v>30</v>
      </c>
      <c r="E110">
        <v>2.5</v>
      </c>
      <c r="F110">
        <v>27.5</v>
      </c>
      <c r="G110">
        <v>1.6756E-2</v>
      </c>
      <c r="H110">
        <v>0.06</v>
      </c>
      <c r="I110">
        <v>4.3243999999999998E-2</v>
      </c>
      <c r="J110">
        <v>0.27926666666666666</v>
      </c>
      <c r="K110">
        <f>Table1[[#This Row],[oss]]*INDEX(Table3[k_OSS2ROP],MATCH(Table1[[#This Row],[site.plot]],Table3[site.plot],FALSE))</f>
        <v>1.7041889349102734E-2</v>
      </c>
      <c r="L110">
        <f>Table1[[#This Row],[srp]]*INDEX(Table5[k_SRP2LOP],MATCH(Table1[[#This Row],[site]],Table5[site],FALSE))</f>
        <v>2.4856253055361408E-2</v>
      </c>
      <c r="M110">
        <f>Table1[[#This Row],[iss]]*INDEX(Table5[k_ISS2PIP],MATCH(Table1[[#This Row],[site]],Table5[site],FALSE))</f>
        <v>2.6634969274809232E-3</v>
      </c>
      <c r="N110">
        <f>Table1[[#This Row],[rop]]+Table1[[#This Row],[lop]]+Table1[[#This Row],[pip]]</f>
        <v>4.4561639331945069E-2</v>
      </c>
      <c r="O110">
        <f>(Table1[[#This Row],[nsrp_pred]]-Table1[[#This Row],[nsrp]])^2</f>
        <v>1.7361734090886532E-6</v>
      </c>
    </row>
    <row r="111" spans="1:15">
      <c r="A111" t="s">
        <v>28</v>
      </c>
      <c r="B111" t="s">
        <v>25</v>
      </c>
      <c r="C111">
        <v>2.5211111111111107E-3</v>
      </c>
      <c r="D111">
        <v>4.5</v>
      </c>
      <c r="E111">
        <v>5</v>
      </c>
      <c r="F111">
        <v>-0.5</v>
      </c>
      <c r="G111">
        <v>1.6055E-2</v>
      </c>
      <c r="H111">
        <v>2.7399999999999997E-2</v>
      </c>
      <c r="I111">
        <v>1.1344999999999997E-2</v>
      </c>
      <c r="J111">
        <v>0.58594890510948905</v>
      </c>
      <c r="K111">
        <f>Table1[[#This Row],[oss]]*INDEX(Table3[k_OSS2ROP],MATCH(Table1[[#This Row],[site.plot]],Table3[site.plot],FALSE))</f>
        <v>-3.0985253362004973E-4</v>
      </c>
      <c r="L111">
        <f>Table1[[#This Row],[srp]]*INDEX(Table5[k_SRP2LOP],MATCH(Table1[[#This Row],[site]],Table5[site],FALSE))</f>
        <v>2.3816372809968216E-2</v>
      </c>
      <c r="M111">
        <f>Table1[[#This Row],[iss]]*INDEX(Table5[k_ISS2PIP],MATCH(Table1[[#This Row],[site]],Table5[site],FALSE))</f>
        <v>5.3269938549618465E-3</v>
      </c>
      <c r="N111">
        <f>Table1[[#This Row],[rop]]+Table1[[#This Row],[lop]]+Table1[[#This Row],[pip]]</f>
        <v>2.8833514131310013E-2</v>
      </c>
      <c r="O111">
        <f>(Table1[[#This Row],[nsrp_pred]]-Table1[[#This Row],[nsrp]])^2</f>
        <v>3.0584812652103009E-4</v>
      </c>
    </row>
    <row r="112" spans="1:15">
      <c r="A112" t="s">
        <v>28</v>
      </c>
      <c r="B112" t="s">
        <v>25</v>
      </c>
      <c r="C112">
        <v>2.2179935779816501E-3</v>
      </c>
      <c r="D112">
        <v>10.900000000000006</v>
      </c>
      <c r="E112">
        <v>1</v>
      </c>
      <c r="F112">
        <v>9.9000000000000057</v>
      </c>
      <c r="G112">
        <v>3.0238700000000001E-3</v>
      </c>
      <c r="H112">
        <v>2.7199999999999998E-2</v>
      </c>
      <c r="I112">
        <v>2.4176129999999997E-2</v>
      </c>
      <c r="J112">
        <v>0.11117169117647061</v>
      </c>
      <c r="K112">
        <f>Table1[[#This Row],[oss]]*INDEX(Table3[k_OSS2ROP],MATCH(Table1[[#This Row],[site.plot]],Table3[site.plot],FALSE))</f>
        <v>6.135080165676988E-3</v>
      </c>
      <c r="L112">
        <f>Table1[[#This Row],[srp]]*INDEX(Table5[k_SRP2LOP],MATCH(Table1[[#This Row],[site]],Table5[site],FALSE))</f>
        <v>4.4856814231627896E-3</v>
      </c>
      <c r="M112">
        <f>Table1[[#This Row],[iss]]*INDEX(Table5[k_ISS2PIP],MATCH(Table1[[#This Row],[site]],Table5[site],FALSE))</f>
        <v>1.0653987709923693E-3</v>
      </c>
      <c r="N112">
        <f>Table1[[#This Row],[rop]]+Table1[[#This Row],[lop]]+Table1[[#This Row],[pip]]</f>
        <v>1.1686160359832148E-2</v>
      </c>
      <c r="O112">
        <f>(Table1[[#This Row],[nsrp_pred]]-Table1[[#This Row],[nsrp]])^2</f>
        <v>1.5599934161231459E-4</v>
      </c>
    </row>
    <row r="113" spans="1:15">
      <c r="A113" t="s">
        <v>28</v>
      </c>
      <c r="B113" t="s">
        <v>25</v>
      </c>
      <c r="C113">
        <v>2.3137573529411776E-3</v>
      </c>
      <c r="D113">
        <v>13.599999999999994</v>
      </c>
      <c r="E113">
        <v>1</v>
      </c>
      <c r="F113">
        <v>12.599999999999994</v>
      </c>
      <c r="G113">
        <v>4.9328999999999996E-3</v>
      </c>
      <c r="H113">
        <v>3.6400000000000002E-2</v>
      </c>
      <c r="I113">
        <v>3.1467100000000005E-2</v>
      </c>
      <c r="J113">
        <v>0.13551923076923075</v>
      </c>
      <c r="K113">
        <f>Table1[[#This Row],[oss]]*INDEX(Table3[k_OSS2ROP],MATCH(Table1[[#This Row],[site.plot]],Table3[site.plot],FALSE))</f>
        <v>7.8082838472252501E-3</v>
      </c>
      <c r="L113">
        <f>Table1[[#This Row],[srp]]*INDEX(Table5[k_SRP2LOP],MATCH(Table1[[#This Row],[site]],Table5[site],FALSE))</f>
        <v>7.3175824001427718E-3</v>
      </c>
      <c r="M113">
        <f>Table1[[#This Row],[iss]]*INDEX(Table5[k_ISS2PIP],MATCH(Table1[[#This Row],[site]],Table5[site],FALSE))</f>
        <v>1.0653987709923693E-3</v>
      </c>
      <c r="N113">
        <f>Table1[[#This Row],[rop]]+Table1[[#This Row],[lop]]+Table1[[#This Row],[pip]]</f>
        <v>1.6191265018360393E-2</v>
      </c>
      <c r="O113">
        <f>(Table1[[#This Row],[nsrp_pred]]-Table1[[#This Row],[nsrp]])^2</f>
        <v>2.3335113438628449E-4</v>
      </c>
    </row>
    <row r="114" spans="1:15">
      <c r="A114" t="s">
        <v>28</v>
      </c>
      <c r="B114" t="s">
        <v>25</v>
      </c>
      <c r="C114">
        <v>1.4692528301886794E-3</v>
      </c>
      <c r="D114">
        <v>33.125</v>
      </c>
      <c r="E114">
        <v>2.5</v>
      </c>
      <c r="F114">
        <v>30.625</v>
      </c>
      <c r="G114">
        <v>9.5309999999999995E-3</v>
      </c>
      <c r="H114">
        <v>5.8200000000000002E-2</v>
      </c>
      <c r="I114">
        <v>4.8669000000000004E-2</v>
      </c>
      <c r="J114">
        <v>0.16376288659793814</v>
      </c>
      <c r="K114">
        <f>Table1[[#This Row],[oss]]*INDEX(Table3[k_OSS2ROP],MATCH(Table1[[#This Row],[site.plot]],Table3[site.plot],FALSE))</f>
        <v>1.8978467684228045E-2</v>
      </c>
      <c r="L114">
        <f>Table1[[#This Row],[srp]]*INDEX(Table5[k_SRP2LOP],MATCH(Table1[[#This Row],[site]],Table5[site],FALSE))</f>
        <v>1.4138514434868082E-2</v>
      </c>
      <c r="M114">
        <f>Table1[[#This Row],[iss]]*INDEX(Table5[k_ISS2PIP],MATCH(Table1[[#This Row],[site]],Table5[site],FALSE))</f>
        <v>2.6634969274809232E-3</v>
      </c>
      <c r="N114">
        <f>Table1[[#This Row],[rop]]+Table1[[#This Row],[lop]]+Table1[[#This Row],[pip]]</f>
        <v>3.5780479046577052E-2</v>
      </c>
      <c r="O114">
        <f>(Table1[[#This Row],[nsrp_pred]]-Table1[[#This Row],[nsrp]])^2</f>
        <v>1.6611397236682249E-4</v>
      </c>
    </row>
    <row r="115" spans="1:15">
      <c r="A115" t="s">
        <v>28</v>
      </c>
      <c r="B115" t="s">
        <v>25</v>
      </c>
      <c r="C115">
        <v>1.3440738461538461E-3</v>
      </c>
      <c r="D115">
        <v>54.166666666666671</v>
      </c>
      <c r="E115">
        <v>3.3333333333333357</v>
      </c>
      <c r="F115">
        <v>50.833333333333336</v>
      </c>
      <c r="G115">
        <v>1.4596E-2</v>
      </c>
      <c r="H115">
        <v>8.7400000000000005E-2</v>
      </c>
      <c r="I115">
        <v>7.2804000000000008E-2</v>
      </c>
      <c r="J115">
        <v>0.16700228832951944</v>
      </c>
      <c r="K115">
        <f>Table1[[#This Row],[oss]]*INDEX(Table3[k_OSS2ROP],MATCH(Table1[[#This Row],[site.plot]],Table3[site.plot],FALSE))</f>
        <v>3.1501674251371722E-2</v>
      </c>
      <c r="L115">
        <f>Table1[[#This Row],[srp]]*INDEX(Table5[k_SRP2LOP],MATCH(Table1[[#This Row],[site]],Table5[site],FALSE))</f>
        <v>2.1652057149442294E-2</v>
      </c>
      <c r="M115">
        <f>Table1[[#This Row],[iss]]*INDEX(Table5[k_ISS2PIP],MATCH(Table1[[#This Row],[site]],Table5[site],FALSE))</f>
        <v>3.5513292366412333E-3</v>
      </c>
      <c r="N115">
        <f>Table1[[#This Row],[rop]]+Table1[[#This Row],[lop]]+Table1[[#This Row],[pip]]</f>
        <v>5.670506063745525E-2</v>
      </c>
      <c r="O115">
        <f>(Table1[[#This Row],[nsrp_pred]]-Table1[[#This Row],[nsrp]])^2</f>
        <v>2.5917584859889303E-4</v>
      </c>
    </row>
    <row r="116" spans="1:15">
      <c r="A116" t="s">
        <v>28</v>
      </c>
      <c r="B116" t="s">
        <v>25</v>
      </c>
      <c r="C116">
        <v>1.053263157894737E-3</v>
      </c>
      <c r="D116">
        <v>47.5</v>
      </c>
      <c r="E116">
        <v>5</v>
      </c>
      <c r="F116">
        <v>42.5</v>
      </c>
      <c r="G116">
        <v>1.3469999999999999E-2</v>
      </c>
      <c r="H116">
        <v>6.3500000000000001E-2</v>
      </c>
      <c r="I116">
        <v>5.0030000000000005E-2</v>
      </c>
      <c r="J116">
        <v>0.21212598425196849</v>
      </c>
      <c r="K116">
        <f>Table1[[#This Row],[oss]]*INDEX(Table3[k_OSS2ROP],MATCH(Table1[[#This Row],[site.plot]],Table3[site.plot],FALSE))</f>
        <v>2.6337465357704228E-2</v>
      </c>
      <c r="L116">
        <f>Table1[[#This Row],[srp]]*INDEX(Table5[k_SRP2LOP],MATCH(Table1[[#This Row],[site]],Table5[site],FALSE))</f>
        <v>1.9981721691078907E-2</v>
      </c>
      <c r="M116">
        <f>Table1[[#This Row],[iss]]*INDEX(Table5[k_ISS2PIP],MATCH(Table1[[#This Row],[site]],Table5[site],FALSE))</f>
        <v>5.3269938549618465E-3</v>
      </c>
      <c r="N116">
        <f>Table1[[#This Row],[rop]]+Table1[[#This Row],[lop]]+Table1[[#This Row],[pip]]</f>
        <v>5.1646180903744981E-2</v>
      </c>
      <c r="O116">
        <f>(Table1[[#This Row],[nsrp_pred]]-Table1[[#This Row],[nsrp]])^2</f>
        <v>2.612040713629929E-6</v>
      </c>
    </row>
    <row r="117" spans="1:15">
      <c r="A117" t="s">
        <v>28</v>
      </c>
      <c r="B117" t="s">
        <v>25</v>
      </c>
      <c r="C117">
        <v>1.0645347043701798E-3</v>
      </c>
      <c r="D117">
        <v>48.625000000000007</v>
      </c>
      <c r="E117">
        <v>3.75</v>
      </c>
      <c r="F117">
        <v>44.875000000000007</v>
      </c>
      <c r="G117">
        <v>6.1370000000000001E-3</v>
      </c>
      <c r="H117">
        <v>5.79E-2</v>
      </c>
      <c r="I117">
        <v>5.1763000000000003E-2</v>
      </c>
      <c r="J117">
        <v>0.10599309153713299</v>
      </c>
      <c r="K117">
        <f>Table1[[#This Row],[oss]]*INDEX(Table3[k_OSS2ROP],MATCH(Table1[[#This Row],[site.plot]],Table3[site.plot],FALSE))</f>
        <v>2.7809264892399467E-2</v>
      </c>
      <c r="L117">
        <f>Table1[[#This Row],[srp]]*INDEX(Table5[k_SRP2LOP],MATCH(Table1[[#This Row],[site]],Table5[site],FALSE))</f>
        <v>9.1037732752896252E-3</v>
      </c>
      <c r="M117">
        <f>Table1[[#This Row],[iss]]*INDEX(Table5[k_ISS2PIP],MATCH(Table1[[#This Row],[site]],Table5[site],FALSE))</f>
        <v>3.9952453912213848E-3</v>
      </c>
      <c r="N117">
        <f>Table1[[#This Row],[rop]]+Table1[[#This Row],[lop]]+Table1[[#This Row],[pip]]</f>
        <v>4.0908283558910477E-2</v>
      </c>
      <c r="O117">
        <f>(Table1[[#This Row],[nsrp_pred]]-Table1[[#This Row],[nsrp]])^2</f>
        <v>1.1782486901645927E-4</v>
      </c>
    </row>
    <row r="118" spans="1:15">
      <c r="A118" t="s">
        <v>28</v>
      </c>
      <c r="B118" t="s">
        <v>25</v>
      </c>
      <c r="C118">
        <v>1.4318E-3</v>
      </c>
      <c r="D118">
        <v>10</v>
      </c>
      <c r="E118">
        <v>1.0526315789473681</v>
      </c>
      <c r="F118">
        <v>8.9473684210526319</v>
      </c>
      <c r="G118">
        <v>1.3682E-2</v>
      </c>
      <c r="H118">
        <v>2.8000000000000001E-2</v>
      </c>
      <c r="I118">
        <v>1.4318000000000001E-2</v>
      </c>
      <c r="J118">
        <v>0.4886428571428571</v>
      </c>
      <c r="K118">
        <f>Table1[[#This Row],[oss]]*INDEX(Table3[k_OSS2ROP],MATCH(Table1[[#This Row],[site.plot]],Table3[site.plot],FALSE))</f>
        <v>5.5447295489903636E-3</v>
      </c>
      <c r="L118">
        <f>Table1[[#This Row],[srp]]*INDEX(Table5[k_SRP2LOP],MATCH(Table1[[#This Row],[site]],Table5[site],FALSE))</f>
        <v>2.0296207585548745E-2</v>
      </c>
      <c r="M118">
        <f>Table1[[#This Row],[iss]]*INDEX(Table5[k_ISS2PIP],MATCH(Table1[[#This Row],[site]],Table5[site],FALSE))</f>
        <v>1.1214723905182832E-3</v>
      </c>
      <c r="N118">
        <f>Table1[[#This Row],[rop]]+Table1[[#This Row],[lop]]+Table1[[#This Row],[pip]]</f>
        <v>2.6962409525057393E-2</v>
      </c>
      <c r="O118">
        <f>(Table1[[#This Row],[nsrp_pred]]-Table1[[#This Row],[nsrp]])^2</f>
        <v>1.598810922373621E-4</v>
      </c>
    </row>
    <row r="119" spans="1:15">
      <c r="A119" t="s">
        <v>28</v>
      </c>
      <c r="B119" t="s">
        <v>25</v>
      </c>
      <c r="C119">
        <v>3.3488571428571434E-3</v>
      </c>
      <c r="D119">
        <v>0.115</v>
      </c>
      <c r="E119">
        <v>1</v>
      </c>
      <c r="F119">
        <v>6</v>
      </c>
      <c r="G119">
        <v>8.6580000000000008E-3</v>
      </c>
      <c r="H119">
        <v>3.2100000000000004E-2</v>
      </c>
      <c r="I119">
        <v>2.3442000000000005E-2</v>
      </c>
      <c r="J119">
        <v>0.26971962616822431</v>
      </c>
      <c r="K119">
        <f>Table1[[#This Row],[oss]]*INDEX(Table3[k_OSS2ROP],MATCH(Table1[[#This Row],[site.plot]],Table3[site.plot],FALSE))</f>
        <v>3.7182304034405968E-3</v>
      </c>
      <c r="L119">
        <f>Table1[[#This Row],[srp]]*INDEX(Table5[k_SRP2LOP],MATCH(Table1[[#This Row],[site]],Table5[site],FALSE))</f>
        <v>1.2843485256225775E-2</v>
      </c>
      <c r="M119">
        <f>Table1[[#This Row],[iss]]*INDEX(Table5[k_ISS2PIP],MATCH(Table1[[#This Row],[site]],Table5[site],FALSE))</f>
        <v>1.0653987709923693E-3</v>
      </c>
      <c r="N119">
        <f>Table1[[#This Row],[rop]]+Table1[[#This Row],[lop]]+Table1[[#This Row],[pip]]</f>
        <v>1.7627114430658741E-2</v>
      </c>
      <c r="O119">
        <f>(Table1[[#This Row],[nsrp_pred]]-Table1[[#This Row],[nsrp]])^2</f>
        <v>3.3812894184533276E-5</v>
      </c>
    </row>
    <row r="120" spans="1:15">
      <c r="A120" t="s">
        <v>28</v>
      </c>
      <c r="B120" t="s">
        <v>24</v>
      </c>
      <c r="C120">
        <v>1.649435294117647E-2</v>
      </c>
      <c r="D120">
        <v>9.4444444444444446</v>
      </c>
      <c r="E120">
        <v>5.5555555555555554</v>
      </c>
      <c r="F120">
        <v>3.8888888888888893</v>
      </c>
      <c r="G120">
        <v>5.9220000000000002E-2</v>
      </c>
      <c r="H120">
        <v>0.215</v>
      </c>
      <c r="I120">
        <v>0.15578</v>
      </c>
      <c r="J120">
        <v>0.27544186046511632</v>
      </c>
      <c r="K120">
        <f>Table1[[#This Row],[oss]]*INDEX(Table3[k_OSS2ROP],MATCH(Table1[[#This Row],[site.plot]],Table3[site.plot],FALSE))</f>
        <v>3.9333373437708584E-3</v>
      </c>
      <c r="L120">
        <f>Table1[[#This Row],[srp]]*INDEX(Table5[k_SRP2LOP],MATCH(Table1[[#This Row],[site]],Table5[site],FALSE))</f>
        <v>8.7848371087282329E-2</v>
      </c>
      <c r="M120">
        <f>Table1[[#This Row],[iss]]*INDEX(Table5[k_ISS2PIP],MATCH(Table1[[#This Row],[site]],Table5[site],FALSE))</f>
        <v>5.9188820610687181E-3</v>
      </c>
      <c r="N120">
        <f>Table1[[#This Row],[rop]]+Table1[[#This Row],[lop]]+Table1[[#This Row],[pip]]</f>
        <v>9.7700590492121903E-2</v>
      </c>
      <c r="O120">
        <f>(Table1[[#This Row],[nsrp_pred]]-Table1[[#This Row],[nsrp]])^2</f>
        <v>3.3732178087838008E-3</v>
      </c>
    </row>
    <row r="121" spans="1:15">
      <c r="A121" t="s">
        <v>28</v>
      </c>
      <c r="B121" t="s">
        <v>24</v>
      </c>
      <c r="C121">
        <v>5.0746120689655972E-3</v>
      </c>
      <c r="D121">
        <v>14.499999999999773</v>
      </c>
      <c r="E121">
        <v>11.999999999999773</v>
      </c>
      <c r="F121">
        <v>2.5</v>
      </c>
      <c r="G121">
        <v>8.3400000000000002E-3</v>
      </c>
      <c r="H121">
        <v>8.1921875000000005E-2</v>
      </c>
      <c r="I121">
        <v>7.3581875000000005E-2</v>
      </c>
      <c r="J121">
        <v>0.10180431050925043</v>
      </c>
      <c r="K121">
        <f>Table1[[#This Row],[oss]]*INDEX(Table3[k_OSS2ROP],MATCH(Table1[[#This Row],[site.plot]],Table3[site.plot],FALSE))</f>
        <v>2.5285740067098376E-3</v>
      </c>
      <c r="L121">
        <f>Table1[[#This Row],[srp]]*INDEX(Table5[k_SRP2LOP],MATCH(Table1[[#This Row],[site]],Table5[site],FALSE))</f>
        <v>1.2371756414521016E-2</v>
      </c>
      <c r="M121">
        <f>Table1[[#This Row],[iss]]*INDEX(Table5[k_ISS2PIP],MATCH(Table1[[#This Row],[site]],Table5[site],FALSE))</f>
        <v>1.2784785251908189E-2</v>
      </c>
      <c r="N121">
        <f>Table1[[#This Row],[rop]]+Table1[[#This Row],[lop]]+Table1[[#This Row],[pip]]</f>
        <v>2.7685115673139041E-2</v>
      </c>
      <c r="O121">
        <f>(Table1[[#This Row],[nsrp_pred]]-Table1[[#This Row],[nsrp]])^2</f>
        <v>2.106512516707799E-3</v>
      </c>
    </row>
    <row r="122" spans="1:15">
      <c r="A122" t="s">
        <v>28</v>
      </c>
      <c r="B122" t="s">
        <v>24</v>
      </c>
      <c r="C122">
        <v>2.5489795918367348E-3</v>
      </c>
      <c r="D122">
        <v>24.5</v>
      </c>
      <c r="E122">
        <v>21.5</v>
      </c>
      <c r="F122">
        <v>3</v>
      </c>
      <c r="G122">
        <v>2.665E-2</v>
      </c>
      <c r="H122">
        <v>8.9099999999999999E-2</v>
      </c>
      <c r="I122">
        <v>6.2449999999999999E-2</v>
      </c>
      <c r="J122">
        <v>0.2991021324354658</v>
      </c>
      <c r="K122">
        <f>Table1[[#This Row],[oss]]*INDEX(Table3[k_OSS2ROP],MATCH(Table1[[#This Row],[site.plot]],Table3[site.plot],FALSE))</f>
        <v>3.0342888080518047E-3</v>
      </c>
      <c r="L122">
        <f>Table1[[#This Row],[srp]]*INDEX(Table5[k_SRP2LOP],MATCH(Table1[[#This Row],[site]],Table5[site],FALSE))</f>
        <v>3.9533250413307561E-2</v>
      </c>
      <c r="M122">
        <f>Table1[[#This Row],[iss]]*INDEX(Table5[k_ISS2PIP],MATCH(Table1[[#This Row],[site]],Table5[site],FALSE))</f>
        <v>2.290607357633594E-2</v>
      </c>
      <c r="N122">
        <f>Table1[[#This Row],[rop]]+Table1[[#This Row],[lop]]+Table1[[#This Row],[pip]]</f>
        <v>6.5473612797695299E-2</v>
      </c>
      <c r="O122">
        <f>(Table1[[#This Row],[nsrp_pred]]-Table1[[#This Row],[nsrp]])^2</f>
        <v>9.1422343503868033E-6</v>
      </c>
    </row>
    <row r="123" spans="1:15">
      <c r="A123" t="s">
        <v>28</v>
      </c>
      <c r="B123" t="s">
        <v>24</v>
      </c>
      <c r="C123">
        <v>1.3341111111111111E-2</v>
      </c>
      <c r="D123">
        <v>9</v>
      </c>
      <c r="E123">
        <v>9</v>
      </c>
      <c r="F123">
        <v>0</v>
      </c>
      <c r="G123">
        <v>6.8930000000000005E-2</v>
      </c>
      <c r="H123">
        <v>0.189</v>
      </c>
      <c r="I123">
        <v>0.12007</v>
      </c>
      <c r="J123">
        <v>0.36470899470899476</v>
      </c>
      <c r="K123">
        <f>Table1[[#This Row],[oss]]*INDEX(Table3[k_OSS2ROP],MATCH(Table1[[#This Row],[site.plot]],Table3[site.plot],FALSE))</f>
        <v>0</v>
      </c>
      <c r="L123">
        <f>Table1[[#This Row],[srp]]*INDEX(Table5[k_SRP2LOP],MATCH(Table1[[#This Row],[site]],Table5[site],FALSE))</f>
        <v>0.10225241842361316</v>
      </c>
      <c r="M123">
        <f>Table1[[#This Row],[iss]]*INDEX(Table5[k_ISS2PIP],MATCH(Table1[[#This Row],[site]],Table5[site],FALSE))</f>
        <v>9.5885889389313236E-3</v>
      </c>
      <c r="N123">
        <f>Table1[[#This Row],[rop]]+Table1[[#This Row],[lop]]+Table1[[#This Row],[pip]]</f>
        <v>0.11184100736254449</v>
      </c>
      <c r="O123">
        <f>(Table1[[#This Row],[nsrp_pred]]-Table1[[#This Row],[nsrp]])^2</f>
        <v>6.7716319827296984E-5</v>
      </c>
    </row>
    <row r="124" spans="1:15">
      <c r="A124" t="s">
        <v>28</v>
      </c>
      <c r="B124" t="s">
        <v>24</v>
      </c>
      <c r="C124">
        <v>1.0834833333333333E-2</v>
      </c>
      <c r="D124">
        <v>1.6216216216216215</v>
      </c>
      <c r="E124">
        <v>0</v>
      </c>
      <c r="F124">
        <v>1.6216216216216215</v>
      </c>
      <c r="G124">
        <v>2.6429999999999999E-2</v>
      </c>
      <c r="H124">
        <v>4.3999999999999997E-2</v>
      </c>
      <c r="I124">
        <v>1.7569999999999999E-2</v>
      </c>
      <c r="J124">
        <v>0.60068181818181821</v>
      </c>
      <c r="K124">
        <f>Table1[[#This Row],[oss]]*INDEX(Table3[k_OSS2ROP],MATCH(Table1[[#This Row],[site.plot]],Table3[site.plot],FALSE))</f>
        <v>1.6401561124604349E-3</v>
      </c>
      <c r="L124">
        <f>Table1[[#This Row],[srp]]*INDEX(Table5[k_SRP2LOP],MATCH(Table1[[#This Row],[site]],Table5[site],FALSE))</f>
        <v>3.920689712659358E-2</v>
      </c>
      <c r="M124">
        <f>Table1[[#This Row],[iss]]*INDEX(Table5[k_ISS2PIP],MATCH(Table1[[#This Row],[site]],Table5[site],FALSE))</f>
        <v>0</v>
      </c>
      <c r="N124">
        <f>Table1[[#This Row],[rop]]+Table1[[#This Row],[lop]]+Table1[[#This Row],[pip]]</f>
        <v>4.0847053239054014E-2</v>
      </c>
      <c r="O124">
        <f>(Table1[[#This Row],[nsrp_pred]]-Table1[[#This Row],[nsrp]])^2</f>
        <v>5.4182120749375498E-4</v>
      </c>
    </row>
    <row r="125" spans="1:15">
      <c r="A125" t="s">
        <v>28</v>
      </c>
      <c r="B125" t="s">
        <v>24</v>
      </c>
      <c r="C125">
        <v>3.5656833333333323E-3</v>
      </c>
      <c r="D125">
        <v>3.296703296703297</v>
      </c>
      <c r="E125">
        <v>2.197802197802198</v>
      </c>
      <c r="F125">
        <v>1.098901098901099</v>
      </c>
      <c r="G125">
        <v>2.2345E-2</v>
      </c>
      <c r="H125">
        <v>3.4099999999999998E-2</v>
      </c>
      <c r="I125">
        <v>1.1754999999999998E-2</v>
      </c>
      <c r="J125">
        <v>0.65527859237536656</v>
      </c>
      <c r="K125">
        <f>Table1[[#This Row],[oss]]*INDEX(Table3[k_OSS2ROP],MATCH(Table1[[#This Row],[site.plot]],Table3[site.plot],FALSE))</f>
        <v>1.1114611018504781E-3</v>
      </c>
      <c r="L125">
        <f>Table1[[#This Row],[srp]]*INDEX(Table5[k_SRP2LOP],MATCH(Table1[[#This Row],[site]],Table5[site],FALSE))</f>
        <v>3.3147109961927108E-2</v>
      </c>
      <c r="M125">
        <f>Table1[[#This Row],[iss]]*INDEX(Table5[k_ISS2PIP],MATCH(Table1[[#This Row],[site]],Table5[site],FALSE))</f>
        <v>2.3415357604227899E-3</v>
      </c>
      <c r="N125">
        <f>Table1[[#This Row],[rop]]+Table1[[#This Row],[lop]]+Table1[[#This Row],[pip]]</f>
        <v>3.6600106824200382E-2</v>
      </c>
      <c r="O125">
        <f>(Table1[[#This Row],[nsrp_pred]]-Table1[[#This Row],[nsrp]])^2</f>
        <v>6.1727933310592846E-4</v>
      </c>
    </row>
    <row r="126" spans="1:15">
      <c r="A126" t="s">
        <v>28</v>
      </c>
      <c r="B126" t="s">
        <v>24</v>
      </c>
      <c r="C126">
        <v>1.5276206896551723E-3</v>
      </c>
      <c r="D126">
        <v>48.333333333333336</v>
      </c>
      <c r="E126">
        <v>13.333333333333336</v>
      </c>
      <c r="F126">
        <v>35</v>
      </c>
      <c r="G126">
        <v>1.6265000000000002E-2</v>
      </c>
      <c r="H126">
        <v>9.01E-2</v>
      </c>
      <c r="I126">
        <v>7.3834999999999998E-2</v>
      </c>
      <c r="J126">
        <v>0.18052164261931189</v>
      </c>
      <c r="K126">
        <f>Table1[[#This Row],[oss]]*INDEX(Table3[k_OSS2ROP],MATCH(Table1[[#This Row],[site.plot]],Table3[site.plot],FALSE))</f>
        <v>3.5400036093937721E-2</v>
      </c>
      <c r="L126">
        <f>Table1[[#This Row],[srp]]*INDEX(Table5[k_SRP2LOP],MATCH(Table1[[#This Row],[site]],Table5[site],FALSE))</f>
        <v>2.412789185637702E-2</v>
      </c>
      <c r="M126">
        <f>Table1[[#This Row],[iss]]*INDEX(Table5[k_ISS2PIP],MATCH(Table1[[#This Row],[site]],Table5[site],FALSE))</f>
        <v>1.4205316946564926E-2</v>
      </c>
      <c r="N126">
        <f>Table1[[#This Row],[rop]]+Table1[[#This Row],[lop]]+Table1[[#This Row],[pip]]</f>
        <v>7.3733244896879657E-2</v>
      </c>
      <c r="O126">
        <f>(Table1[[#This Row],[nsrp_pred]]-Table1[[#This Row],[nsrp]])^2</f>
        <v>1.0354101011031157E-8</v>
      </c>
    </row>
    <row r="127" spans="1:15">
      <c r="A127" t="s">
        <v>28</v>
      </c>
      <c r="B127" t="s">
        <v>24</v>
      </c>
      <c r="C127">
        <v>2.0424499999999999E-3</v>
      </c>
      <c r="D127">
        <v>20</v>
      </c>
      <c r="E127">
        <v>0</v>
      </c>
      <c r="F127">
        <v>20</v>
      </c>
      <c r="G127">
        <v>1.6251000000000002E-2</v>
      </c>
      <c r="H127">
        <v>5.7099999999999998E-2</v>
      </c>
      <c r="I127">
        <v>4.0848999999999996E-2</v>
      </c>
      <c r="J127">
        <v>0.28460595446584941</v>
      </c>
      <c r="K127">
        <f>Table1[[#This Row],[oss]]*INDEX(Table3[k_OSS2ROP],MATCH(Table1[[#This Row],[site.plot]],Table3[site.plot],FALSE))</f>
        <v>2.02285920536787E-2</v>
      </c>
      <c r="L127">
        <f>Table1[[#This Row],[srp]]*INDEX(Table5[k_SRP2LOP],MATCH(Table1[[#This Row],[site]],Table5[site],FALSE))</f>
        <v>2.4107123919949767E-2</v>
      </c>
      <c r="M127">
        <f>Table1[[#This Row],[iss]]*INDEX(Table5[k_ISS2PIP],MATCH(Table1[[#This Row],[site]],Table5[site],FALSE))</f>
        <v>0</v>
      </c>
      <c r="N127">
        <f>Table1[[#This Row],[rop]]+Table1[[#This Row],[lop]]+Table1[[#This Row],[pip]]</f>
        <v>4.4335715973628467E-2</v>
      </c>
      <c r="O127">
        <f>(Table1[[#This Row],[nsrp_pred]]-Table1[[#This Row],[nsrp]])^2</f>
        <v>1.2157188280755935E-5</v>
      </c>
    </row>
    <row r="128" spans="1:15">
      <c r="A128" t="s">
        <v>28</v>
      </c>
      <c r="B128" t="s">
        <v>24</v>
      </c>
      <c r="C128">
        <v>9.3567999999999985E-3</v>
      </c>
      <c r="D128">
        <v>3.5294117647058822</v>
      </c>
      <c r="E128">
        <v>11.764705882352942</v>
      </c>
      <c r="F128">
        <v>-8.2352941176470598</v>
      </c>
      <c r="G128">
        <v>4.1276E-2</v>
      </c>
      <c r="H128">
        <v>7.4299999999999991E-2</v>
      </c>
      <c r="I128">
        <v>3.3023999999999991E-2</v>
      </c>
      <c r="J128">
        <v>0.55553162853297455</v>
      </c>
      <c r="K128">
        <f>Table1[[#This Row],[oss]]*INDEX(Table3[k_OSS2ROP],MATCH(Table1[[#This Row],[site.plot]],Table3[site.plot],FALSE))</f>
        <v>-8.3294202573971129E-3</v>
      </c>
      <c r="L128">
        <f>Table1[[#This Row],[srp]]*INDEX(Table5[k_SRP2LOP],MATCH(Table1[[#This Row],[site]],Table5[site],FALSE))</f>
        <v>6.1229810283665406E-2</v>
      </c>
      <c r="M128">
        <f>Table1[[#This Row],[iss]]*INDEX(Table5[k_ISS2PIP],MATCH(Table1[[#This Row],[site]],Table5[site],FALSE))</f>
        <v>1.2534103188145521E-2</v>
      </c>
      <c r="N128">
        <f>Table1[[#This Row],[rop]]+Table1[[#This Row],[lop]]+Table1[[#This Row],[pip]]</f>
        <v>6.5434493214413816E-2</v>
      </c>
      <c r="O128">
        <f>(Table1[[#This Row],[nsrp_pred]]-Table1[[#This Row],[nsrp]])^2</f>
        <v>1.0504400704015647E-3</v>
      </c>
    </row>
    <row r="129" spans="1:15">
      <c r="A129" t="s">
        <v>28</v>
      </c>
      <c r="B129" t="s">
        <v>24</v>
      </c>
      <c r="C129">
        <v>5.9827272727273036E-3</v>
      </c>
      <c r="D129">
        <v>1.0999999999999943</v>
      </c>
      <c r="E129">
        <v>0</v>
      </c>
      <c r="F129">
        <v>1.0999999999999943</v>
      </c>
      <c r="G129">
        <v>1.6319E-2</v>
      </c>
      <c r="H129">
        <v>2.29E-2</v>
      </c>
      <c r="I129">
        <v>6.581E-3</v>
      </c>
      <c r="J129">
        <v>0.71262008733624449</v>
      </c>
      <c r="K129">
        <f>Table1[[#This Row],[oss]]*INDEX(Table3[k_OSS2ROP],MATCH(Table1[[#This Row],[site.plot]],Table3[site.plot],FALSE))</f>
        <v>1.1125725629523228E-3</v>
      </c>
      <c r="L129">
        <f>Table1[[#This Row],[srp]]*INDEX(Table5[k_SRP2LOP],MATCH(Table1[[#This Row],[site]],Table5[site],FALSE))</f>
        <v>2.4207996754024994E-2</v>
      </c>
      <c r="M129">
        <f>Table1[[#This Row],[iss]]*INDEX(Table5[k_ISS2PIP],MATCH(Table1[[#This Row],[site]],Table5[site],FALSE))</f>
        <v>0</v>
      </c>
      <c r="N129">
        <f>Table1[[#This Row],[rop]]+Table1[[#This Row],[lop]]+Table1[[#This Row],[pip]]</f>
        <v>2.5320569316977317E-2</v>
      </c>
      <c r="O129">
        <f>(Table1[[#This Row],[nsrp_pred]]-Table1[[#This Row],[nsrp]])^2</f>
        <v>3.5117145818579768E-4</v>
      </c>
    </row>
    <row r="130" spans="1:15">
      <c r="A130" t="s">
        <v>28</v>
      </c>
      <c r="B130" t="s">
        <v>24</v>
      </c>
      <c r="C130">
        <v>1.5597099303135886E-3</v>
      </c>
      <c r="D130">
        <v>34.787878787878796</v>
      </c>
      <c r="E130">
        <v>38.787878787878796</v>
      </c>
      <c r="F130">
        <v>-3.9999999999999969</v>
      </c>
      <c r="G130">
        <v>7.3410000000000003E-3</v>
      </c>
      <c r="H130">
        <v>6.1600000000000002E-2</v>
      </c>
      <c r="I130">
        <v>5.4259000000000002E-2</v>
      </c>
      <c r="J130">
        <v>0.11917207792207793</v>
      </c>
      <c r="K130">
        <f>Table1[[#This Row],[oss]]*INDEX(Table3[k_OSS2ROP],MATCH(Table1[[#This Row],[site.plot]],Table3[site.plot],FALSE))</f>
        <v>-4.0457184107357365E-3</v>
      </c>
      <c r="L130">
        <f>Table1[[#This Row],[srp]]*INDEX(Table5[k_SRP2LOP],MATCH(Table1[[#This Row],[site]],Table5[site],FALSE))</f>
        <v>1.0889815808033427E-2</v>
      </c>
      <c r="M130">
        <f>Table1[[#This Row],[iss]]*INDEX(Table5[k_ISS2PIP],MATCH(Table1[[#This Row],[site]],Table5[site],FALSE))</f>
        <v>4.1324558390007059E-2</v>
      </c>
      <c r="N130">
        <f>Table1[[#This Row],[rop]]+Table1[[#This Row],[lop]]+Table1[[#This Row],[pip]]</f>
        <v>4.8168655787304747E-2</v>
      </c>
      <c r="O130">
        <f>(Table1[[#This Row],[nsrp_pred]]-Table1[[#This Row],[nsrp]])^2</f>
        <v>3.7092292629110583E-5</v>
      </c>
    </row>
    <row r="131" spans="1:15">
      <c r="A131" t="s">
        <v>28</v>
      </c>
      <c r="B131" t="s">
        <v>24</v>
      </c>
      <c r="C131">
        <v>1.0836842105263157E-3</v>
      </c>
      <c r="D131">
        <v>38.000000000000007</v>
      </c>
      <c r="E131">
        <v>2.5</v>
      </c>
      <c r="F131">
        <v>35.500000000000007</v>
      </c>
      <c r="G131">
        <v>8.7200000000000003E-3</v>
      </c>
      <c r="H131">
        <v>4.99E-2</v>
      </c>
      <c r="I131">
        <v>4.1180000000000001E-2</v>
      </c>
      <c r="J131">
        <v>0.17474949899799599</v>
      </c>
      <c r="K131">
        <f>Table1[[#This Row],[oss]]*INDEX(Table3[k_OSS2ROP],MATCH(Table1[[#This Row],[site.plot]],Table3[site.plot],FALSE))</f>
        <v>3.5905750895279698E-2</v>
      </c>
      <c r="L131">
        <f>Table1[[#This Row],[srp]]*INDEX(Table5[k_SRP2LOP],MATCH(Table1[[#This Row],[site]],Table5[site],FALSE))</f>
        <v>1.2935457546117897E-2</v>
      </c>
      <c r="M131">
        <f>Table1[[#This Row],[iss]]*INDEX(Table5[k_ISS2PIP],MATCH(Table1[[#This Row],[site]],Table5[site],FALSE))</f>
        <v>2.6634969274809232E-3</v>
      </c>
      <c r="N131">
        <f>Table1[[#This Row],[rop]]+Table1[[#This Row],[lop]]+Table1[[#This Row],[pip]]</f>
        <v>5.1504705368878523E-2</v>
      </c>
      <c r="O131">
        <f>(Table1[[#This Row],[nsrp_pred]]-Table1[[#This Row],[nsrp]])^2</f>
        <v>1.0659954095414896E-4</v>
      </c>
    </row>
    <row r="132" spans="1:15">
      <c r="A132" t="s">
        <v>28</v>
      </c>
      <c r="B132" t="s">
        <v>24</v>
      </c>
      <c r="C132">
        <v>2.1378499999999993E-3</v>
      </c>
      <c r="D132">
        <v>4.3478260869565224</v>
      </c>
      <c r="E132">
        <v>1.0869565217391308</v>
      </c>
      <c r="F132">
        <v>3.2608695652173916</v>
      </c>
      <c r="G132">
        <v>1.6605000000000002E-2</v>
      </c>
      <c r="H132">
        <v>2.5899999999999999E-2</v>
      </c>
      <c r="I132">
        <v>9.2949999999999977E-3</v>
      </c>
      <c r="J132">
        <v>0.64111969111969125</v>
      </c>
      <c r="K132">
        <f>Table1[[#This Row],[oss]]*INDEX(Table3[k_OSS2ROP],MATCH(Table1[[#This Row],[site.plot]],Table3[site.plot],FALSE))</f>
        <v>3.298140008751962E-3</v>
      </c>
      <c r="L132">
        <f>Table1[[#This Row],[srp]]*INDEX(Table5[k_SRP2LOP],MATCH(Table1[[#This Row],[site]],Table5[site],FALSE))</f>
        <v>2.4632256026753178E-2</v>
      </c>
      <c r="M132">
        <f>Table1[[#This Row],[iss]]*INDEX(Table5[k_ISS2PIP],MATCH(Table1[[#This Row],[site]],Table5[site],FALSE))</f>
        <v>1.1580421423830105E-3</v>
      </c>
      <c r="N132">
        <f>Table1[[#This Row],[rop]]+Table1[[#This Row],[lop]]+Table1[[#This Row],[pip]]</f>
        <v>2.908843817788815E-2</v>
      </c>
      <c r="O132">
        <f>(Table1[[#This Row],[nsrp_pred]]-Table1[[#This Row],[nsrp]])^2</f>
        <v>3.9178019490188027E-4</v>
      </c>
    </row>
    <row r="133" spans="1:15">
      <c r="A133" t="s">
        <v>28</v>
      </c>
      <c r="B133" t="s">
        <v>24</v>
      </c>
      <c r="C133">
        <v>1.0107525000000001E-2</v>
      </c>
      <c r="D133">
        <v>2.1052631578947367</v>
      </c>
      <c r="E133">
        <v>1.0526315789473684</v>
      </c>
      <c r="F133">
        <v>1.0526315789473684</v>
      </c>
      <c r="G133">
        <v>7.221E-3</v>
      </c>
      <c r="H133">
        <v>2.8500000000000001E-2</v>
      </c>
      <c r="I133">
        <v>2.1278999999999999E-2</v>
      </c>
      <c r="J133">
        <v>0.25336842105263158</v>
      </c>
      <c r="K133">
        <f>Table1[[#This Row],[oss]]*INDEX(Table3[k_OSS2ROP],MATCH(Table1[[#This Row],[site.plot]],Table3[site.plot],FALSE))</f>
        <v>1.0646627396672999E-3</v>
      </c>
      <c r="L133">
        <f>Table1[[#This Row],[srp]]*INDEX(Table5[k_SRP2LOP],MATCH(Table1[[#This Row],[site]],Table5[site],FALSE))</f>
        <v>1.0711804924371253E-2</v>
      </c>
      <c r="M133">
        <f>Table1[[#This Row],[iss]]*INDEX(Table5[k_ISS2PIP],MATCH(Table1[[#This Row],[site]],Table5[site],FALSE))</f>
        <v>1.1214723905182834E-3</v>
      </c>
      <c r="N133">
        <f>Table1[[#This Row],[rop]]+Table1[[#This Row],[lop]]+Table1[[#This Row],[pip]]</f>
        <v>1.2897940054556837E-2</v>
      </c>
      <c r="O133">
        <f>(Table1[[#This Row],[nsrp_pred]]-Table1[[#This Row],[nsrp]])^2</f>
        <v>7.0242165809111744E-5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4068-7390-41A4-B796-C3EC94D0DC8D}">
  <dimension ref="A1:C58"/>
  <sheetViews>
    <sheetView topLeftCell="A33" workbookViewId="0">
      <selection activeCell="D18" sqref="D18"/>
    </sheetView>
  </sheetViews>
  <sheetFormatPr defaultRowHeight="13.8"/>
  <sheetData>
    <row r="1" spans="1:3">
      <c r="A1" t="s">
        <v>14</v>
      </c>
      <c r="B1" t="s">
        <v>88</v>
      </c>
    </row>
    <row r="2" spans="1:3">
      <c r="A2">
        <v>2.0540649045885312E-3</v>
      </c>
      <c r="B2">
        <v>9.2115255703332784E-4</v>
      </c>
      <c r="C2">
        <f>1-SUM(A:A)/SUM(B:B)</f>
        <v>-0.13933976468155485</v>
      </c>
    </row>
    <row r="3" spans="1:3">
      <c r="A3">
        <v>1.4186232882172809E-3</v>
      </c>
      <c r="B3">
        <v>5.9343372490281907E-4</v>
      </c>
    </row>
    <row r="4" spans="1:3">
      <c r="A4">
        <v>1.9382785624891877E-3</v>
      </c>
      <c r="B4">
        <v>6.0174519326044638E-4</v>
      </c>
    </row>
    <row r="5" spans="1:3">
      <c r="A5">
        <v>6.8738613119787205E-5</v>
      </c>
      <c r="B5">
        <v>2.4594232134132453E-6</v>
      </c>
    </row>
    <row r="6" spans="1:3">
      <c r="A6">
        <v>7.1058450391338118E-4</v>
      </c>
      <c r="B6">
        <v>3.3894633238586998E-4</v>
      </c>
    </row>
    <row r="7" spans="1:3">
      <c r="A7">
        <v>3.4380968781133804E-4</v>
      </c>
      <c r="B7">
        <v>1.9145551688544641E-4</v>
      </c>
    </row>
    <row r="8" spans="1:3">
      <c r="A8">
        <v>1.0771098513056876E-4</v>
      </c>
      <c r="B8">
        <v>2.4739480568339292E-5</v>
      </c>
    </row>
    <row r="9" spans="1:3">
      <c r="A9">
        <v>2.3227176198869421E-4</v>
      </c>
      <c r="B9">
        <v>5.6693442992650755E-5</v>
      </c>
    </row>
    <row r="10" spans="1:3">
      <c r="A10">
        <v>1.0333373058171449E-3</v>
      </c>
      <c r="B10">
        <v>1.6462160629434475E-4</v>
      </c>
    </row>
    <row r="11" spans="1:3">
      <c r="A11">
        <v>5.9030801847350226E-5</v>
      </c>
      <c r="B11">
        <v>6.0562772800282065E-4</v>
      </c>
    </row>
    <row r="12" spans="1:3">
      <c r="A12">
        <v>1.2781890272615929E-4</v>
      </c>
      <c r="B12">
        <v>3.3690425172266438E-6</v>
      </c>
    </row>
    <row r="13" spans="1:3">
      <c r="A13">
        <v>1.8117832853217328E-3</v>
      </c>
      <c r="B13">
        <v>1.2987731340814623E-3</v>
      </c>
    </row>
    <row r="14" spans="1:3">
      <c r="A14">
        <v>3.388769172511341E-5</v>
      </c>
      <c r="B14">
        <v>7.6151886556888039E-5</v>
      </c>
    </row>
    <row r="15" spans="1:3">
      <c r="A15">
        <v>2.2995389039582841E-4</v>
      </c>
      <c r="B15">
        <v>1.2535174454853988E-5</v>
      </c>
    </row>
    <row r="16" spans="1:3">
      <c r="A16">
        <v>1.0161566215602313E-3</v>
      </c>
      <c r="B16">
        <v>1.4397854468324823E-3</v>
      </c>
    </row>
    <row r="17" spans="1:2">
      <c r="A17">
        <v>6.6493478872118694E-4</v>
      </c>
      <c r="B17">
        <v>5.8148323920108265E-5</v>
      </c>
    </row>
    <row r="18" spans="1:2">
      <c r="A18">
        <v>5.5734831419596801E-4</v>
      </c>
      <c r="B18">
        <v>1.1932295778214229E-4</v>
      </c>
    </row>
    <row r="19" spans="1:2">
      <c r="A19">
        <v>1.8413652911807406E-4</v>
      </c>
      <c r="B19">
        <v>5.7113853313383797E-4</v>
      </c>
    </row>
    <row r="20" spans="1:2">
      <c r="A20">
        <v>1.7051212517375276E-5</v>
      </c>
      <c r="B20">
        <v>7.1583260980743036E-6</v>
      </c>
    </row>
    <row r="21" spans="1:2">
      <c r="A21">
        <v>8.802487104938901E-4</v>
      </c>
      <c r="B21">
        <v>3.0317080282552332E-5</v>
      </c>
    </row>
    <row r="22" spans="1:2">
      <c r="A22">
        <v>4.504217486037275E-5</v>
      </c>
      <c r="B22">
        <v>5.5693662824519378E-4</v>
      </c>
    </row>
    <row r="23" spans="1:2">
      <c r="A23">
        <v>9.2777249126325045E-4</v>
      </c>
      <c r="B23">
        <v>1.676899892163347E-8</v>
      </c>
    </row>
    <row r="24" spans="1:2">
      <c r="A24">
        <v>2.8645885765979538E-7</v>
      </c>
      <c r="B24">
        <v>4.5811001902960067E-4</v>
      </c>
    </row>
    <row r="25" spans="1:2">
      <c r="A25">
        <v>5.4827243339145961E-5</v>
      </c>
      <c r="B25">
        <v>2.3053881893807482E-4</v>
      </c>
    </row>
    <row r="26" spans="1:2">
      <c r="A26">
        <v>9.253359565687932E-5</v>
      </c>
      <c r="B26">
        <v>5.4147593340616787E-5</v>
      </c>
    </row>
    <row r="27" spans="1:2">
      <c r="A27">
        <v>2.0384798961876657E-4</v>
      </c>
      <c r="B27">
        <v>1.4077937128199884E-6</v>
      </c>
    </row>
    <row r="28" spans="1:2">
      <c r="A28">
        <v>3.046857278892992E-4</v>
      </c>
      <c r="B28">
        <v>6.6993434248093005E-7</v>
      </c>
    </row>
    <row r="29" spans="1:2">
      <c r="A29">
        <v>2.3442340846090051E-4</v>
      </c>
      <c r="B29">
        <v>2.5679605207226937E-5</v>
      </c>
    </row>
    <row r="30" spans="1:2">
      <c r="A30">
        <v>5.003192283326866E-5</v>
      </c>
      <c r="B30">
        <v>3.2987658171824426E-4</v>
      </c>
    </row>
    <row r="31" spans="1:2">
      <c r="A31">
        <v>9.6921745397067418E-4</v>
      </c>
      <c r="B31">
        <v>4.860947446679087E-3</v>
      </c>
    </row>
    <row r="32" spans="1:2">
      <c r="A32">
        <v>6.9212022727487628E-4</v>
      </c>
      <c r="B32">
        <v>1.5526393986892099E-4</v>
      </c>
    </row>
    <row r="33" spans="1:2">
      <c r="A33">
        <v>1.6085939624296308E-5</v>
      </c>
      <c r="B33">
        <v>3.090547015955481E-6</v>
      </c>
    </row>
    <row r="34" spans="1:2">
      <c r="A34">
        <v>3.5376399900713911E-4</v>
      </c>
      <c r="B34">
        <v>2.4421469841431296E-4</v>
      </c>
    </row>
    <row r="35" spans="1:2">
      <c r="A35">
        <v>3.9561594033952585E-5</v>
      </c>
      <c r="B35">
        <v>7.6010756354471789E-6</v>
      </c>
    </row>
    <row r="36" spans="1:2">
      <c r="A36">
        <v>4.0839776174265692E-4</v>
      </c>
      <c r="B36">
        <v>3.6540455366008253E-5</v>
      </c>
    </row>
    <row r="37" spans="1:2">
      <c r="A37">
        <v>4.0624017423822767E-4</v>
      </c>
      <c r="B37">
        <v>6.1473364502819542E-5</v>
      </c>
    </row>
    <row r="38" spans="1:2">
      <c r="A38">
        <v>6.0132665537187093E-4</v>
      </c>
      <c r="B38">
        <v>1.5752567936909573E-3</v>
      </c>
    </row>
    <row r="39" spans="1:2">
      <c r="A39">
        <v>2.5244126299353006E-4</v>
      </c>
      <c r="B39">
        <v>1.5081056160790423E-4</v>
      </c>
    </row>
    <row r="40" spans="1:2">
      <c r="A40">
        <v>1.2475602255007563E-5</v>
      </c>
      <c r="B40">
        <v>1.3853652606621403E-3</v>
      </c>
    </row>
    <row r="41" spans="1:2">
      <c r="A41">
        <v>1.0862369752318067E-6</v>
      </c>
      <c r="B41">
        <v>2.3391685524514616E-5</v>
      </c>
    </row>
    <row r="42" spans="1:2">
      <c r="A42">
        <v>6.8094264197783507E-4</v>
      </c>
      <c r="B42">
        <v>5.0260941758243488E-5</v>
      </c>
    </row>
    <row r="43" spans="1:2">
      <c r="A43">
        <v>1.2702003588432312E-5</v>
      </c>
      <c r="B43">
        <v>3.2621760775756483E-4</v>
      </c>
    </row>
    <row r="44" spans="1:2">
      <c r="A44">
        <v>4.0835930320971008E-5</v>
      </c>
      <c r="B44">
        <v>2.2190556833468381E-4</v>
      </c>
    </row>
    <row r="45" spans="1:2">
      <c r="A45">
        <v>1.1476253716480699E-3</v>
      </c>
      <c r="B45">
        <v>1.6173468338603981E-4</v>
      </c>
    </row>
    <row r="46" spans="1:2">
      <c r="A46">
        <v>6.4318357033095583E-4</v>
      </c>
      <c r="B46">
        <v>2.8882838311249643E-6</v>
      </c>
    </row>
    <row r="47" spans="1:2">
      <c r="A47">
        <v>6.6458840037074277E-4</v>
      </c>
      <c r="B47">
        <v>1.3223838915315826E-4</v>
      </c>
    </row>
    <row r="48" spans="1:2">
      <c r="A48">
        <v>4.3414033669288566E-4</v>
      </c>
      <c r="B48">
        <v>1.399371845350236E-4</v>
      </c>
    </row>
    <row r="49" spans="1:2">
      <c r="A49">
        <v>1.2934828578097456E-5</v>
      </c>
      <c r="B49">
        <v>1.3875984875215963E-7</v>
      </c>
    </row>
    <row r="50" spans="1:2">
      <c r="A50">
        <v>2.7548841513663975E-6</v>
      </c>
      <c r="B50">
        <v>1.7802243515214238E-4</v>
      </c>
    </row>
    <row r="51" spans="1:2">
      <c r="A51">
        <v>1.820132523731568E-5</v>
      </c>
      <c r="B51">
        <v>2.3921277167214281E-4</v>
      </c>
    </row>
    <row r="52" spans="1:2">
      <c r="A52">
        <v>1.0954765014408865E-5</v>
      </c>
      <c r="B52">
        <v>3.0619767130332897E-4</v>
      </c>
    </row>
    <row r="53" spans="1:2">
      <c r="A53">
        <v>7.3652729247779614E-5</v>
      </c>
      <c r="B53">
        <v>6.5676900383773598E-4</v>
      </c>
    </row>
    <row r="54" spans="1:2">
      <c r="A54">
        <v>3.4904429200951315E-7</v>
      </c>
      <c r="B54">
        <v>4.2141951057621062E-4</v>
      </c>
    </row>
    <row r="55" spans="1:2">
      <c r="A55">
        <v>4.2812595358191948E-5</v>
      </c>
      <c r="B55">
        <v>2.3025648608413381E-5</v>
      </c>
    </row>
    <row r="56" spans="1:2">
      <c r="A56">
        <v>1.6409112124938846E-4</v>
      </c>
      <c r="B56">
        <v>1.1786369713485435E-4</v>
      </c>
    </row>
    <row r="57" spans="1:2">
      <c r="A57">
        <v>2.0895183721538206E-6</v>
      </c>
      <c r="B57">
        <v>6.9530662808413575E-5</v>
      </c>
    </row>
    <row r="58" spans="1:2">
      <c r="A58">
        <v>8.4785171282445023E-5</v>
      </c>
      <c r="B58">
        <v>2.9882675061972755E-5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562D-CE37-4D20-9E53-1B94AC6364B6}">
  <dimension ref="A1:AQ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F10" sqref="AF10"/>
    </sheetView>
  </sheetViews>
  <sheetFormatPr defaultRowHeight="13.8"/>
  <cols>
    <col min="3" max="12" width="8.8984375" customWidth="1"/>
  </cols>
  <sheetData>
    <row r="1" spans="1:43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/>
      <c r="AE1"/>
      <c r="AF1"/>
      <c r="AG1" t="s">
        <v>133</v>
      </c>
      <c r="AH1" t="s">
        <v>132</v>
      </c>
      <c r="AI1" t="s">
        <v>131</v>
      </c>
      <c r="AJ1" t="s">
        <v>130</v>
      </c>
      <c r="AM1" s="5" t="s">
        <v>490</v>
      </c>
      <c r="AN1" s="5" t="s">
        <v>501</v>
      </c>
      <c r="AO1" s="5" t="s">
        <v>497</v>
      </c>
      <c r="AP1" s="5" t="s">
        <v>498</v>
      </c>
      <c r="AQ1" s="5" t="s">
        <v>500</v>
      </c>
    </row>
    <row r="2" spans="1:43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516</v>
      </c>
      <c r="AE2" t="s">
        <v>515</v>
      </c>
      <c r="AG2" t="s">
        <v>162</v>
      </c>
      <c r="AH2" t="s">
        <v>163</v>
      </c>
      <c r="AI2" t="s">
        <v>164</v>
      </c>
      <c r="AJ2" t="s">
        <v>165</v>
      </c>
      <c r="AK2" t="s">
        <v>183</v>
      </c>
      <c r="AL2" t="s">
        <v>182</v>
      </c>
      <c r="AM2" t="s">
        <v>491</v>
      </c>
      <c r="AN2" t="s">
        <v>499</v>
      </c>
      <c r="AO2" t="s">
        <v>492</v>
      </c>
      <c r="AP2" t="s">
        <v>493</v>
      </c>
      <c r="AQ2" t="s">
        <v>494</v>
      </c>
    </row>
    <row r="3" spans="1:43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f>INDEX(Table59[k_OSS2ROP],MATCH(parameters_siteplot!$A3,Table59[site],0))</f>
        <v>1E-3</v>
      </c>
      <c r="I3">
        <f>INDEX(Table59[k_SRP2PIP],MATCH(parameters_siteplot!$A3,Table59[site],0))</f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f>(P3+Q3)/2</f>
        <v>1.3273563772472894E-3</v>
      </c>
      <c r="S3">
        <f>(O3/1000000*0.5*K3+Q3*0.5*K3+P3*M3)/(K3+M3)</f>
        <v>1.0472411303890582E-3</v>
      </c>
      <c r="T3">
        <v>37.299999999999969</v>
      </c>
      <c r="U3">
        <v>51.450000000000031</v>
      </c>
      <c r="V3">
        <v>11.25</v>
      </c>
      <c r="W3">
        <f>V3/100</f>
        <v>0.1125</v>
      </c>
      <c r="X3">
        <f>1-T3/100</f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f>(AG3*(1-0.9))</f>
        <v>26.020814359441395</v>
      </c>
      <c r="AE3">
        <f>IF(AC3-AD3&lt;0,0,AC3-AD3)</f>
        <v>26.919190194292405</v>
      </c>
      <c r="AG3">
        <v>260.20814359441403</v>
      </c>
      <c r="AH3">
        <v>0.96011566284355399</v>
      </c>
      <c r="AI3">
        <v>0.29151419982749899</v>
      </c>
      <c r="AJ3">
        <v>0.66860146301605405</v>
      </c>
      <c r="AK3">
        <v>365</v>
      </c>
      <c r="AL3">
        <f>AK3/365</f>
        <v>1</v>
      </c>
      <c r="AM3" s="37">
        <v>100</v>
      </c>
      <c r="AN3">
        <v>83.526878569999994</v>
      </c>
      <c r="AO3">
        <v>0.71</v>
      </c>
      <c r="AP3">
        <v>-3.5</v>
      </c>
      <c r="AQ3" s="38">
        <f>AN3-AN$3</f>
        <v>0</v>
      </c>
    </row>
    <row r="4" spans="1:43">
      <c r="A4" t="s">
        <v>15</v>
      </c>
      <c r="B4">
        <v>1</v>
      </c>
      <c r="C4" t="s">
        <v>37</v>
      </c>
      <c r="D4">
        <v>3.8154741428735242</v>
      </c>
      <c r="E4">
        <v>4.0814999999999997E-2</v>
      </c>
      <c r="F4">
        <v>0.16666666666666666</v>
      </c>
      <c r="G4">
        <v>0.75185316341971653</v>
      </c>
      <c r="H4">
        <f>INDEX(Table59[k_OSS2ROP],MATCH(parameters_siteplot!$A4,Table59[site],0))</f>
        <v>1E-3</v>
      </c>
      <c r="I4">
        <f>INDEX(Table59[k_SRP2PIP],MATCH(parameters_siteplot!$A4,Table59[site],0))</f>
        <v>0.89863239892227176</v>
      </c>
      <c r="J4">
        <v>2.1485323744670735E-3</v>
      </c>
      <c r="K4">
        <v>155.32004408570199</v>
      </c>
      <c r="L4">
        <v>96.311876574930494</v>
      </c>
      <c r="M4">
        <v>834.53302508209094</v>
      </c>
      <c r="N4">
        <v>338.45116697723898</v>
      </c>
      <c r="O4">
        <v>1654.8476190476099</v>
      </c>
      <c r="P4">
        <v>9.2537921348316001E-4</v>
      </c>
      <c r="Q4">
        <v>1.1799215686274498E-3</v>
      </c>
      <c r="R4">
        <f t="shared" ref="R4:R17" si="0">(P4+Q4)/2</f>
        <v>1.0526503910553049E-3</v>
      </c>
      <c r="S4">
        <f t="shared" ref="S4:S17" si="1">(O4/1000000*0.5*K4+Q4*0.5*K4+P4*M4)/(K4+M4)</f>
        <v>1.0025808707263819E-3</v>
      </c>
      <c r="T4">
        <v>19.84499999999997</v>
      </c>
      <c r="U4">
        <v>50.15500000000003</v>
      </c>
      <c r="V4">
        <v>30</v>
      </c>
      <c r="W4">
        <f t="shared" ref="W4:W17" si="2">V4/100</f>
        <v>0.3</v>
      </c>
      <c r="X4">
        <f t="shared" ref="X4:X17" si="3">1-T4/100</f>
        <v>0.80155000000000032</v>
      </c>
      <c r="Y4">
        <v>4.0436851341638729</v>
      </c>
      <c r="Z4">
        <v>8.3246966613211404E-2</v>
      </c>
      <c r="AA4">
        <v>0.16916138737644151</v>
      </c>
      <c r="AB4">
        <v>559.444444444444</v>
      </c>
      <c r="AC4">
        <v>70.003475842890197</v>
      </c>
      <c r="AD4">
        <f t="shared" ref="AD4:AD17" si="4">(AG4*(1-0.9))</f>
        <v>48.944096860155391</v>
      </c>
      <c r="AE4">
        <f t="shared" ref="AE4:AE17" si="5">IF(AC4-AD4&lt;0,0,AC4-AD4)</f>
        <v>21.059378982734806</v>
      </c>
      <c r="AG4">
        <v>489.440968601554</v>
      </c>
      <c r="AH4">
        <v>1.15135716045933</v>
      </c>
      <c r="AI4">
        <v>0.255933061846152</v>
      </c>
      <c r="AJ4">
        <v>0.89542409861318495</v>
      </c>
      <c r="AK4">
        <v>365</v>
      </c>
      <c r="AL4">
        <f t="shared" ref="AL4:AL17" si="6">AK4/365</f>
        <v>1</v>
      </c>
      <c r="AM4" s="37">
        <v>100</v>
      </c>
      <c r="AN4">
        <v>83.634019510000002</v>
      </c>
      <c r="AO4">
        <v>0.71</v>
      </c>
      <c r="AP4">
        <v>-3.5</v>
      </c>
      <c r="AQ4" s="38">
        <f>AN4-AN$3</f>
        <v>0.10714094000000784</v>
      </c>
    </row>
    <row r="5" spans="1:43">
      <c r="A5" t="s">
        <v>15</v>
      </c>
      <c r="B5">
        <v>2</v>
      </c>
      <c r="C5" t="s">
        <v>40</v>
      </c>
      <c r="D5">
        <v>5.8424242424242419</v>
      </c>
      <c r="E5">
        <v>2.35E-2</v>
      </c>
      <c r="F5">
        <v>1</v>
      </c>
      <c r="G5">
        <v>0.79309988394022923</v>
      </c>
      <c r="H5">
        <f>INDEX(Table59[k_OSS2ROP],MATCH(parameters_siteplot!$A5,Table59[site],0))</f>
        <v>1E-3</v>
      </c>
      <c r="I5">
        <f>INDEX(Table59[k_SRP2PIP],MATCH(parameters_siteplot!$A5,Table59[site],0))</f>
        <v>0.89863239892227176</v>
      </c>
      <c r="J5">
        <v>2.1485323744670735E-3</v>
      </c>
      <c r="K5">
        <v>386.90320755856101</v>
      </c>
      <c r="L5">
        <v>137.479152199727</v>
      </c>
      <c r="M5">
        <v>974.78335601968695</v>
      </c>
      <c r="N5">
        <v>374.47728285635799</v>
      </c>
      <c r="O5">
        <v>755.17277486910996</v>
      </c>
      <c r="P5">
        <v>1.3437142857142602E-3</v>
      </c>
      <c r="Q5">
        <v>1.0268143459915601E-3</v>
      </c>
      <c r="R5">
        <f t="shared" si="0"/>
        <v>1.1852643158529101E-3</v>
      </c>
      <c r="S5">
        <f t="shared" si="1"/>
        <v>1.2150803508384508E-3</v>
      </c>
      <c r="T5">
        <v>16.730000000000018</v>
      </c>
      <c r="U5">
        <v>52.019999999999982</v>
      </c>
      <c r="V5">
        <v>31.25</v>
      </c>
      <c r="W5">
        <f t="shared" si="2"/>
        <v>0.3125</v>
      </c>
      <c r="X5">
        <f t="shared" si="3"/>
        <v>0.83269999999999977</v>
      </c>
      <c r="Y5">
        <v>4.1495536497869638</v>
      </c>
      <c r="Z5">
        <v>8.5800625276211795E-2</v>
      </c>
      <c r="AA5">
        <v>0.18833759695853591</v>
      </c>
      <c r="AB5">
        <v>461.666666666666</v>
      </c>
      <c r="AC5">
        <v>35.862509117431401</v>
      </c>
      <c r="AD5">
        <f t="shared" si="4"/>
        <v>42.580415754923493</v>
      </c>
      <c r="AE5">
        <f t="shared" si="5"/>
        <v>0</v>
      </c>
      <c r="AG5">
        <v>425.80415754923501</v>
      </c>
      <c r="AH5">
        <v>0.36776556106966701</v>
      </c>
      <c r="AI5">
        <v>9.5796323407033299E-2</v>
      </c>
      <c r="AJ5">
        <v>0.27196923766263298</v>
      </c>
      <c r="AK5">
        <v>365</v>
      </c>
      <c r="AL5">
        <f t="shared" si="6"/>
        <v>1</v>
      </c>
      <c r="AM5" s="37">
        <v>100</v>
      </c>
      <c r="AN5">
        <v>83.916164289999998</v>
      </c>
      <c r="AO5">
        <v>0.71</v>
      </c>
      <c r="AP5">
        <v>-3.5</v>
      </c>
      <c r="AQ5" s="38">
        <f>AN5-AN$3</f>
        <v>0.38928572000000372</v>
      </c>
    </row>
    <row r="6" spans="1:43">
      <c r="A6" t="s">
        <v>15</v>
      </c>
      <c r="B6">
        <v>3</v>
      </c>
      <c r="C6" t="s">
        <v>43</v>
      </c>
      <c r="D6">
        <v>6.3157894736842106</v>
      </c>
      <c r="E6">
        <v>2.7200000000000002E-2</v>
      </c>
      <c r="F6">
        <v>0.5</v>
      </c>
      <c r="G6">
        <v>0.71395126612517923</v>
      </c>
      <c r="H6">
        <f>INDEX(Table59[k_OSS2ROP],MATCH(parameters_siteplot!$A6,Table59[site],0))</f>
        <v>1E-3</v>
      </c>
      <c r="I6">
        <f>INDEX(Table59[k_SRP2PIP],MATCH(parameters_siteplot!$A6,Table59[site],0))</f>
        <v>0.89863239892227176</v>
      </c>
      <c r="J6">
        <v>2.1485323744670735E-3</v>
      </c>
      <c r="K6">
        <v>378.93094199659203</v>
      </c>
      <c r="L6">
        <v>49.510537885408041</v>
      </c>
      <c r="M6">
        <v>995.69023765013605</v>
      </c>
      <c r="N6">
        <v>156.953984206516</v>
      </c>
      <c r="O6">
        <v>2701.4482758620602</v>
      </c>
      <c r="P6">
        <v>1.2192819767441999E-3</v>
      </c>
      <c r="Q6">
        <v>6.5058510638297802E-4</v>
      </c>
      <c r="R6">
        <f t="shared" si="0"/>
        <v>9.3493354156358888E-4</v>
      </c>
      <c r="S6">
        <f t="shared" si="1"/>
        <v>1.3451864209099731E-3</v>
      </c>
      <c r="T6">
        <v>20.320000000000036</v>
      </c>
      <c r="U6">
        <v>58.429999999999964</v>
      </c>
      <c r="V6">
        <v>21.25</v>
      </c>
      <c r="W6">
        <f t="shared" si="2"/>
        <v>0.21249999999999999</v>
      </c>
      <c r="X6">
        <f t="shared" si="3"/>
        <v>0.79679999999999962</v>
      </c>
      <c r="Y6">
        <v>5.47442577292352</v>
      </c>
      <c r="Z6">
        <v>7.9958947024487428E-2</v>
      </c>
      <c r="AA6">
        <v>0.2395176677550194</v>
      </c>
      <c r="AB6">
        <v>281.37037037036998</v>
      </c>
      <c r="AC6">
        <v>18.236968449932</v>
      </c>
      <c r="AD6">
        <f t="shared" si="4"/>
        <v>26.313340192043796</v>
      </c>
      <c r="AE6">
        <f t="shared" si="5"/>
        <v>0</v>
      </c>
      <c r="AG6">
        <v>263.13340192043802</v>
      </c>
      <c r="AH6">
        <v>0.28640579995440002</v>
      </c>
      <c r="AI6">
        <v>0.121025858206292</v>
      </c>
      <c r="AJ6">
        <v>0.165379941748107</v>
      </c>
      <c r="AK6">
        <v>365</v>
      </c>
      <c r="AL6">
        <f t="shared" si="6"/>
        <v>1</v>
      </c>
      <c r="AM6" s="37">
        <v>100</v>
      </c>
      <c r="AN6">
        <v>83.895095240000003</v>
      </c>
      <c r="AO6">
        <v>0.71</v>
      </c>
      <c r="AP6">
        <v>-3.5</v>
      </c>
      <c r="AQ6" s="38">
        <f>AN6-AN$3</f>
        <v>0.36821667000000957</v>
      </c>
    </row>
    <row r="7" spans="1:43">
      <c r="A7" t="s">
        <v>15</v>
      </c>
      <c r="B7">
        <v>4</v>
      </c>
      <c r="C7" t="s">
        <v>46</v>
      </c>
      <c r="D7">
        <v>4.6401254303223149</v>
      </c>
      <c r="E7">
        <v>3.60725E-2</v>
      </c>
      <c r="F7">
        <v>0.64436141304347827</v>
      </c>
      <c r="G7">
        <v>0.66049916388654495</v>
      </c>
      <c r="H7">
        <f>INDEX(Table59[k_OSS2ROP],MATCH(parameters_siteplot!$A7,Table59[site],0))</f>
        <v>1E-3</v>
      </c>
      <c r="I7">
        <f>INDEX(Table59[k_SRP2PIP],MATCH(parameters_siteplot!$A7,Table59[site],0))</f>
        <v>0.89863239892227176</v>
      </c>
      <c r="J7">
        <v>2.1485323744670735E-3</v>
      </c>
      <c r="K7">
        <v>281.62544301026799</v>
      </c>
      <c r="L7">
        <v>70.672109987178999</v>
      </c>
      <c r="M7">
        <v>1223.0525753812699</v>
      </c>
      <c r="N7">
        <v>304.22925216217999</v>
      </c>
      <c r="O7">
        <v>952.89729729729697</v>
      </c>
      <c r="P7">
        <v>1.33514062499997E-3</v>
      </c>
      <c r="Q7">
        <v>1.15744210526315E-3</v>
      </c>
      <c r="R7">
        <f t="shared" si="0"/>
        <v>1.24629136513156E-3</v>
      </c>
      <c r="S7">
        <f t="shared" si="1"/>
        <v>1.2827394239065606E-3</v>
      </c>
      <c r="T7">
        <v>15.484999999999971</v>
      </c>
      <c r="U7">
        <v>49.515000000000029</v>
      </c>
      <c r="V7">
        <v>35</v>
      </c>
      <c r="W7">
        <f t="shared" si="2"/>
        <v>0.35</v>
      </c>
      <c r="X7">
        <f t="shared" si="3"/>
        <v>0.84515000000000029</v>
      </c>
      <c r="Y7">
        <v>3.8587007717796862</v>
      </c>
      <c r="Z7">
        <v>6.9779359392707824E-2</v>
      </c>
      <c r="AA7">
        <v>0.15294288653063859</v>
      </c>
      <c r="AB7">
        <v>446.03703703703701</v>
      </c>
      <c r="AC7">
        <v>37.2992644212135</v>
      </c>
      <c r="AD7">
        <f t="shared" si="4"/>
        <v>40.873777261582291</v>
      </c>
      <c r="AE7">
        <f t="shared" si="5"/>
        <v>0</v>
      </c>
      <c r="AG7">
        <v>408.73777261582302</v>
      </c>
      <c r="AH7">
        <v>0.33008590362665402</v>
      </c>
      <c r="AI7">
        <v>8.6596031964594894E-2</v>
      </c>
      <c r="AJ7">
        <v>0.24348987166205899</v>
      </c>
      <c r="AK7">
        <v>365</v>
      </c>
      <c r="AL7">
        <f t="shared" si="6"/>
        <v>1</v>
      </c>
      <c r="AM7" s="37">
        <v>100</v>
      </c>
      <c r="AN7">
        <v>83.995568180000006</v>
      </c>
      <c r="AO7">
        <v>0.71</v>
      </c>
      <c r="AP7">
        <v>-3.5</v>
      </c>
      <c r="AQ7" s="38">
        <f>AN7-AN$3</f>
        <v>0.46868961000001264</v>
      </c>
    </row>
    <row r="8" spans="1:43">
      <c r="A8" t="s">
        <v>26</v>
      </c>
      <c r="B8">
        <v>0</v>
      </c>
      <c r="C8" t="s">
        <v>35</v>
      </c>
      <c r="D8">
        <v>10.757390983000812</v>
      </c>
      <c r="E8">
        <v>0.12978333333333333</v>
      </c>
      <c r="F8">
        <v>0.23333333333333331</v>
      </c>
      <c r="G8">
        <v>0.46108402301620716</v>
      </c>
      <c r="H8">
        <f>INDEX(Table59[k_OSS2ROP],MATCH(parameters_siteplot!$A8,Table59[site],0))</f>
        <v>1E-3</v>
      </c>
      <c r="I8">
        <f>INDEX(Table59[k_SRP2PIP],MATCH(parameters_siteplot!$A8,Table59[site],0))</f>
        <v>0.62269675417155712</v>
      </c>
      <c r="J8">
        <f>INDEX(Table59[k_ISS2PIP],MATCH(parameters_siteplot!$A8,Table59[site],0))</f>
        <v>8.9984878039589403E-4</v>
      </c>
      <c r="K8">
        <v>354.012206655189</v>
      </c>
      <c r="L8">
        <v>108.429491307935</v>
      </c>
      <c r="M8">
        <v>1583.6962835065101</v>
      </c>
      <c r="N8">
        <v>619.96153150949306</v>
      </c>
      <c r="O8">
        <v>1147.8738532110001</v>
      </c>
      <c r="P8">
        <v>1.38203979238753E-3</v>
      </c>
      <c r="Q8">
        <v>1.4941256544502601E-3</v>
      </c>
      <c r="R8">
        <f t="shared" si="0"/>
        <v>1.4380827234188949E-3</v>
      </c>
      <c r="S8">
        <f t="shared" si="1"/>
        <v>1.3708880020880292E-3</v>
      </c>
      <c r="T8" s="6">
        <v>6.4499999999999602</v>
      </c>
      <c r="U8" s="6">
        <v>78.55000000000004</v>
      </c>
      <c r="V8" s="6">
        <v>15</v>
      </c>
      <c r="W8">
        <f t="shared" si="2"/>
        <v>0.15</v>
      </c>
      <c r="X8">
        <f t="shared" si="3"/>
        <v>0.93550000000000044</v>
      </c>
      <c r="Y8">
        <v>5.1035274186872428</v>
      </c>
      <c r="Z8">
        <v>0.1262952221135821</v>
      </c>
      <c r="AA8">
        <v>0.30288495639071317</v>
      </c>
      <c r="AB8">
        <v>547.92592592592496</v>
      </c>
      <c r="AC8">
        <v>213.696933915849</v>
      </c>
      <c r="AD8">
        <f t="shared" si="4"/>
        <v>33.422899201007596</v>
      </c>
      <c r="AE8">
        <f>IF(AC8-AD8&lt;0,0,AC8-AD8)</f>
        <v>180.27403471484141</v>
      </c>
      <c r="AG8">
        <v>334.22899201007601</v>
      </c>
      <c r="AH8">
        <v>1.2528625090166301</v>
      </c>
      <c r="AI8">
        <v>0.70027582114498899</v>
      </c>
      <c r="AJ8">
        <v>0.552586687871641</v>
      </c>
      <c r="AK8">
        <v>365</v>
      </c>
      <c r="AL8">
        <f t="shared" si="6"/>
        <v>1</v>
      </c>
      <c r="AM8" s="37">
        <v>100</v>
      </c>
      <c r="AN8">
        <v>77.296940000000006</v>
      </c>
      <c r="AO8">
        <v>5.8</v>
      </c>
      <c r="AP8">
        <v>-3.6</v>
      </c>
      <c r="AQ8" s="38">
        <f>AN8-AN$8</f>
        <v>0</v>
      </c>
    </row>
    <row r="9" spans="1:43">
      <c r="A9" t="s">
        <v>26</v>
      </c>
      <c r="B9">
        <v>1</v>
      </c>
      <c r="C9" t="s">
        <v>38</v>
      </c>
      <c r="D9">
        <v>5.1512113617376789</v>
      </c>
      <c r="E9">
        <v>0.152175</v>
      </c>
      <c r="F9">
        <v>0.44629629629629619</v>
      </c>
      <c r="G9">
        <v>0.45854482931096929</v>
      </c>
      <c r="H9">
        <f>INDEX(Table59[k_OSS2ROP],MATCH(parameters_siteplot!$A9,Table59[site],0))</f>
        <v>1E-3</v>
      </c>
      <c r="I9">
        <f>INDEX(Table59[k_SRP2PIP],MATCH(parameters_siteplot!$A9,Table59[site],0))</f>
        <v>0.62269675417155712</v>
      </c>
      <c r="J9">
        <f>INDEX(Table59[k_ISS2PIP],MATCH(parameters_siteplot!$A9,Table59[site],0))</f>
        <v>8.9984878039589403E-4</v>
      </c>
      <c r="K9">
        <v>416.273060642362</v>
      </c>
      <c r="L9">
        <v>115.10043421212401</v>
      </c>
      <c r="M9">
        <v>973.912235951752</v>
      </c>
      <c r="N9">
        <v>101.091222549514</v>
      </c>
      <c r="O9">
        <v>1239.5472103004199</v>
      </c>
      <c r="P9">
        <v>1.60183072916668E-3</v>
      </c>
      <c r="Q9">
        <v>1.6759810426540201E-3</v>
      </c>
      <c r="R9">
        <f t="shared" si="0"/>
        <v>1.63890588591035E-3</v>
      </c>
      <c r="S9">
        <f t="shared" si="1"/>
        <v>1.5586918427284368E-3</v>
      </c>
      <c r="T9" s="6">
        <v>9.3800000000000239</v>
      </c>
      <c r="U9" s="6">
        <v>81.869999999999976</v>
      </c>
      <c r="V9" s="6">
        <v>8.75</v>
      </c>
      <c r="W9">
        <f t="shared" si="2"/>
        <v>8.7499999999999994E-2</v>
      </c>
      <c r="X9">
        <f t="shared" si="3"/>
        <v>0.90619999999999978</v>
      </c>
      <c r="Y9">
        <v>6.4087608510743319</v>
      </c>
      <c r="Z9">
        <v>0.10311462748586714</v>
      </c>
      <c r="AA9">
        <v>0.21804444908855938</v>
      </c>
      <c r="AB9">
        <v>568.81481481481399</v>
      </c>
      <c r="AC9">
        <v>76.6080558673181</v>
      </c>
      <c r="AD9">
        <f t="shared" si="4"/>
        <v>49.22067589474959</v>
      </c>
      <c r="AE9">
        <f t="shared" si="5"/>
        <v>27.38737997256851</v>
      </c>
      <c r="AG9">
        <v>492.20675894749598</v>
      </c>
      <c r="AH9">
        <v>0.908286963506998</v>
      </c>
      <c r="AI9">
        <v>0.59795015851282196</v>
      </c>
      <c r="AJ9">
        <v>0.31033680499417499</v>
      </c>
      <c r="AK9">
        <v>365</v>
      </c>
      <c r="AL9">
        <f t="shared" si="6"/>
        <v>1</v>
      </c>
      <c r="AM9" s="37">
        <v>100</v>
      </c>
      <c r="AN9">
        <v>77.706502330000006</v>
      </c>
      <c r="AO9">
        <v>5.8</v>
      </c>
      <c r="AP9">
        <v>-3.6</v>
      </c>
      <c r="AQ9" s="38">
        <f>AN9-AN$8</f>
        <v>0.40956232999999997</v>
      </c>
    </row>
    <row r="10" spans="1:43">
      <c r="A10" t="s">
        <v>26</v>
      </c>
      <c r="B10">
        <v>2</v>
      </c>
      <c r="C10" t="s">
        <v>41</v>
      </c>
      <c r="D10">
        <v>4.6041112883218958</v>
      </c>
      <c r="E10">
        <v>0.13498333333333332</v>
      </c>
      <c r="F10">
        <v>0.49206349206348943</v>
      </c>
      <c r="G10">
        <v>0.39728587189900305</v>
      </c>
      <c r="H10">
        <f>INDEX(Table59[k_OSS2ROP],MATCH(parameters_siteplot!$A10,Table59[site],0))</f>
        <v>1E-3</v>
      </c>
      <c r="I10">
        <f>INDEX(Table59[k_SRP2PIP],MATCH(parameters_siteplot!$A10,Table59[site],0))</f>
        <v>0.62269675417155712</v>
      </c>
      <c r="J10">
        <f>INDEX(Table59[k_ISS2PIP],MATCH(parameters_siteplot!$A10,Table59[site],0))</f>
        <v>8.9984878039589403E-4</v>
      </c>
      <c r="K10">
        <v>333.21176739255901</v>
      </c>
      <c r="L10">
        <v>122.46737593604402</v>
      </c>
      <c r="M10">
        <v>2007.9317565910401</v>
      </c>
      <c r="N10">
        <v>1432.08641928521</v>
      </c>
      <c r="O10">
        <v>1140.9773662551399</v>
      </c>
      <c r="P10">
        <v>2.0653881818181899E-3</v>
      </c>
      <c r="Q10">
        <v>2.592825E-3</v>
      </c>
      <c r="R10">
        <f t="shared" si="0"/>
        <v>2.3291065909090952E-3</v>
      </c>
      <c r="S10">
        <f t="shared" si="1"/>
        <v>2.0371377977812439E-3</v>
      </c>
      <c r="T10" s="6">
        <v>6.2550000000000248</v>
      </c>
      <c r="U10" s="6">
        <v>83.744999999999976</v>
      </c>
      <c r="V10" s="6">
        <v>10</v>
      </c>
      <c r="W10">
        <f t="shared" si="2"/>
        <v>0.1</v>
      </c>
      <c r="X10">
        <f t="shared" si="3"/>
        <v>0.93744999999999978</v>
      </c>
      <c r="Y10">
        <v>5.1967898363982226</v>
      </c>
      <c r="Z10">
        <v>0.12063130902945179</v>
      </c>
      <c r="AA10">
        <v>0.18659215532097317</v>
      </c>
      <c r="AB10">
        <v>506</v>
      </c>
      <c r="AC10">
        <v>48.601921024544502</v>
      </c>
      <c r="AD10">
        <f t="shared" si="4"/>
        <v>45.739807897545489</v>
      </c>
      <c r="AE10">
        <f t="shared" si="5"/>
        <v>2.862113126999013</v>
      </c>
      <c r="AG10">
        <v>457.39807897545501</v>
      </c>
      <c r="AH10">
        <v>0.71541250012539803</v>
      </c>
      <c r="AI10">
        <v>0.31693583307884499</v>
      </c>
      <c r="AJ10">
        <v>0.39847666704655199</v>
      </c>
      <c r="AK10">
        <v>365</v>
      </c>
      <c r="AL10">
        <f t="shared" si="6"/>
        <v>1</v>
      </c>
      <c r="AM10" s="37">
        <v>100</v>
      </c>
      <c r="AN10">
        <v>77.663022729999994</v>
      </c>
      <c r="AO10">
        <v>5.8</v>
      </c>
      <c r="AP10">
        <v>-3.6</v>
      </c>
      <c r="AQ10" s="38">
        <f>AN10-AN$8</f>
        <v>0.36608272999998803</v>
      </c>
    </row>
    <row r="11" spans="1:43">
      <c r="A11" t="s">
        <v>26</v>
      </c>
      <c r="B11">
        <v>3</v>
      </c>
      <c r="C11" t="s">
        <v>44</v>
      </c>
      <c r="D11">
        <v>2.8486842105262591</v>
      </c>
      <c r="E11">
        <v>7.0500000000000007E-2</v>
      </c>
      <c r="F11">
        <v>0.97222222222222221</v>
      </c>
      <c r="G11">
        <v>0.58273545454545461</v>
      </c>
      <c r="H11">
        <f>INDEX(Table59[k_OSS2ROP],MATCH(parameters_siteplot!$A11,Table59[site],0))</f>
        <v>1E-3</v>
      </c>
      <c r="I11">
        <f>INDEX(Table59[k_SRP2PIP],MATCH(parameters_siteplot!$A11,Table59[site],0))</f>
        <v>0.62269675417155712</v>
      </c>
      <c r="J11">
        <f>INDEX(Table59[k_ISS2PIP],MATCH(parameters_siteplot!$A11,Table59[site],0))</f>
        <v>8.9984878039589403E-4</v>
      </c>
      <c r="K11">
        <v>329.53897386360001</v>
      </c>
      <c r="L11">
        <v>139.764921769897</v>
      </c>
      <c r="M11">
        <v>998.30359785394205</v>
      </c>
      <c r="N11">
        <v>211.730566536705</v>
      </c>
      <c r="O11">
        <v>823.78541666666604</v>
      </c>
      <c r="P11">
        <v>1.3727667253521098E-3</v>
      </c>
      <c r="Q11">
        <v>1.9519804878048701E-3</v>
      </c>
      <c r="R11">
        <f t="shared" si="0"/>
        <v>1.6623736065784901E-3</v>
      </c>
      <c r="S11">
        <f t="shared" si="1"/>
        <v>1.3765182136701013E-3</v>
      </c>
      <c r="T11" s="6">
        <v>2.9699999999999704</v>
      </c>
      <c r="U11" s="6">
        <v>88.28000000000003</v>
      </c>
      <c r="V11" s="6">
        <v>8.75</v>
      </c>
      <c r="W11">
        <f t="shared" si="2"/>
        <v>8.7499999999999994E-2</v>
      </c>
      <c r="X11">
        <f t="shared" si="3"/>
        <v>0.97030000000000027</v>
      </c>
      <c r="Y11">
        <v>5.846058153356477</v>
      </c>
      <c r="Z11">
        <v>0.10196395966697526</v>
      </c>
      <c r="AA11">
        <v>0.15987167991177909</v>
      </c>
      <c r="AB11">
        <v>480.29629629629602</v>
      </c>
      <c r="AC11">
        <v>44.278942717117403</v>
      </c>
      <c r="AD11">
        <f t="shared" si="4"/>
        <v>43.601735357917789</v>
      </c>
      <c r="AE11">
        <f t="shared" si="5"/>
        <v>0.67720735919961328</v>
      </c>
      <c r="AG11">
        <v>436.01735357917801</v>
      </c>
      <c r="AH11">
        <v>0.45106434701481302</v>
      </c>
      <c r="AI11">
        <v>0.17817454074889899</v>
      </c>
      <c r="AJ11">
        <v>0.27288980626591403</v>
      </c>
      <c r="AK11">
        <v>365</v>
      </c>
      <c r="AL11">
        <f t="shared" si="6"/>
        <v>1</v>
      </c>
      <c r="AM11" s="37">
        <v>100</v>
      </c>
      <c r="AN11">
        <v>78.006302379999994</v>
      </c>
      <c r="AO11">
        <v>5.8</v>
      </c>
      <c r="AP11">
        <v>-3.6</v>
      </c>
      <c r="AQ11" s="38">
        <f>AN11-AN$8</f>
        <v>0.70936237999998752</v>
      </c>
    </row>
    <row r="12" spans="1:43">
      <c r="A12" t="s">
        <v>26</v>
      </c>
      <c r="B12">
        <v>4</v>
      </c>
      <c r="C12" t="s">
        <v>47</v>
      </c>
      <c r="D12">
        <v>16.122527472527473</v>
      </c>
      <c r="E12">
        <v>0.13761666666666666</v>
      </c>
      <c r="F12">
        <v>0.29381778037534895</v>
      </c>
      <c r="G12">
        <v>0.43305313160381603</v>
      </c>
      <c r="H12">
        <f>INDEX(Table59[k_OSS2ROP],MATCH(parameters_siteplot!$A12,Table59[site],0))</f>
        <v>1E-3</v>
      </c>
      <c r="I12">
        <f>INDEX(Table59[k_SRP2PIP],MATCH(parameters_siteplot!$A12,Table59[site],0))</f>
        <v>0.62269675417155712</v>
      </c>
      <c r="J12">
        <f>INDEX(Table59[k_ISS2PIP],MATCH(parameters_siteplot!$A12,Table59[site],0))</f>
        <v>8.9984878039589403E-4</v>
      </c>
      <c r="K12">
        <v>369.42422909889501</v>
      </c>
      <c r="L12">
        <v>153.56065391367002</v>
      </c>
      <c r="M12">
        <v>1387.6942682210499</v>
      </c>
      <c r="N12">
        <v>444.64002654893699</v>
      </c>
      <c r="O12">
        <v>540.71891891891801</v>
      </c>
      <c r="P12">
        <v>1.2582019230768999E-3</v>
      </c>
      <c r="Q12">
        <v>1.5570414507772E-3</v>
      </c>
      <c r="R12">
        <f t="shared" si="0"/>
        <v>1.4076216869270499E-3</v>
      </c>
      <c r="S12">
        <f t="shared" si="1"/>
        <v>1.2141932111449636E-3</v>
      </c>
      <c r="T12" s="6">
        <v>15.989999999999965</v>
      </c>
      <c r="U12" s="6">
        <v>75.260000000000034</v>
      </c>
      <c r="V12" s="6">
        <v>8.75</v>
      </c>
      <c r="W12">
        <f t="shared" si="2"/>
        <v>8.7499999999999994E-2</v>
      </c>
      <c r="X12">
        <f t="shared" si="3"/>
        <v>0.84010000000000029</v>
      </c>
      <c r="Y12">
        <v>5.0013522085755246</v>
      </c>
      <c r="Z12">
        <v>9.233054552352693E-2</v>
      </c>
      <c r="AA12">
        <v>0.17654644294310856</v>
      </c>
      <c r="AB12">
        <v>243.07407407407399</v>
      </c>
      <c r="AC12">
        <v>23.400058211452802</v>
      </c>
      <c r="AD12">
        <f t="shared" si="4"/>
        <v>21.967401586262095</v>
      </c>
      <c r="AE12">
        <f t="shared" si="5"/>
        <v>1.432656625190706</v>
      </c>
      <c r="AG12">
        <v>219.67401586262099</v>
      </c>
      <c r="AH12">
        <v>0.22410797496054</v>
      </c>
      <c r="AI12">
        <v>7.81563808908914E-2</v>
      </c>
      <c r="AJ12">
        <v>0.145951594069649</v>
      </c>
      <c r="AK12">
        <v>365</v>
      </c>
      <c r="AL12">
        <f t="shared" si="6"/>
        <v>1</v>
      </c>
      <c r="AM12" s="37">
        <v>100</v>
      </c>
      <c r="AN12">
        <v>77.821019050000004</v>
      </c>
      <c r="AO12">
        <v>5.8</v>
      </c>
      <c r="AP12">
        <v>-3.6</v>
      </c>
      <c r="AQ12" s="38">
        <f>AN12-AN$8</f>
        <v>0.52407904999999744</v>
      </c>
    </row>
    <row r="13" spans="1:43">
      <c r="A13" t="s">
        <v>28</v>
      </c>
      <c r="B13">
        <v>0</v>
      </c>
      <c r="C13" t="s">
        <v>36</v>
      </c>
      <c r="D13">
        <v>7.0722977902855968</v>
      </c>
      <c r="E13">
        <v>0.10941041666666666</v>
      </c>
      <c r="F13">
        <v>0.42618354852397372</v>
      </c>
      <c r="G13">
        <v>0.44010200593906251</v>
      </c>
      <c r="H13">
        <f>INDEX(Table59[k_OSS2ROP],MATCH(parameters_siteplot!$A13,Table59[site],0))</f>
        <v>1E-3</v>
      </c>
      <c r="I13">
        <f>INDEX(Table59[k_SRP2PIP],MATCH(parameters_siteplot!$A13,Table59[site],0))</f>
        <v>1.4192113250241647</v>
      </c>
      <c r="J13">
        <f>INDEX(Table59[k_ISS2PIP],MATCH(parameters_siteplot!$A13,Table59[site],0))</f>
        <v>9.383718100787632E-4</v>
      </c>
      <c r="K13">
        <v>302.23561159425799</v>
      </c>
      <c r="L13">
        <v>73.013113489711998</v>
      </c>
      <c r="M13">
        <v>1064.50872301703</v>
      </c>
      <c r="N13">
        <v>164.5863743358</v>
      </c>
      <c r="O13">
        <v>1421.03517587939</v>
      </c>
      <c r="P13">
        <v>1.4866556603773499E-3</v>
      </c>
      <c r="Q13">
        <v>2.7429458128078801E-3</v>
      </c>
      <c r="R13">
        <f t="shared" si="0"/>
        <v>2.114800736592615E-3</v>
      </c>
      <c r="S13">
        <f t="shared" si="1"/>
        <v>1.6183052916145923E-3</v>
      </c>
      <c r="T13" s="6">
        <v>1.4549999999999841</v>
      </c>
      <c r="U13" s="6">
        <v>87.295000000000016</v>
      </c>
      <c r="V13" s="6">
        <v>11.25</v>
      </c>
      <c r="W13">
        <f t="shared" si="2"/>
        <v>0.1125</v>
      </c>
      <c r="X13">
        <f t="shared" si="3"/>
        <v>0.98545000000000016</v>
      </c>
      <c r="Y13">
        <v>3.4469039267027926</v>
      </c>
      <c r="Z13">
        <v>0.16643182782203911</v>
      </c>
      <c r="AA13">
        <v>0.29914264435717103</v>
      </c>
      <c r="AB13">
        <v>544.85185185185105</v>
      </c>
      <c r="AC13">
        <v>78.880757075389695</v>
      </c>
      <c r="AD13">
        <f t="shared" si="4"/>
        <v>46.597109477646192</v>
      </c>
      <c r="AE13">
        <f t="shared" si="5"/>
        <v>32.283647597743503</v>
      </c>
      <c r="AG13">
        <v>465.971094776462</v>
      </c>
      <c r="AH13">
        <v>1.6814206736489501</v>
      </c>
      <c r="AI13">
        <v>1.03113392874902</v>
      </c>
      <c r="AJ13">
        <v>0.65028674489992999</v>
      </c>
      <c r="AK13">
        <v>365</v>
      </c>
      <c r="AL13">
        <f t="shared" si="6"/>
        <v>1</v>
      </c>
      <c r="AM13" s="37">
        <v>100</v>
      </c>
      <c r="AN13">
        <v>75.098470210000002</v>
      </c>
      <c r="AO13">
        <v>1.1000000000000001</v>
      </c>
      <c r="AP13">
        <v>-2.2999999999999998</v>
      </c>
      <c r="AQ13" s="38">
        <f>AN13-AN$13</f>
        <v>0</v>
      </c>
    </row>
    <row r="14" spans="1:43">
      <c r="A14" t="s">
        <v>28</v>
      </c>
      <c r="B14">
        <v>1</v>
      </c>
      <c r="C14" t="s">
        <v>39</v>
      </c>
      <c r="D14">
        <v>12.414529914529915</v>
      </c>
      <c r="E14">
        <v>0.10958333333333332</v>
      </c>
      <c r="F14">
        <v>0.37873357228195936</v>
      </c>
      <c r="G14">
        <v>0.55497018569866807</v>
      </c>
      <c r="H14">
        <f>INDEX(Table59[k_OSS2ROP],MATCH(parameters_siteplot!$A14,Table59[site],0))</f>
        <v>1E-3</v>
      </c>
      <c r="I14">
        <f>INDEX(Table59[k_SRP2PIP],MATCH(parameters_siteplot!$A14,Table59[site],0))</f>
        <v>1.4192113250241647</v>
      </c>
      <c r="J14">
        <f>INDEX(Table59[k_ISS2PIP],MATCH(parameters_siteplot!$A14,Table59[site],0))</f>
        <v>9.383718100787632E-4</v>
      </c>
      <c r="K14">
        <v>326.637176527674</v>
      </c>
      <c r="L14">
        <v>86.466447256938011</v>
      </c>
      <c r="M14">
        <v>609.78404755476402</v>
      </c>
      <c r="N14">
        <v>161.02060070898301</v>
      </c>
      <c r="O14">
        <v>1558.70789473684</v>
      </c>
      <c r="P14">
        <v>1.4471785714285899E-3</v>
      </c>
      <c r="Q14">
        <v>2.1472118226600902E-3</v>
      </c>
      <c r="R14">
        <f t="shared" si="0"/>
        <v>1.7971951970443402E-3</v>
      </c>
      <c r="S14">
        <f t="shared" si="1"/>
        <v>1.5887209142898069E-3</v>
      </c>
      <c r="T14" s="6">
        <v>2.9299999999999926</v>
      </c>
      <c r="U14" s="6">
        <v>84.570000000000007</v>
      </c>
      <c r="V14" s="6">
        <v>12.5</v>
      </c>
      <c r="W14">
        <f t="shared" si="2"/>
        <v>0.125</v>
      </c>
      <c r="X14">
        <f t="shared" si="3"/>
        <v>0.97070000000000012</v>
      </c>
      <c r="Y14">
        <v>5.1035884945251784</v>
      </c>
      <c r="Z14">
        <v>0.13158987097189292</v>
      </c>
      <c r="AA14">
        <v>0.18146927641612337</v>
      </c>
      <c r="AB14">
        <v>475.51851851851802</v>
      </c>
      <c r="AC14">
        <v>144.05671509446799</v>
      </c>
      <c r="AD14">
        <f t="shared" si="4"/>
        <v>33.14618034240489</v>
      </c>
      <c r="AE14">
        <f t="shared" si="5"/>
        <v>110.9105347520631</v>
      </c>
      <c r="AG14">
        <v>331.46180342404898</v>
      </c>
      <c r="AH14">
        <v>1.5343809403765001</v>
      </c>
      <c r="AI14">
        <v>0.78486124652597999</v>
      </c>
      <c r="AJ14">
        <v>0.74951969385052797</v>
      </c>
      <c r="AK14">
        <v>365</v>
      </c>
      <c r="AL14">
        <f t="shared" si="6"/>
        <v>1</v>
      </c>
      <c r="AM14" s="37">
        <v>100</v>
      </c>
      <c r="AN14">
        <v>75.133528569999996</v>
      </c>
      <c r="AO14">
        <v>1.1000000000000001</v>
      </c>
      <c r="AP14">
        <v>-2.2999999999999998</v>
      </c>
      <c r="AQ14" s="38">
        <f>AN14-AN$13</f>
        <v>3.5058359999993627E-2</v>
      </c>
    </row>
    <row r="15" spans="1:43">
      <c r="A15" t="s">
        <v>28</v>
      </c>
      <c r="B15">
        <v>2</v>
      </c>
      <c r="C15" t="s">
        <v>42</v>
      </c>
      <c r="D15">
        <v>7.4407216494845363</v>
      </c>
      <c r="E15">
        <v>0.28875000000000001</v>
      </c>
      <c r="F15">
        <v>0</v>
      </c>
      <c r="G15">
        <v>0.67013770116703919</v>
      </c>
      <c r="H15">
        <f>INDEX(Table59[k_OSS2ROP],MATCH(parameters_siteplot!$A15,Table59[site],0))</f>
        <v>1E-3</v>
      </c>
      <c r="I15">
        <f>INDEX(Table59[k_SRP2PIP],MATCH(parameters_siteplot!$A15,Table59[site],0))</f>
        <v>1.4192113250241647</v>
      </c>
      <c r="J15">
        <f>INDEX(Table59[k_ISS2PIP],MATCH(parameters_siteplot!$A15,Table59[site],0))</f>
        <v>9.383718100787632E-4</v>
      </c>
      <c r="K15">
        <v>222.641331127841</v>
      </c>
      <c r="L15">
        <v>87.606748122412</v>
      </c>
      <c r="M15">
        <v>845.85758596525102</v>
      </c>
      <c r="N15">
        <v>435.438931442654</v>
      </c>
      <c r="O15">
        <v>1675.1060606060601</v>
      </c>
      <c r="P15">
        <v>1.2249771897810101E-3</v>
      </c>
      <c r="Q15">
        <v>3.3715806451612897E-3</v>
      </c>
      <c r="R15">
        <f t="shared" si="0"/>
        <v>2.2982789174711498E-3</v>
      </c>
      <c r="S15">
        <f t="shared" si="1"/>
        <v>1.4955155742568268E-3</v>
      </c>
      <c r="T15" s="6">
        <v>2.9650000000000176</v>
      </c>
      <c r="U15" s="6">
        <v>82.034999999999982</v>
      </c>
      <c r="V15" s="6">
        <v>15</v>
      </c>
      <c r="W15">
        <f t="shared" si="2"/>
        <v>0.15</v>
      </c>
      <c r="X15">
        <f t="shared" si="3"/>
        <v>0.97034999999999982</v>
      </c>
      <c r="Y15">
        <v>4.1365468353502992</v>
      </c>
      <c r="Z15">
        <v>0.18547916017340912</v>
      </c>
      <c r="AA15">
        <v>0.20397912128676132</v>
      </c>
      <c r="AB15">
        <v>584.81481481481399</v>
      </c>
      <c r="AC15">
        <v>149.511479805596</v>
      </c>
      <c r="AD15">
        <f t="shared" si="4"/>
        <v>43.530333500921792</v>
      </c>
      <c r="AE15">
        <f t="shared" si="5"/>
        <v>105.98114630467421</v>
      </c>
      <c r="AG15">
        <v>435.30333500921802</v>
      </c>
      <c r="AH15">
        <v>1.3796707198887399</v>
      </c>
      <c r="AI15">
        <v>0.763014012062876</v>
      </c>
      <c r="AJ15">
        <v>0.61665670782586401</v>
      </c>
      <c r="AK15">
        <v>365</v>
      </c>
      <c r="AL15">
        <f t="shared" si="6"/>
        <v>1</v>
      </c>
      <c r="AM15" s="37">
        <v>100</v>
      </c>
      <c r="AN15">
        <v>75.18614762</v>
      </c>
      <c r="AO15">
        <v>1.1000000000000001</v>
      </c>
      <c r="AP15">
        <v>-2.2999999999999998</v>
      </c>
      <c r="AQ15" s="38">
        <f>AN15-AN$13</f>
        <v>8.7677409999997735E-2</v>
      </c>
    </row>
    <row r="16" spans="1:43">
      <c r="A16" t="s">
        <v>28</v>
      </c>
      <c r="B16">
        <v>3</v>
      </c>
      <c r="C16" t="s">
        <v>45</v>
      </c>
      <c r="D16">
        <v>1.9047619047619047</v>
      </c>
      <c r="E16">
        <v>9.64E-2</v>
      </c>
      <c r="F16">
        <v>0</v>
      </c>
      <c r="G16">
        <v>0.51224504310344832</v>
      </c>
      <c r="H16">
        <f>INDEX(Table59[k_OSS2ROP],MATCH(parameters_siteplot!$A16,Table59[site],0))</f>
        <v>1E-3</v>
      </c>
      <c r="I16">
        <f>INDEX(Table59[k_SRP2PIP],MATCH(parameters_siteplot!$A16,Table59[site],0))</f>
        <v>1.4192113250241647</v>
      </c>
      <c r="J16">
        <f>INDEX(Table59[k_ISS2PIP],MATCH(parameters_siteplot!$A16,Table59[site],0))</f>
        <v>9.383718100787632E-4</v>
      </c>
      <c r="K16">
        <v>364.27617422450498</v>
      </c>
      <c r="L16">
        <v>214.37541245136998</v>
      </c>
      <c r="M16">
        <v>1032.2772805034199</v>
      </c>
      <c r="N16">
        <v>690.94100568333897</v>
      </c>
      <c r="O16">
        <v>1643.76801801801</v>
      </c>
      <c r="P16">
        <v>1.0580670103092801E-3</v>
      </c>
      <c r="Q16">
        <v>1.9372461538461501E-3</v>
      </c>
      <c r="R16">
        <f t="shared" si="0"/>
        <v>1.497656582077715E-3</v>
      </c>
      <c r="S16">
        <f t="shared" si="1"/>
        <v>1.2491162449041423E-3</v>
      </c>
      <c r="T16" s="6">
        <v>12.775000000000034</v>
      </c>
      <c r="U16" s="6">
        <v>79.724999999999966</v>
      </c>
      <c r="V16" s="6">
        <v>7.5</v>
      </c>
      <c r="W16">
        <f t="shared" si="2"/>
        <v>7.4999999999999997E-2</v>
      </c>
      <c r="X16">
        <f t="shared" si="3"/>
        <v>0.87224999999999964</v>
      </c>
      <c r="Y16">
        <v>3.1921609953177414</v>
      </c>
      <c r="Z16">
        <v>0.22481171197133309</v>
      </c>
      <c r="AA16">
        <v>0.13604749124319901</v>
      </c>
      <c r="AB16">
        <v>430.03703703703701</v>
      </c>
      <c r="AC16">
        <v>51.848437089573501</v>
      </c>
      <c r="AD16">
        <f t="shared" si="4"/>
        <v>37.81885999474629</v>
      </c>
      <c r="AE16">
        <f t="shared" si="5"/>
        <v>14.029577094827211</v>
      </c>
      <c r="AG16">
        <v>378.18859994746299</v>
      </c>
      <c r="AH16">
        <v>0.56346808257600201</v>
      </c>
      <c r="AI16">
        <v>0.28852578504877402</v>
      </c>
      <c r="AJ16">
        <v>0.27494229752722699</v>
      </c>
      <c r="AK16">
        <v>365</v>
      </c>
      <c r="AL16">
        <f t="shared" si="6"/>
        <v>1</v>
      </c>
      <c r="AM16" s="37">
        <v>100</v>
      </c>
      <c r="AN16">
        <v>75.798938100000001</v>
      </c>
      <c r="AO16">
        <v>1.1000000000000001</v>
      </c>
      <c r="AP16">
        <v>-2.2999999999999998</v>
      </c>
      <c r="AQ16" s="38">
        <f>AN16-AN$13</f>
        <v>0.70046788999999876</v>
      </c>
    </row>
    <row r="17" spans="1:43">
      <c r="A17" t="s">
        <v>28</v>
      </c>
      <c r="B17">
        <v>4</v>
      </c>
      <c r="C17" t="s">
        <v>48</v>
      </c>
      <c r="D17">
        <v>7.2080778147654883</v>
      </c>
      <c r="E17">
        <v>0.15103593749999999</v>
      </c>
      <c r="F17">
        <v>0.20122928020148328</v>
      </c>
      <c r="G17">
        <v>0.54436373397705451</v>
      </c>
      <c r="H17">
        <f>INDEX(Table59[k_OSS2ROP],MATCH(parameters_siteplot!$A17,Table59[site],0))</f>
        <v>1E-3</v>
      </c>
      <c r="I17">
        <f>INDEX(Table59[k_SRP2PIP],MATCH(parameters_siteplot!$A17,Table59[site],0))</f>
        <v>1.4192113250241647</v>
      </c>
      <c r="J17">
        <f>INDEX(Table59[k_ISS2PIP],MATCH(parameters_siteplot!$A17,Table59[site],0))</f>
        <v>9.383718100787632E-4</v>
      </c>
      <c r="K17">
        <v>184.21889452712401</v>
      </c>
      <c r="L17">
        <v>47.053771998159021</v>
      </c>
      <c r="M17">
        <v>505.24963940251803</v>
      </c>
      <c r="N17">
        <v>277.93099077960301</v>
      </c>
      <c r="O17">
        <v>1086.7623966942101</v>
      </c>
      <c r="P17">
        <v>1.1284559800664299E-3</v>
      </c>
      <c r="Q17">
        <v>4.2594693877550998E-3</v>
      </c>
      <c r="R17">
        <f t="shared" si="0"/>
        <v>2.6939626839107651E-3</v>
      </c>
      <c r="S17">
        <f t="shared" si="1"/>
        <v>1.5411732070823197E-3</v>
      </c>
      <c r="T17" s="6">
        <v>24.085000000000036</v>
      </c>
      <c r="U17" s="6">
        <v>68.414999999999964</v>
      </c>
      <c r="V17" s="6">
        <v>7.5</v>
      </c>
      <c r="W17">
        <f t="shared" si="2"/>
        <v>7.4999999999999997E-2</v>
      </c>
      <c r="X17">
        <f t="shared" si="3"/>
        <v>0.75914999999999966</v>
      </c>
      <c r="Y17">
        <v>3.775993712508853</v>
      </c>
      <c r="Z17">
        <v>0.13297581035271647</v>
      </c>
      <c r="AA17">
        <v>0.17311022004876461</v>
      </c>
      <c r="AB17">
        <v>278.81481481481399</v>
      </c>
      <c r="AC17">
        <v>46.0126609910497</v>
      </c>
      <c r="AD17">
        <f t="shared" si="4"/>
        <v>23.280215382376493</v>
      </c>
      <c r="AE17">
        <f t="shared" si="5"/>
        <v>22.732445608673206</v>
      </c>
      <c r="AG17">
        <v>232.802153823765</v>
      </c>
      <c r="AH17">
        <v>0.39839704769511097</v>
      </c>
      <c r="AI17">
        <v>0.12673390756532299</v>
      </c>
      <c r="AJ17">
        <v>0.27166314012978698</v>
      </c>
      <c r="AK17">
        <v>365</v>
      </c>
      <c r="AL17">
        <f t="shared" si="6"/>
        <v>1</v>
      </c>
      <c r="AM17" s="37">
        <v>100</v>
      </c>
      <c r="AN17">
        <v>76.178809999999999</v>
      </c>
      <c r="AO17">
        <v>1.1000000000000001</v>
      </c>
      <c r="AP17">
        <v>-2.2999999999999998</v>
      </c>
      <c r="AQ17" s="38">
        <f>AN17-AN$13</f>
        <v>1.0803397899999965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AE33-7929-4132-A3D1-B64E95B2DA5E}">
  <dimension ref="A1:AO17"/>
  <sheetViews>
    <sheetView workbookViewId="0">
      <pane xSplit="3" ySplit="2" topLeftCell="D3" activePane="bottomRight" state="frozen"/>
      <selection activeCell="D18" sqref="D18"/>
      <selection pane="topRight" activeCell="D18" sqref="D18"/>
      <selection pane="bottomLeft" activeCell="D18" sqref="D18"/>
      <selection pane="bottomRight" activeCell="D18" sqref="D18"/>
    </sheetView>
  </sheetViews>
  <sheetFormatPr defaultRowHeight="13.8"/>
  <cols>
    <col min="3" max="12" width="8.8984375" customWidth="1"/>
  </cols>
  <sheetData>
    <row r="1" spans="1:4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488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484</v>
      </c>
      <c r="S1" s="5" t="s">
        <v>81</v>
      </c>
      <c r="T1" s="5" t="s">
        <v>81</v>
      </c>
      <c r="U1" s="5" t="s">
        <v>81</v>
      </c>
      <c r="V1" s="5" t="s">
        <v>156</v>
      </c>
      <c r="W1" s="5" t="s">
        <v>157</v>
      </c>
      <c r="X1" t="s">
        <v>153</v>
      </c>
      <c r="Y1" t="s">
        <v>158</v>
      </c>
      <c r="AA1" t="s">
        <v>135</v>
      </c>
      <c r="AB1" t="s">
        <v>134</v>
      </c>
      <c r="AC1" t="s">
        <v>133</v>
      </c>
      <c r="AD1" t="s">
        <v>132</v>
      </c>
      <c r="AE1" t="s">
        <v>131</v>
      </c>
      <c r="AF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</row>
    <row r="2" spans="1:4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155</v>
      </c>
      <c r="S2" t="s">
        <v>78</v>
      </c>
      <c r="T2" t="s">
        <v>79</v>
      </c>
      <c r="U2" t="s">
        <v>80</v>
      </c>
      <c r="V2" t="s">
        <v>154</v>
      </c>
      <c r="W2" t="s">
        <v>77</v>
      </c>
      <c r="X2" t="s">
        <v>82</v>
      </c>
      <c r="Y2" t="s">
        <v>76</v>
      </c>
      <c r="Z2" t="s">
        <v>75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183</v>
      </c>
      <c r="AH2" t="s">
        <v>182</v>
      </c>
      <c r="AI2" t="s">
        <v>502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503</v>
      </c>
    </row>
    <row r="3" spans="1:41">
      <c r="A3" t="s">
        <v>15</v>
      </c>
      <c r="B3">
        <v>0</v>
      </c>
      <c r="C3" t="s">
        <v>34</v>
      </c>
      <c r="D3">
        <f>INDEX(Table59[k_TSS],MATCH(parameters_siteplot!A3,Table59[site],0))</f>
        <v>3.5</v>
      </c>
      <c r="E3">
        <f>INDEX(Table59[k_TP],MATCH(parameters_siteplot!$A3,Table59[site],0))</f>
        <v>7.1749999999999994E-2</v>
      </c>
      <c r="F3">
        <f>INDEX(Table59[k_f_ISS],MATCH(parameters_siteplot!$A3,Table59[site],0))</f>
        <v>0.65789473684210575</v>
      </c>
      <c r="G3">
        <f>INDEX(Table59[k_f_SRP],MATCH(parameters_siteplot!$A3,Table59[site],0))</f>
        <v>0.40489795918367349</v>
      </c>
      <c r="H3">
        <f>INDEX(Table59[k_OSS2ROP],MATCH(parameters_siteplot!$A3,Table59[site],0))</f>
        <v>1E-3</v>
      </c>
      <c r="I3">
        <f>INDEX(Table59[k_SRP2PIP],MATCH(parameters_siteplot!$A3,Table59[site],0))</f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f>(M3*P3+K3*Q3)/(K3+M3)</f>
        <v>1.0516399875734087E-3</v>
      </c>
      <c r="S3">
        <v>37.299999999999969</v>
      </c>
      <c r="T3">
        <v>51.450000000000031</v>
      </c>
      <c r="U3">
        <v>11.25</v>
      </c>
      <c r="V3">
        <f>U3/100</f>
        <v>0.1125</v>
      </c>
      <c r="W3">
        <f>1-S3/100</f>
        <v>0.62700000000000033</v>
      </c>
      <c r="X3">
        <v>3.3638635924673501</v>
      </c>
      <c r="Y3">
        <v>0.12147797442676464</v>
      </c>
      <c r="Z3">
        <v>0.23972949333939941</v>
      </c>
      <c r="AA3">
        <v>313.14814814814798</v>
      </c>
      <c r="AB3">
        <v>52.9400045537338</v>
      </c>
      <c r="AC3">
        <v>260.20814359441403</v>
      </c>
      <c r="AD3">
        <v>0.96011566284355399</v>
      </c>
      <c r="AE3">
        <v>0.29151419982749899</v>
      </c>
      <c r="AF3">
        <v>0.66860146301605405</v>
      </c>
      <c r="AG3">
        <v>365</v>
      </c>
      <c r="AH3">
        <f>AG3/365</f>
        <v>1</v>
      </c>
      <c r="AI3" s="37">
        <v>9.9999999999999995E-7</v>
      </c>
      <c r="AJ3" s="37">
        <v>100</v>
      </c>
      <c r="AK3">
        <v>83.526878569999994</v>
      </c>
      <c r="AL3">
        <v>0.71</v>
      </c>
      <c r="AM3">
        <v>-3.5</v>
      </c>
      <c r="AN3" s="38">
        <f>AK3-AK$3</f>
        <v>0</v>
      </c>
    </row>
    <row r="4" spans="1:41">
      <c r="A4" t="s">
        <v>15</v>
      </c>
      <c r="B4">
        <v>1</v>
      </c>
      <c r="C4" t="s">
        <v>37</v>
      </c>
      <c r="D4">
        <f>INDEX(Table59[k_TSS],MATCH(parameters_siteplot!A4,Table59[site],0))</f>
        <v>3.5</v>
      </c>
      <c r="E4">
        <f>INDEX(Table59[k_TP],MATCH(parameters_siteplot!$A4,Table59[site],0))</f>
        <v>7.1749999999999994E-2</v>
      </c>
      <c r="F4">
        <f>INDEX(Table59[k_f_ISS],MATCH(parameters_siteplot!$A4,Table59[site],0))</f>
        <v>0.65789473684210575</v>
      </c>
      <c r="G4">
        <f>INDEX(Table59[k_f_SRP],MATCH(parameters_siteplot!$A4,Table59[site],0))</f>
        <v>0.40489795918367349</v>
      </c>
      <c r="H4">
        <f>INDEX(Table59[k_OSS2ROP],MATCH(parameters_siteplot!$A4,Table59[site],0))</f>
        <v>1E-3</v>
      </c>
      <c r="I4">
        <f>INDEX(Table59[k_SRP2PIP],MATCH(parameters_siteplot!$A4,Table59[site],0))</f>
        <v>0.89863239892227176</v>
      </c>
      <c r="J4">
        <v>2.1485323744670735E-3</v>
      </c>
      <c r="K4">
        <v>155.32004408570199</v>
      </c>
      <c r="L4">
        <v>96.311876574930494</v>
      </c>
      <c r="M4">
        <v>834.53302508209094</v>
      </c>
      <c r="N4">
        <v>338.45116697723898</v>
      </c>
      <c r="O4">
        <v>1654.8476190476099</v>
      </c>
      <c r="P4">
        <v>9.2537921348316001E-4</v>
      </c>
      <c r="Q4">
        <v>1.1799215686274498E-3</v>
      </c>
      <c r="R4">
        <f t="shared" ref="R4:R17" si="0">(K4*P4+M4*Q4)/(K4+M4)</f>
        <v>1.1399807622046053E-3</v>
      </c>
      <c r="S4">
        <v>19.84499999999997</v>
      </c>
      <c r="T4">
        <v>50.15500000000003</v>
      </c>
      <c r="U4">
        <v>30</v>
      </c>
      <c r="V4">
        <f t="shared" ref="V4:V17" si="1">U4/100</f>
        <v>0.3</v>
      </c>
      <c r="W4">
        <f t="shared" ref="W4:W17" si="2">1-S4/100</f>
        <v>0.80155000000000032</v>
      </c>
      <c r="X4">
        <v>4.0436851341638729</v>
      </c>
      <c r="Y4">
        <v>8.3246966613211404E-2</v>
      </c>
      <c r="Z4">
        <v>0.16916138737644151</v>
      </c>
      <c r="AA4">
        <v>559.444444444444</v>
      </c>
      <c r="AB4">
        <v>70.003475842890197</v>
      </c>
      <c r="AC4">
        <v>489.440968601554</v>
      </c>
      <c r="AD4">
        <v>1.15135716045933</v>
      </c>
      <c r="AE4">
        <v>0.255933061846152</v>
      </c>
      <c r="AF4">
        <v>0.89542409861318495</v>
      </c>
      <c r="AG4">
        <v>365</v>
      </c>
      <c r="AH4">
        <f t="shared" ref="AH4:AH17" si="3">AG4/365</f>
        <v>1</v>
      </c>
      <c r="AI4" s="37">
        <v>9.9999999999999995E-7</v>
      </c>
      <c r="AJ4" s="37">
        <v>100</v>
      </c>
      <c r="AK4">
        <v>83.634019510000002</v>
      </c>
      <c r="AL4">
        <v>0.71</v>
      </c>
      <c r="AM4">
        <v>-3.5</v>
      </c>
      <c r="AN4" s="38">
        <f>AK4-AK$3</f>
        <v>0.10714094000000784</v>
      </c>
    </row>
    <row r="5" spans="1:41">
      <c r="A5" t="s">
        <v>15</v>
      </c>
      <c r="B5">
        <v>2</v>
      </c>
      <c r="C5" t="s">
        <v>40</v>
      </c>
      <c r="D5">
        <f>INDEX(Table59[k_TSS],MATCH(parameters_siteplot!A5,Table59[site],0))</f>
        <v>3.5</v>
      </c>
      <c r="E5">
        <f>INDEX(Table59[k_TP],MATCH(parameters_siteplot!$A5,Table59[site],0))</f>
        <v>7.1749999999999994E-2</v>
      </c>
      <c r="F5">
        <f>INDEX(Table59[k_f_ISS],MATCH(parameters_siteplot!$A5,Table59[site],0))</f>
        <v>0.65789473684210575</v>
      </c>
      <c r="G5">
        <f>INDEX(Table59[k_f_SRP],MATCH(parameters_siteplot!$A5,Table59[site],0))</f>
        <v>0.40489795918367349</v>
      </c>
      <c r="H5">
        <f>INDEX(Table59[k_OSS2ROP],MATCH(parameters_siteplot!$A5,Table59[site],0))</f>
        <v>1E-3</v>
      </c>
      <c r="I5">
        <f>INDEX(Table59[k_SRP2PIP],MATCH(parameters_siteplot!$A5,Table59[site],0))</f>
        <v>0.89863239892227176</v>
      </c>
      <c r="J5">
        <v>2.1485323744670735E-3</v>
      </c>
      <c r="K5">
        <v>386.90320755856101</v>
      </c>
      <c r="L5">
        <v>137.479152199727</v>
      </c>
      <c r="M5">
        <v>974.78335601968695</v>
      </c>
      <c r="N5">
        <v>374.47728285635799</v>
      </c>
      <c r="O5">
        <v>755.17277486910996</v>
      </c>
      <c r="P5">
        <v>1.3437142857142602E-3</v>
      </c>
      <c r="Q5">
        <v>1.0268143459915601E-3</v>
      </c>
      <c r="R5">
        <f t="shared" si="0"/>
        <v>1.1168568024814247E-3</v>
      </c>
      <c r="S5">
        <v>16.730000000000018</v>
      </c>
      <c r="T5">
        <v>52.019999999999982</v>
      </c>
      <c r="U5">
        <v>31.25</v>
      </c>
      <c r="V5">
        <f t="shared" si="1"/>
        <v>0.3125</v>
      </c>
      <c r="W5">
        <f t="shared" si="2"/>
        <v>0.83269999999999977</v>
      </c>
      <c r="X5">
        <v>4.1495536497869638</v>
      </c>
      <c r="Y5">
        <v>8.5800625276211795E-2</v>
      </c>
      <c r="Z5">
        <v>0.18833759695853591</v>
      </c>
      <c r="AA5">
        <v>461.666666666666</v>
      </c>
      <c r="AB5">
        <v>35.862509117431401</v>
      </c>
      <c r="AC5">
        <v>425.80415754923501</v>
      </c>
      <c r="AD5">
        <v>0.36776556106966701</v>
      </c>
      <c r="AE5">
        <v>9.5796323407033299E-2</v>
      </c>
      <c r="AF5">
        <v>0.27196923766263298</v>
      </c>
      <c r="AG5">
        <v>365</v>
      </c>
      <c r="AH5">
        <f t="shared" si="3"/>
        <v>1</v>
      </c>
      <c r="AI5" s="37">
        <v>9.9999999999999995E-7</v>
      </c>
      <c r="AJ5" s="37">
        <v>100</v>
      </c>
      <c r="AK5">
        <v>83.916164289999998</v>
      </c>
      <c r="AL5">
        <v>0.71</v>
      </c>
      <c r="AM5">
        <v>-3.5</v>
      </c>
      <c r="AN5" s="38">
        <f>AK5-AK$3</f>
        <v>0.38928572000000372</v>
      </c>
    </row>
    <row r="6" spans="1:41">
      <c r="A6" t="s">
        <v>15</v>
      </c>
      <c r="B6">
        <v>3</v>
      </c>
      <c r="C6" t="s">
        <v>43</v>
      </c>
      <c r="D6">
        <f>INDEX(Table59[k_TSS],MATCH(parameters_siteplot!A6,Table59[site],0))</f>
        <v>3.5</v>
      </c>
      <c r="E6">
        <f>INDEX(Table59[k_TP],MATCH(parameters_siteplot!$A6,Table59[site],0))</f>
        <v>7.1749999999999994E-2</v>
      </c>
      <c r="F6">
        <f>INDEX(Table59[k_f_ISS],MATCH(parameters_siteplot!$A6,Table59[site],0))</f>
        <v>0.65789473684210575</v>
      </c>
      <c r="G6">
        <f>INDEX(Table59[k_f_SRP],MATCH(parameters_siteplot!$A6,Table59[site],0))</f>
        <v>0.40489795918367349</v>
      </c>
      <c r="H6">
        <f>INDEX(Table59[k_OSS2ROP],MATCH(parameters_siteplot!$A6,Table59[site],0))</f>
        <v>1E-3</v>
      </c>
      <c r="I6">
        <f>INDEX(Table59[k_SRP2PIP],MATCH(parameters_siteplot!$A6,Table59[site],0))</f>
        <v>0.89863239892227176</v>
      </c>
      <c r="J6">
        <v>2.1485323744670735E-3</v>
      </c>
      <c r="K6">
        <v>378.93094199659203</v>
      </c>
      <c r="L6">
        <v>49.510537885407999</v>
      </c>
      <c r="M6">
        <v>995.69023765013605</v>
      </c>
      <c r="N6">
        <v>156.953984206516</v>
      </c>
      <c r="O6">
        <v>2701.4482758620602</v>
      </c>
      <c r="P6">
        <v>1.2192819767441999E-3</v>
      </c>
      <c r="Q6">
        <v>6.5058510638297802E-4</v>
      </c>
      <c r="R6">
        <f t="shared" si="0"/>
        <v>8.0735327203271246E-4</v>
      </c>
      <c r="S6">
        <v>20.320000000000036</v>
      </c>
      <c r="T6">
        <v>58.429999999999964</v>
      </c>
      <c r="U6">
        <v>21.25</v>
      </c>
      <c r="V6">
        <f t="shared" si="1"/>
        <v>0.21249999999999999</v>
      </c>
      <c r="W6">
        <f t="shared" si="2"/>
        <v>0.79679999999999962</v>
      </c>
      <c r="X6">
        <v>5.47442577292352</v>
      </c>
      <c r="Y6">
        <v>7.9958947024487428E-2</v>
      </c>
      <c r="Z6">
        <v>0.2395176677550194</v>
      </c>
      <c r="AA6">
        <v>281.37037037036998</v>
      </c>
      <c r="AB6">
        <v>18.236968449932</v>
      </c>
      <c r="AC6">
        <v>263.13340192043802</v>
      </c>
      <c r="AD6">
        <v>0.28640579995440002</v>
      </c>
      <c r="AE6">
        <v>0.121025858206292</v>
      </c>
      <c r="AF6">
        <v>0.165379941748107</v>
      </c>
      <c r="AG6">
        <v>365</v>
      </c>
      <c r="AH6">
        <f t="shared" si="3"/>
        <v>1</v>
      </c>
      <c r="AI6" s="37">
        <v>9.9999999999999995E-7</v>
      </c>
      <c r="AJ6" s="37">
        <v>100</v>
      </c>
      <c r="AK6">
        <v>83.895095240000003</v>
      </c>
      <c r="AL6">
        <v>0.71</v>
      </c>
      <c r="AM6">
        <v>-3.5</v>
      </c>
      <c r="AN6" s="38">
        <f>AK6-AK$3</f>
        <v>0.36821667000000957</v>
      </c>
    </row>
    <row r="7" spans="1:41">
      <c r="A7" t="s">
        <v>15</v>
      </c>
      <c r="B7">
        <v>4</v>
      </c>
      <c r="C7" t="s">
        <v>46</v>
      </c>
      <c r="D7">
        <f>INDEX(Table59[k_TSS],MATCH(parameters_siteplot!A7,Table59[site],0))</f>
        <v>3.5</v>
      </c>
      <c r="E7">
        <f>INDEX(Table59[k_TP],MATCH(parameters_siteplot!$A7,Table59[site],0))</f>
        <v>7.1749999999999994E-2</v>
      </c>
      <c r="F7">
        <f>INDEX(Table59[k_f_ISS],MATCH(parameters_siteplot!$A7,Table59[site],0))</f>
        <v>0.65789473684210575</v>
      </c>
      <c r="G7">
        <f>INDEX(Table59[k_f_SRP],MATCH(parameters_siteplot!$A7,Table59[site],0))</f>
        <v>0.40489795918367349</v>
      </c>
      <c r="H7">
        <f>INDEX(Table59[k_OSS2ROP],MATCH(parameters_siteplot!$A7,Table59[site],0))</f>
        <v>1E-3</v>
      </c>
      <c r="I7">
        <f>INDEX(Table59[k_SRP2PIP],MATCH(parameters_siteplot!$A7,Table59[site],0))</f>
        <v>0.89863239892227176</v>
      </c>
      <c r="J7">
        <v>2.1485323744670735E-3</v>
      </c>
      <c r="K7">
        <v>281.62544301026799</v>
      </c>
      <c r="L7">
        <v>70.672109987178999</v>
      </c>
      <c r="M7">
        <v>1223.0525753812699</v>
      </c>
      <c r="N7">
        <v>304.22925216217999</v>
      </c>
      <c r="O7">
        <v>952.89729729729697</v>
      </c>
      <c r="P7">
        <v>1.33514062499997E-3</v>
      </c>
      <c r="Q7">
        <v>1.15744210526315E-3</v>
      </c>
      <c r="R7">
        <f t="shared" si="0"/>
        <v>1.1907013299819684E-3</v>
      </c>
      <c r="S7">
        <v>15.484999999999971</v>
      </c>
      <c r="T7">
        <v>49.515000000000029</v>
      </c>
      <c r="U7">
        <v>35</v>
      </c>
      <c r="V7">
        <f t="shared" si="1"/>
        <v>0.35</v>
      </c>
      <c r="W7">
        <f t="shared" si="2"/>
        <v>0.84515000000000029</v>
      </c>
      <c r="X7">
        <v>3.8587007717796862</v>
      </c>
      <c r="Y7">
        <v>6.9779359392707824E-2</v>
      </c>
      <c r="Z7">
        <v>0.15294288653063859</v>
      </c>
      <c r="AA7">
        <v>446.03703703703701</v>
      </c>
      <c r="AB7">
        <v>37.2992644212135</v>
      </c>
      <c r="AC7">
        <v>408.73777261582302</v>
      </c>
      <c r="AD7">
        <v>0.33008590362665402</v>
      </c>
      <c r="AE7">
        <v>8.6596031964594894E-2</v>
      </c>
      <c r="AF7">
        <v>0.24348987166205899</v>
      </c>
      <c r="AG7">
        <v>365</v>
      </c>
      <c r="AH7">
        <f t="shared" si="3"/>
        <v>1</v>
      </c>
      <c r="AI7" s="37">
        <v>9.9999999999999995E-7</v>
      </c>
      <c r="AJ7" s="37">
        <v>100</v>
      </c>
      <c r="AK7">
        <v>83.995568180000006</v>
      </c>
      <c r="AL7">
        <v>0.71</v>
      </c>
      <c r="AM7">
        <v>-3.5</v>
      </c>
      <c r="AN7" s="38">
        <f>AK7-AK$3</f>
        <v>0.46868961000001264</v>
      </c>
    </row>
    <row r="8" spans="1:41">
      <c r="A8" t="s">
        <v>26</v>
      </c>
      <c r="B8">
        <v>0</v>
      </c>
      <c r="C8" t="s">
        <v>35</v>
      </c>
      <c r="D8">
        <f>INDEX(Table59[k_TSS],MATCH(parameters_siteplot!A8,Table59[site],0))</f>
        <v>23.854166666666664</v>
      </c>
      <c r="E8">
        <f>INDEX(Table59[k_TP],MATCH(parameters_siteplot!$A8,Table59[site],0))</f>
        <v>5.9499999999999997E-2</v>
      </c>
      <c r="F8">
        <f>INDEX(Table59[k_f_ISS],MATCH(parameters_siteplot!$A8,Table59[site],0))</f>
        <v>0.23310810810810811</v>
      </c>
      <c r="G8">
        <f>INDEX(Table59[k_f_SRP],MATCH(parameters_siteplot!$A8,Table59[site],0))</f>
        <v>0.2587269102990033</v>
      </c>
      <c r="H8">
        <f>INDEX(Table59[k_OSS2ROP],MATCH(parameters_siteplot!$A8,Table59[site],0))</f>
        <v>1E-3</v>
      </c>
      <c r="I8">
        <f>INDEX(Table59[k_SRP2PIP],MATCH(parameters_siteplot!$A8,Table59[site],0))</f>
        <v>0.62269675417155712</v>
      </c>
      <c r="J8">
        <f>INDEX(Table59[k_ISS2PIP],MATCH(parameters_siteplot!$A8,Table59[site],0))</f>
        <v>8.9984878039589403E-4</v>
      </c>
      <c r="K8">
        <v>354.012206655189</v>
      </c>
      <c r="L8">
        <v>108.429491307935</v>
      </c>
      <c r="M8">
        <v>1583.6962835065101</v>
      </c>
      <c r="N8">
        <v>619.96153150949306</v>
      </c>
      <c r="O8">
        <v>1147.8738532110001</v>
      </c>
      <c r="P8">
        <v>1.38203979238753E-3</v>
      </c>
      <c r="Q8">
        <v>1.4941256544502601E-3</v>
      </c>
      <c r="R8">
        <f t="shared" si="0"/>
        <v>1.4736479801431383E-3</v>
      </c>
      <c r="S8" s="6">
        <v>6.4499999999999602</v>
      </c>
      <c r="T8" s="6">
        <v>78.55000000000004</v>
      </c>
      <c r="U8" s="6">
        <v>15</v>
      </c>
      <c r="V8">
        <f t="shared" si="1"/>
        <v>0.15</v>
      </c>
      <c r="W8">
        <f t="shared" si="2"/>
        <v>0.93550000000000044</v>
      </c>
      <c r="X8">
        <v>5.1035274186872428</v>
      </c>
      <c r="Y8">
        <v>0.1262952221135821</v>
      </c>
      <c r="Z8">
        <v>0.30288495639071317</v>
      </c>
      <c r="AA8">
        <v>547.92592592592496</v>
      </c>
      <c r="AB8">
        <v>213.696933915849</v>
      </c>
      <c r="AC8">
        <v>334.22899201007601</v>
      </c>
      <c r="AD8">
        <v>1.2528625090166301</v>
      </c>
      <c r="AE8">
        <v>0.70027582114498899</v>
      </c>
      <c r="AF8">
        <v>0.552586687871641</v>
      </c>
      <c r="AG8">
        <v>365</v>
      </c>
      <c r="AH8">
        <f t="shared" si="3"/>
        <v>1</v>
      </c>
      <c r="AI8" s="37">
        <v>9.9999999999999995E-7</v>
      </c>
      <c r="AJ8" s="37">
        <v>100</v>
      </c>
      <c r="AK8">
        <v>77.296940000000006</v>
      </c>
      <c r="AL8">
        <v>5.8</v>
      </c>
      <c r="AM8">
        <v>-3.6</v>
      </c>
      <c r="AN8" s="38">
        <f>AK8-AK$8</f>
        <v>0</v>
      </c>
    </row>
    <row r="9" spans="1:41">
      <c r="A9" t="s">
        <v>26</v>
      </c>
      <c r="B9">
        <v>1</v>
      </c>
      <c r="C9" t="s">
        <v>38</v>
      </c>
      <c r="D9">
        <f>INDEX(Table59[k_TSS],MATCH(parameters_siteplot!A9,Table59[site],0))</f>
        <v>23.854166666666664</v>
      </c>
      <c r="E9">
        <f>INDEX(Table59[k_TP],MATCH(parameters_siteplot!$A9,Table59[site],0))</f>
        <v>5.9499999999999997E-2</v>
      </c>
      <c r="F9">
        <f>INDEX(Table59[k_f_ISS],MATCH(parameters_siteplot!$A9,Table59[site],0))</f>
        <v>0.23310810810810811</v>
      </c>
      <c r="G9">
        <f>INDEX(Table59[k_f_SRP],MATCH(parameters_siteplot!$A9,Table59[site],0))</f>
        <v>0.2587269102990033</v>
      </c>
      <c r="H9">
        <f>INDEX(Table59[k_OSS2ROP],MATCH(parameters_siteplot!$A9,Table59[site],0))</f>
        <v>1E-3</v>
      </c>
      <c r="I9">
        <f>INDEX(Table59[k_SRP2PIP],MATCH(parameters_siteplot!$A9,Table59[site],0))</f>
        <v>0.62269675417155712</v>
      </c>
      <c r="J9">
        <f>INDEX(Table59[k_ISS2PIP],MATCH(parameters_siteplot!$A9,Table59[site],0))</f>
        <v>8.9984878039589403E-4</v>
      </c>
      <c r="K9">
        <v>416.273060642362</v>
      </c>
      <c r="L9">
        <v>115.10043421212401</v>
      </c>
      <c r="M9">
        <v>973.912235951752</v>
      </c>
      <c r="N9">
        <v>101.091222549514</v>
      </c>
      <c r="O9">
        <v>1239.5472103004199</v>
      </c>
      <c r="P9">
        <v>1.60183072916668E-3</v>
      </c>
      <c r="Q9">
        <v>1.6759810426540201E-3</v>
      </c>
      <c r="R9">
        <f t="shared" si="0"/>
        <v>1.6537776874476404E-3</v>
      </c>
      <c r="S9" s="6">
        <v>9.3800000000000239</v>
      </c>
      <c r="T9" s="6">
        <v>81.869999999999976</v>
      </c>
      <c r="U9" s="6">
        <v>8.75</v>
      </c>
      <c r="V9">
        <f t="shared" si="1"/>
        <v>8.7499999999999994E-2</v>
      </c>
      <c r="W9">
        <f t="shared" si="2"/>
        <v>0.90619999999999978</v>
      </c>
      <c r="X9">
        <v>6.4087608510743319</v>
      </c>
      <c r="Y9">
        <v>0.10311462748586714</v>
      </c>
      <c r="Z9">
        <v>0.21804444908855938</v>
      </c>
      <c r="AA9">
        <v>568.81481481481399</v>
      </c>
      <c r="AB9">
        <v>76.6080558673181</v>
      </c>
      <c r="AC9">
        <v>492.20675894749598</v>
      </c>
      <c r="AD9">
        <v>0.908286963506998</v>
      </c>
      <c r="AE9">
        <v>0.59795015851282196</v>
      </c>
      <c r="AF9">
        <v>0.31033680499417499</v>
      </c>
      <c r="AG9">
        <v>365</v>
      </c>
      <c r="AH9">
        <f t="shared" si="3"/>
        <v>1</v>
      </c>
      <c r="AI9" s="37">
        <v>9.9999999999999995E-7</v>
      </c>
      <c r="AJ9" s="37">
        <v>100</v>
      </c>
      <c r="AK9">
        <v>77.706502330000006</v>
      </c>
      <c r="AL9">
        <v>5.8</v>
      </c>
      <c r="AM9">
        <v>-3.6</v>
      </c>
      <c r="AN9" s="38">
        <f>AK9-AK$8</f>
        <v>0.40956232999999997</v>
      </c>
    </row>
    <row r="10" spans="1:41">
      <c r="A10" t="s">
        <v>26</v>
      </c>
      <c r="B10">
        <v>2</v>
      </c>
      <c r="C10" t="s">
        <v>41</v>
      </c>
      <c r="D10">
        <f>INDEX(Table59[k_TSS],MATCH(parameters_siteplot!A10,Table59[site],0))</f>
        <v>23.854166666666664</v>
      </c>
      <c r="E10">
        <f>INDEX(Table59[k_TP],MATCH(parameters_siteplot!$A10,Table59[site],0))</f>
        <v>5.9499999999999997E-2</v>
      </c>
      <c r="F10">
        <f>INDEX(Table59[k_f_ISS],MATCH(parameters_siteplot!$A10,Table59[site],0))</f>
        <v>0.23310810810810811</v>
      </c>
      <c r="G10">
        <f>INDEX(Table59[k_f_SRP],MATCH(parameters_siteplot!$A10,Table59[site],0))</f>
        <v>0.2587269102990033</v>
      </c>
      <c r="H10">
        <f>INDEX(Table59[k_OSS2ROP],MATCH(parameters_siteplot!$A10,Table59[site],0))</f>
        <v>1E-3</v>
      </c>
      <c r="I10">
        <f>INDEX(Table59[k_SRP2PIP],MATCH(parameters_siteplot!$A10,Table59[site],0))</f>
        <v>0.62269675417155712</v>
      </c>
      <c r="J10">
        <f>INDEX(Table59[k_ISS2PIP],MATCH(parameters_siteplot!$A10,Table59[site],0))</f>
        <v>8.9984878039589403E-4</v>
      </c>
      <c r="K10">
        <v>333.21176739255901</v>
      </c>
      <c r="L10">
        <v>122.46737593604402</v>
      </c>
      <c r="M10">
        <v>2007.9317565910401</v>
      </c>
      <c r="N10">
        <v>1432.08641928521</v>
      </c>
      <c r="O10">
        <v>1140.9773662551399</v>
      </c>
      <c r="P10">
        <v>2.0653881818181899E-3</v>
      </c>
      <c r="Q10">
        <v>2.592825E-3</v>
      </c>
      <c r="R10">
        <f t="shared" si="0"/>
        <v>2.5177556364288068E-3</v>
      </c>
      <c r="S10" s="6">
        <v>6.2550000000000248</v>
      </c>
      <c r="T10" s="6">
        <v>83.744999999999976</v>
      </c>
      <c r="U10" s="6">
        <v>10</v>
      </c>
      <c r="V10">
        <f t="shared" si="1"/>
        <v>0.1</v>
      </c>
      <c r="W10">
        <f t="shared" si="2"/>
        <v>0.93744999999999978</v>
      </c>
      <c r="X10">
        <v>5.1967898363982226</v>
      </c>
      <c r="Y10">
        <v>0.12063130902945179</v>
      </c>
      <c r="Z10">
        <v>0.18659215532097317</v>
      </c>
      <c r="AA10">
        <v>506</v>
      </c>
      <c r="AB10">
        <v>48.601921024544502</v>
      </c>
      <c r="AC10">
        <v>457.39807897545501</v>
      </c>
      <c r="AD10">
        <v>0.71541250012539803</v>
      </c>
      <c r="AE10">
        <v>0.31693583307884499</v>
      </c>
      <c r="AF10">
        <v>0.39847666704655199</v>
      </c>
      <c r="AG10">
        <v>365</v>
      </c>
      <c r="AH10">
        <f t="shared" si="3"/>
        <v>1</v>
      </c>
      <c r="AI10" s="37">
        <v>9.9999999999999995E-7</v>
      </c>
      <c r="AJ10" s="37">
        <v>100</v>
      </c>
      <c r="AK10">
        <v>77.663022729999994</v>
      </c>
      <c r="AL10">
        <v>5.8</v>
      </c>
      <c r="AM10">
        <v>-3.6</v>
      </c>
      <c r="AN10" s="38">
        <f>AK10-AK$8</f>
        <v>0.36608272999998803</v>
      </c>
    </row>
    <row r="11" spans="1:41">
      <c r="A11" t="s">
        <v>26</v>
      </c>
      <c r="B11">
        <v>3</v>
      </c>
      <c r="C11" t="s">
        <v>44</v>
      </c>
      <c r="D11">
        <f>INDEX(Table59[k_TSS],MATCH(parameters_siteplot!A11,Table59[site],0))</f>
        <v>23.854166666666664</v>
      </c>
      <c r="E11">
        <f>INDEX(Table59[k_TP],MATCH(parameters_siteplot!$A11,Table59[site],0))</f>
        <v>5.9499999999999997E-2</v>
      </c>
      <c r="F11">
        <f>INDEX(Table59[k_f_ISS],MATCH(parameters_siteplot!$A11,Table59[site],0))</f>
        <v>0.23310810810810811</v>
      </c>
      <c r="G11">
        <f>INDEX(Table59[k_f_SRP],MATCH(parameters_siteplot!$A11,Table59[site],0))</f>
        <v>0.2587269102990033</v>
      </c>
      <c r="H11">
        <f>INDEX(Table59[k_OSS2ROP],MATCH(parameters_siteplot!$A11,Table59[site],0))</f>
        <v>1E-3</v>
      </c>
      <c r="I11">
        <f>INDEX(Table59[k_SRP2PIP],MATCH(parameters_siteplot!$A11,Table59[site],0))</f>
        <v>0.62269675417155712</v>
      </c>
      <c r="J11">
        <f>INDEX(Table59[k_ISS2PIP],MATCH(parameters_siteplot!$A11,Table59[site],0))</f>
        <v>8.9984878039589403E-4</v>
      </c>
      <c r="K11">
        <v>329.53897386360001</v>
      </c>
      <c r="L11">
        <v>139.764921769897</v>
      </c>
      <c r="M11">
        <v>998.30359785394205</v>
      </c>
      <c r="N11">
        <v>211.730566536705</v>
      </c>
      <c r="O11">
        <v>823.78541666666604</v>
      </c>
      <c r="P11">
        <v>1.3727667253521098E-3</v>
      </c>
      <c r="Q11">
        <v>1.9519804878048701E-3</v>
      </c>
      <c r="R11">
        <f t="shared" si="0"/>
        <v>1.8082333953468642E-3</v>
      </c>
      <c r="S11" s="6">
        <v>2.9699999999999704</v>
      </c>
      <c r="T11" s="6">
        <v>88.28000000000003</v>
      </c>
      <c r="U11" s="6">
        <v>8.75</v>
      </c>
      <c r="V11">
        <f t="shared" si="1"/>
        <v>8.7499999999999994E-2</v>
      </c>
      <c r="W11">
        <f t="shared" si="2"/>
        <v>0.97030000000000027</v>
      </c>
      <c r="X11">
        <v>5.846058153356477</v>
      </c>
      <c r="Y11">
        <v>0.10196395966697526</v>
      </c>
      <c r="Z11">
        <v>0.15987167991177909</v>
      </c>
      <c r="AA11">
        <v>480.29629629629602</v>
      </c>
      <c r="AB11">
        <v>44.278942717117403</v>
      </c>
      <c r="AC11">
        <v>436.01735357917801</v>
      </c>
      <c r="AD11">
        <v>0.45106434701481302</v>
      </c>
      <c r="AE11">
        <v>0.17817454074889899</v>
      </c>
      <c r="AF11">
        <v>0.27288980626591403</v>
      </c>
      <c r="AG11">
        <v>365</v>
      </c>
      <c r="AH11">
        <f t="shared" si="3"/>
        <v>1</v>
      </c>
      <c r="AI11" s="37">
        <v>9.9999999999999995E-7</v>
      </c>
      <c r="AJ11" s="37">
        <v>100</v>
      </c>
      <c r="AK11">
        <v>78.006302379999994</v>
      </c>
      <c r="AL11">
        <v>5.8</v>
      </c>
      <c r="AM11">
        <v>-3.6</v>
      </c>
      <c r="AN11" s="38">
        <f>AK11-AK$8</f>
        <v>0.70936237999998752</v>
      </c>
    </row>
    <row r="12" spans="1:41">
      <c r="A12" t="s">
        <v>26</v>
      </c>
      <c r="B12">
        <v>4</v>
      </c>
      <c r="C12" t="s">
        <v>47</v>
      </c>
      <c r="D12">
        <f>INDEX(Table59[k_TSS],MATCH(parameters_siteplot!A12,Table59[site],0))</f>
        <v>23.854166666666664</v>
      </c>
      <c r="E12">
        <f>INDEX(Table59[k_TP],MATCH(parameters_siteplot!$A12,Table59[site],0))</f>
        <v>5.9499999999999997E-2</v>
      </c>
      <c r="F12">
        <f>INDEX(Table59[k_f_ISS],MATCH(parameters_siteplot!$A12,Table59[site],0))</f>
        <v>0.23310810810810811</v>
      </c>
      <c r="G12">
        <f>INDEX(Table59[k_f_SRP],MATCH(parameters_siteplot!$A12,Table59[site],0))</f>
        <v>0.2587269102990033</v>
      </c>
      <c r="H12">
        <f>INDEX(Table59[k_OSS2ROP],MATCH(parameters_siteplot!$A12,Table59[site],0))</f>
        <v>1E-3</v>
      </c>
      <c r="I12">
        <f>INDEX(Table59[k_SRP2PIP],MATCH(parameters_siteplot!$A12,Table59[site],0))</f>
        <v>0.62269675417155712</v>
      </c>
      <c r="J12">
        <f>INDEX(Table59[k_ISS2PIP],MATCH(parameters_siteplot!$A12,Table59[site],0))</f>
        <v>8.9984878039589403E-4</v>
      </c>
      <c r="K12">
        <v>369.42422909889501</v>
      </c>
      <c r="L12">
        <v>153.56065391367002</v>
      </c>
      <c r="M12">
        <v>1387.6942682210499</v>
      </c>
      <c r="N12">
        <v>444.64002654893699</v>
      </c>
      <c r="O12">
        <v>540.71891891891801</v>
      </c>
      <c r="P12">
        <v>1.2582019230768999E-3</v>
      </c>
      <c r="Q12">
        <v>1.5570414507772E-3</v>
      </c>
      <c r="R12">
        <f t="shared" si="0"/>
        <v>1.4942121297534061E-3</v>
      </c>
      <c r="S12" s="6">
        <v>15.989999999999965</v>
      </c>
      <c r="T12" s="6">
        <v>75.260000000000034</v>
      </c>
      <c r="U12" s="6">
        <v>8.75</v>
      </c>
      <c r="V12">
        <f t="shared" si="1"/>
        <v>8.7499999999999994E-2</v>
      </c>
      <c r="W12">
        <f t="shared" si="2"/>
        <v>0.84010000000000029</v>
      </c>
      <c r="X12">
        <v>5.0013522085755246</v>
      </c>
      <c r="Y12">
        <v>9.233054552352693E-2</v>
      </c>
      <c r="Z12">
        <v>0.17654644294310856</v>
      </c>
      <c r="AA12">
        <v>243.07407407407399</v>
      </c>
      <c r="AB12">
        <v>23.400058211452802</v>
      </c>
      <c r="AC12">
        <v>219.67401586262099</v>
      </c>
      <c r="AD12">
        <v>0.22410797496054</v>
      </c>
      <c r="AE12">
        <v>7.81563808908914E-2</v>
      </c>
      <c r="AF12">
        <v>0.145951594069649</v>
      </c>
      <c r="AG12">
        <v>365</v>
      </c>
      <c r="AH12">
        <f t="shared" si="3"/>
        <v>1</v>
      </c>
      <c r="AI12" s="37">
        <v>9.9999999999999995E-7</v>
      </c>
      <c r="AJ12" s="37">
        <v>100</v>
      </c>
      <c r="AK12">
        <v>77.821019050000004</v>
      </c>
      <c r="AL12">
        <v>5.8</v>
      </c>
      <c r="AM12">
        <v>-3.6</v>
      </c>
      <c r="AN12" s="38">
        <f>AK12-AK$8</f>
        <v>0.52407904999999744</v>
      </c>
    </row>
    <row r="13" spans="1:41">
      <c r="A13" t="s">
        <v>28</v>
      </c>
      <c r="B13">
        <v>0</v>
      </c>
      <c r="C13" t="s">
        <v>36</v>
      </c>
      <c r="D13">
        <f>INDEX(Table59[k_TSS],MATCH(parameters_siteplot!A13,Table59[site],0))</f>
        <v>12.25</v>
      </c>
      <c r="E13">
        <f>INDEX(Table59[k_TP],MATCH(parameters_siteplot!$A13,Table59[site],0))</f>
        <v>5.5999999999999994E-2</v>
      </c>
      <c r="F13">
        <f>INDEX(Table59[k_f_ISS],MATCH(parameters_siteplot!$A13,Table59[site],0))</f>
        <v>0.54411764705882359</v>
      </c>
      <c r="G13">
        <f>INDEX(Table59[k_f_SRP],MATCH(parameters_siteplot!$A13,Table59[site],0))</f>
        <v>0.27735426356589149</v>
      </c>
      <c r="H13">
        <f>INDEX(Table59[k_OSS2ROP],MATCH(parameters_siteplot!$A13,Table59[site],0))</f>
        <v>1E-3</v>
      </c>
      <c r="I13">
        <f>INDEX(Table59[k_SRP2PIP],MATCH(parameters_siteplot!$A13,Table59[site],0))</f>
        <v>1.4192113250241647</v>
      </c>
      <c r="J13">
        <f>INDEX(Table59[k_ISS2PIP],MATCH(parameters_siteplot!$A13,Table59[site],0))</f>
        <v>9.383718100787632E-4</v>
      </c>
      <c r="K13">
        <v>302.23561159425799</v>
      </c>
      <c r="L13">
        <v>73.013113489711998</v>
      </c>
      <c r="M13">
        <v>1064.50872301703</v>
      </c>
      <c r="N13">
        <v>164.5863743358</v>
      </c>
      <c r="O13">
        <v>1421.03517587939</v>
      </c>
      <c r="P13">
        <v>1.4866556603773499E-3</v>
      </c>
      <c r="Q13">
        <v>2.7429458128078801E-3</v>
      </c>
      <c r="R13">
        <f t="shared" si="0"/>
        <v>2.465135535534865E-3</v>
      </c>
      <c r="S13" s="6">
        <v>1.4549999999999841</v>
      </c>
      <c r="T13" s="6">
        <v>87.295000000000016</v>
      </c>
      <c r="U13" s="6">
        <v>11.25</v>
      </c>
      <c r="V13">
        <f t="shared" si="1"/>
        <v>0.1125</v>
      </c>
      <c r="W13">
        <f t="shared" si="2"/>
        <v>0.98545000000000016</v>
      </c>
      <c r="X13">
        <v>3.4469039267027926</v>
      </c>
      <c r="Y13">
        <v>0.16643182782203911</v>
      </c>
      <c r="Z13">
        <v>0.29914264435717103</v>
      </c>
      <c r="AA13">
        <v>544.85185185185105</v>
      </c>
      <c r="AB13">
        <v>78.880757075389695</v>
      </c>
      <c r="AC13">
        <v>465.971094776462</v>
      </c>
      <c r="AD13">
        <v>1.6814206736489501</v>
      </c>
      <c r="AE13">
        <v>1.03113392874902</v>
      </c>
      <c r="AF13">
        <v>0.65028674489992999</v>
      </c>
      <c r="AG13">
        <v>365</v>
      </c>
      <c r="AH13">
        <f t="shared" si="3"/>
        <v>1</v>
      </c>
      <c r="AI13" s="37">
        <v>9.9999999999999995E-7</v>
      </c>
      <c r="AJ13" s="37">
        <v>100</v>
      </c>
      <c r="AK13">
        <v>75.098470210000002</v>
      </c>
      <c r="AL13">
        <v>1.1000000000000001</v>
      </c>
      <c r="AM13">
        <v>-2.2999999999999998</v>
      </c>
      <c r="AN13" s="38">
        <f>AK13-AK$13</f>
        <v>0</v>
      </c>
    </row>
    <row r="14" spans="1:41">
      <c r="A14" t="s">
        <v>28</v>
      </c>
      <c r="B14">
        <v>1</v>
      </c>
      <c r="C14" t="s">
        <v>39</v>
      </c>
      <c r="D14">
        <f>INDEX(Table59[k_TSS],MATCH(parameters_siteplot!A14,Table59[site],0))</f>
        <v>12.25</v>
      </c>
      <c r="E14">
        <f>INDEX(Table59[k_TP],MATCH(parameters_siteplot!$A14,Table59[site],0))</f>
        <v>5.5999999999999994E-2</v>
      </c>
      <c r="F14">
        <f>INDEX(Table59[k_f_ISS],MATCH(parameters_siteplot!$A14,Table59[site],0))</f>
        <v>0.54411764705882359</v>
      </c>
      <c r="G14">
        <f>INDEX(Table59[k_f_SRP],MATCH(parameters_siteplot!$A14,Table59[site],0))</f>
        <v>0.27735426356589149</v>
      </c>
      <c r="H14">
        <f>INDEX(Table59[k_OSS2ROP],MATCH(parameters_siteplot!$A14,Table59[site],0))</f>
        <v>1E-3</v>
      </c>
      <c r="I14">
        <f>INDEX(Table59[k_SRP2PIP],MATCH(parameters_siteplot!$A14,Table59[site],0))</f>
        <v>1.4192113250241647</v>
      </c>
      <c r="J14">
        <f>INDEX(Table59[k_ISS2PIP],MATCH(parameters_siteplot!$A14,Table59[site],0))</f>
        <v>9.383718100787632E-4</v>
      </c>
      <c r="K14">
        <v>326.637176527674</v>
      </c>
      <c r="L14">
        <v>86.466447256938011</v>
      </c>
      <c r="M14">
        <v>609.78404755476402</v>
      </c>
      <c r="N14">
        <v>161.02060070898301</v>
      </c>
      <c r="O14">
        <v>1558.70789473684</v>
      </c>
      <c r="P14">
        <v>1.4471785714285899E-3</v>
      </c>
      <c r="Q14">
        <v>2.1472118226600902E-3</v>
      </c>
      <c r="R14">
        <f t="shared" si="0"/>
        <v>1.9030301672498372E-3</v>
      </c>
      <c r="S14" s="6">
        <v>2.9299999999999926</v>
      </c>
      <c r="T14" s="6">
        <v>84.570000000000007</v>
      </c>
      <c r="U14" s="6">
        <v>12.5</v>
      </c>
      <c r="V14">
        <f t="shared" si="1"/>
        <v>0.125</v>
      </c>
      <c r="W14">
        <f t="shared" si="2"/>
        <v>0.97070000000000012</v>
      </c>
      <c r="X14">
        <v>5.1035884945251784</v>
      </c>
      <c r="Y14">
        <v>0.13158987097189292</v>
      </c>
      <c r="Z14">
        <v>0.18146927641612337</v>
      </c>
      <c r="AA14">
        <v>475.51851851851802</v>
      </c>
      <c r="AB14">
        <v>144.05671509446799</v>
      </c>
      <c r="AC14">
        <v>331.46180342404898</v>
      </c>
      <c r="AD14">
        <v>1.5343809403765001</v>
      </c>
      <c r="AE14">
        <v>0.78486124652597999</v>
      </c>
      <c r="AF14">
        <v>0.74951969385052797</v>
      </c>
      <c r="AG14">
        <v>365</v>
      </c>
      <c r="AH14">
        <f t="shared" si="3"/>
        <v>1</v>
      </c>
      <c r="AI14" s="37">
        <v>9.9999999999999995E-7</v>
      </c>
      <c r="AJ14" s="37">
        <v>100</v>
      </c>
      <c r="AK14">
        <v>75.133528569999996</v>
      </c>
      <c r="AL14">
        <v>1.1000000000000001</v>
      </c>
      <c r="AM14">
        <v>-2.2999999999999998</v>
      </c>
      <c r="AN14" s="38">
        <f>AK14-AK$13</f>
        <v>3.5058359999993627E-2</v>
      </c>
    </row>
    <row r="15" spans="1:41">
      <c r="A15" t="s">
        <v>28</v>
      </c>
      <c r="B15">
        <v>2</v>
      </c>
      <c r="C15" t="s">
        <v>42</v>
      </c>
      <c r="D15">
        <f>INDEX(Table59[k_TSS],MATCH(parameters_siteplot!A15,Table59[site],0))</f>
        <v>12.25</v>
      </c>
      <c r="E15">
        <f>INDEX(Table59[k_TP],MATCH(parameters_siteplot!$A15,Table59[site],0))</f>
        <v>5.5999999999999994E-2</v>
      </c>
      <c r="F15">
        <f>INDEX(Table59[k_f_ISS],MATCH(parameters_siteplot!$A15,Table59[site],0))</f>
        <v>0.54411764705882359</v>
      </c>
      <c r="G15">
        <f>INDEX(Table59[k_f_SRP],MATCH(parameters_siteplot!$A15,Table59[site],0))</f>
        <v>0.27735426356589149</v>
      </c>
      <c r="H15">
        <f>INDEX(Table59[k_OSS2ROP],MATCH(parameters_siteplot!$A15,Table59[site],0))</f>
        <v>1E-3</v>
      </c>
      <c r="I15">
        <f>INDEX(Table59[k_SRP2PIP],MATCH(parameters_siteplot!$A15,Table59[site],0))</f>
        <v>1.4192113250241647</v>
      </c>
      <c r="J15">
        <f>INDEX(Table59[k_ISS2PIP],MATCH(parameters_siteplot!$A15,Table59[site],0))</f>
        <v>9.383718100787632E-4</v>
      </c>
      <c r="K15">
        <v>222.641331127841</v>
      </c>
      <c r="L15">
        <v>87.606748122412</v>
      </c>
      <c r="M15">
        <v>845.85758596525102</v>
      </c>
      <c r="N15">
        <v>435.438931442654</v>
      </c>
      <c r="O15">
        <v>1675.1060606060601</v>
      </c>
      <c r="P15">
        <v>1.2249771897810101E-3</v>
      </c>
      <c r="Q15">
        <v>3.3715806451612897E-3</v>
      </c>
      <c r="R15">
        <f t="shared" si="0"/>
        <v>2.9242964756932451E-3</v>
      </c>
      <c r="S15" s="6">
        <v>2.9650000000000176</v>
      </c>
      <c r="T15" s="6">
        <v>82.034999999999982</v>
      </c>
      <c r="U15" s="6">
        <v>15</v>
      </c>
      <c r="V15">
        <f t="shared" si="1"/>
        <v>0.15</v>
      </c>
      <c r="W15">
        <f t="shared" si="2"/>
        <v>0.97034999999999982</v>
      </c>
      <c r="X15">
        <v>4.1365468353502992</v>
      </c>
      <c r="Y15">
        <v>0.18547916017340912</v>
      </c>
      <c r="Z15">
        <v>0.20397912128676132</v>
      </c>
      <c r="AA15">
        <v>584.81481481481399</v>
      </c>
      <c r="AB15">
        <v>149.511479805596</v>
      </c>
      <c r="AC15">
        <v>435.30333500921802</v>
      </c>
      <c r="AD15">
        <v>1.3796707198887399</v>
      </c>
      <c r="AE15">
        <v>0.763014012062876</v>
      </c>
      <c r="AF15">
        <v>0.61665670782586401</v>
      </c>
      <c r="AG15">
        <v>365</v>
      </c>
      <c r="AH15">
        <f t="shared" si="3"/>
        <v>1</v>
      </c>
      <c r="AI15" s="37">
        <v>9.9999999999999995E-7</v>
      </c>
      <c r="AJ15" s="37">
        <v>100</v>
      </c>
      <c r="AK15">
        <v>75.18614762</v>
      </c>
      <c r="AL15">
        <v>1.1000000000000001</v>
      </c>
      <c r="AM15">
        <v>-2.2999999999999998</v>
      </c>
      <c r="AN15" s="38">
        <f>AK15-AK$13</f>
        <v>8.7677409999997735E-2</v>
      </c>
    </row>
    <row r="16" spans="1:41">
      <c r="A16" t="s">
        <v>28</v>
      </c>
      <c r="B16">
        <v>3</v>
      </c>
      <c r="C16" t="s">
        <v>45</v>
      </c>
      <c r="D16">
        <f>INDEX(Table59[k_TSS],MATCH(parameters_siteplot!A16,Table59[site],0))</f>
        <v>12.25</v>
      </c>
      <c r="E16">
        <f>INDEX(Table59[k_TP],MATCH(parameters_siteplot!$A16,Table59[site],0))</f>
        <v>5.5999999999999994E-2</v>
      </c>
      <c r="F16">
        <f>INDEX(Table59[k_f_ISS],MATCH(parameters_siteplot!$A16,Table59[site],0))</f>
        <v>0.54411764705882359</v>
      </c>
      <c r="G16">
        <f>INDEX(Table59[k_f_SRP],MATCH(parameters_siteplot!$A16,Table59[site],0))</f>
        <v>0.27735426356589149</v>
      </c>
      <c r="H16">
        <f>INDEX(Table59[k_OSS2ROP],MATCH(parameters_siteplot!$A16,Table59[site],0))</f>
        <v>1E-3</v>
      </c>
      <c r="I16">
        <f>INDEX(Table59[k_SRP2PIP],MATCH(parameters_siteplot!$A16,Table59[site],0))</f>
        <v>1.4192113250241647</v>
      </c>
      <c r="J16">
        <f>INDEX(Table59[k_ISS2PIP],MATCH(parameters_siteplot!$A16,Table59[site],0))</f>
        <v>9.383718100787632E-4</v>
      </c>
      <c r="K16">
        <v>364.27617422450498</v>
      </c>
      <c r="L16">
        <v>214.37541245136998</v>
      </c>
      <c r="M16">
        <v>1032.2772805034199</v>
      </c>
      <c r="N16">
        <v>690.94100568333897</v>
      </c>
      <c r="O16">
        <v>1643.76801801801</v>
      </c>
      <c r="P16">
        <v>1.0580670103092801E-3</v>
      </c>
      <c r="Q16">
        <v>1.9372461538461501E-3</v>
      </c>
      <c r="R16">
        <f t="shared" si="0"/>
        <v>1.7079215878717088E-3</v>
      </c>
      <c r="S16" s="6">
        <v>12.775000000000034</v>
      </c>
      <c r="T16" s="6">
        <v>79.724999999999966</v>
      </c>
      <c r="U16" s="6">
        <v>7.5</v>
      </c>
      <c r="V16">
        <f t="shared" si="1"/>
        <v>7.4999999999999997E-2</v>
      </c>
      <c r="W16">
        <f t="shared" si="2"/>
        <v>0.87224999999999964</v>
      </c>
      <c r="X16">
        <v>3.1921609953177414</v>
      </c>
      <c r="Y16">
        <v>0.22481171197133309</v>
      </c>
      <c r="Z16">
        <v>0.13604749124319901</v>
      </c>
      <c r="AA16">
        <v>430.03703703703701</v>
      </c>
      <c r="AB16">
        <v>51.848437089573501</v>
      </c>
      <c r="AC16">
        <v>378.18859994746299</v>
      </c>
      <c r="AD16">
        <v>0.56346808257600201</v>
      </c>
      <c r="AE16">
        <v>0.28852578504877402</v>
      </c>
      <c r="AF16">
        <v>0.27494229752722699</v>
      </c>
      <c r="AG16">
        <v>365</v>
      </c>
      <c r="AH16">
        <f t="shared" si="3"/>
        <v>1</v>
      </c>
      <c r="AI16" s="37">
        <v>9.9999999999999995E-7</v>
      </c>
      <c r="AJ16" s="37">
        <v>100</v>
      </c>
      <c r="AK16">
        <v>75.798938100000001</v>
      </c>
      <c r="AL16">
        <v>1.1000000000000001</v>
      </c>
      <c r="AM16">
        <v>-2.2999999999999998</v>
      </c>
      <c r="AN16" s="38">
        <f>AK16-AK$13</f>
        <v>0.70046788999999876</v>
      </c>
    </row>
    <row r="17" spans="1:40">
      <c r="A17" t="s">
        <v>28</v>
      </c>
      <c r="B17">
        <v>4</v>
      </c>
      <c r="C17" t="s">
        <v>48</v>
      </c>
      <c r="D17">
        <f>INDEX(Table59[k_TSS],MATCH(parameters_siteplot!A17,Table59[site],0))</f>
        <v>12.25</v>
      </c>
      <c r="E17">
        <f>INDEX(Table59[k_TP],MATCH(parameters_siteplot!$A17,Table59[site],0))</f>
        <v>5.5999999999999994E-2</v>
      </c>
      <c r="F17">
        <f>INDEX(Table59[k_f_ISS],MATCH(parameters_siteplot!$A17,Table59[site],0))</f>
        <v>0.54411764705882359</v>
      </c>
      <c r="G17">
        <f>INDEX(Table59[k_f_SRP],MATCH(parameters_siteplot!$A17,Table59[site],0))</f>
        <v>0.27735426356589149</v>
      </c>
      <c r="H17">
        <f>INDEX(Table59[k_OSS2ROP],MATCH(parameters_siteplot!$A17,Table59[site],0))</f>
        <v>1E-3</v>
      </c>
      <c r="I17">
        <f>INDEX(Table59[k_SRP2PIP],MATCH(parameters_siteplot!$A17,Table59[site],0))</f>
        <v>1.4192113250241647</v>
      </c>
      <c r="J17">
        <f>INDEX(Table59[k_ISS2PIP],MATCH(parameters_siteplot!$A17,Table59[site],0))</f>
        <v>9.383718100787632E-4</v>
      </c>
      <c r="K17">
        <v>184.21889452712401</v>
      </c>
      <c r="L17">
        <v>47.053771998159021</v>
      </c>
      <c r="M17">
        <v>505.24963940251803</v>
      </c>
      <c r="N17">
        <v>277.93099077960301</v>
      </c>
      <c r="O17">
        <v>1086.7623966942101</v>
      </c>
      <c r="P17">
        <v>1.1284559800664299E-3</v>
      </c>
      <c r="Q17">
        <v>4.2594693877550998E-3</v>
      </c>
      <c r="R17">
        <f t="shared" si="0"/>
        <v>3.4228948374611626E-3</v>
      </c>
      <c r="S17" s="6">
        <v>24.085000000000036</v>
      </c>
      <c r="T17" s="6">
        <v>68.414999999999964</v>
      </c>
      <c r="U17" s="6">
        <v>7.5</v>
      </c>
      <c r="V17">
        <f t="shared" si="1"/>
        <v>7.4999999999999997E-2</v>
      </c>
      <c r="W17">
        <f t="shared" si="2"/>
        <v>0.75914999999999966</v>
      </c>
      <c r="X17">
        <v>3.775993712508853</v>
      </c>
      <c r="Y17">
        <v>0.13297581035271647</v>
      </c>
      <c r="Z17">
        <v>0.17311022004876461</v>
      </c>
      <c r="AA17">
        <v>278.81481481481399</v>
      </c>
      <c r="AB17">
        <v>46.0126609910497</v>
      </c>
      <c r="AC17">
        <v>232.802153823765</v>
      </c>
      <c r="AD17">
        <v>0.39839704769511097</v>
      </c>
      <c r="AE17">
        <v>0.12673390756532299</v>
      </c>
      <c r="AF17">
        <v>0.27166314012978698</v>
      </c>
      <c r="AG17">
        <v>365</v>
      </c>
      <c r="AH17">
        <f t="shared" si="3"/>
        <v>1</v>
      </c>
      <c r="AI17" s="37">
        <v>9.9999999999999995E-7</v>
      </c>
      <c r="AJ17" s="37">
        <v>100</v>
      </c>
      <c r="AK17">
        <v>76.178809999999999</v>
      </c>
      <c r="AL17">
        <v>1.1000000000000001</v>
      </c>
      <c r="AM17">
        <v>-2.2999999999999998</v>
      </c>
      <c r="AN17" s="38">
        <f>AK17-AK$13</f>
        <v>1.0803397899999965</v>
      </c>
    </row>
  </sheetData>
  <autoFilter ref="A2:J17" xr:uid="{7C36AE33-7929-4132-A3D1-B64E95B2DA5E}">
    <sortState xmlns:xlrd2="http://schemas.microsoft.com/office/spreadsheetml/2017/richdata2" ref="A3:J17">
      <sortCondition ref="A2:A1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77B1-2FFF-4F18-B7E0-CB3E919AAFAC}">
  <dimension ref="A1:AU11"/>
  <sheetViews>
    <sheetView zoomScale="59" zoomScaleNormal="130" workbookViewId="0">
      <selection activeCell="AH1" sqref="AH1:AH1048576"/>
    </sheetView>
  </sheetViews>
  <sheetFormatPr defaultRowHeight="13.8"/>
  <cols>
    <col min="43" max="46" width="16.59765625" customWidth="1"/>
  </cols>
  <sheetData>
    <row r="1" spans="1:47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</row>
    <row r="2" spans="1:47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</row>
    <row r="3" spans="1:47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f>AI3*365</f>
        <v>730</v>
      </c>
      <c r="AI3">
        <v>2</v>
      </c>
      <c r="AJ3" s="37">
        <v>100</v>
      </c>
      <c r="AK3">
        <v>83.526878569999994</v>
      </c>
      <c r="AL3">
        <v>0.71</v>
      </c>
      <c r="AM3">
        <v>-3.5</v>
      </c>
      <c r="AN3" s="38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f t="shared" ref="AH4:AH11" si="0">AI4*365</f>
        <v>730</v>
      </c>
      <c r="AI4">
        <v>2</v>
      </c>
      <c r="AJ4" s="37">
        <v>100</v>
      </c>
      <c r="AK4">
        <v>83.916164289999998</v>
      </c>
      <c r="AL4">
        <v>0.71</v>
      </c>
      <c r="AM4">
        <v>-3.5</v>
      </c>
      <c r="AN4" s="38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f t="shared" si="0"/>
        <v>730</v>
      </c>
      <c r="AI5">
        <v>2</v>
      </c>
      <c r="AJ5" s="37">
        <v>100</v>
      </c>
      <c r="AK5">
        <v>83.995568180000006</v>
      </c>
      <c r="AL5">
        <v>0.71</v>
      </c>
      <c r="AM5">
        <v>-3.5</v>
      </c>
      <c r="AN5" s="38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f t="shared" si="0"/>
        <v>730</v>
      </c>
      <c r="AI6">
        <v>2</v>
      </c>
      <c r="AJ6" s="37">
        <v>100</v>
      </c>
      <c r="AK6">
        <v>77.296940000000006</v>
      </c>
      <c r="AL6">
        <v>5.8</v>
      </c>
      <c r="AM6">
        <v>-3.6</v>
      </c>
      <c r="AN6" s="38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f t="shared" si="0"/>
        <v>730</v>
      </c>
      <c r="AI7">
        <v>2</v>
      </c>
      <c r="AJ7" s="37">
        <v>100</v>
      </c>
      <c r="AK7">
        <v>77.663022729999994</v>
      </c>
      <c r="AL7">
        <v>5.8</v>
      </c>
      <c r="AM7">
        <v>-3.6</v>
      </c>
      <c r="AN7" s="38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f t="shared" si="0"/>
        <v>730</v>
      </c>
      <c r="AI8">
        <v>2</v>
      </c>
      <c r="AJ8" s="37">
        <v>100</v>
      </c>
      <c r="AK8">
        <v>77.821019050000004</v>
      </c>
      <c r="AL8">
        <v>5.8</v>
      </c>
      <c r="AM8">
        <v>-3.6</v>
      </c>
      <c r="AN8" s="38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f t="shared" si="0"/>
        <v>730</v>
      </c>
      <c r="AI9">
        <v>2</v>
      </c>
      <c r="AJ9" s="37">
        <v>100</v>
      </c>
      <c r="AK9">
        <v>75.098470210000002</v>
      </c>
      <c r="AL9">
        <v>1.1000000000000001</v>
      </c>
      <c r="AM9">
        <v>-2.2999999999999998</v>
      </c>
      <c r="AN9" s="38">
        <v>0</v>
      </c>
      <c r="AO9">
        <v>0.11172225</v>
      </c>
      <c r="AP9">
        <v>0.22923774999999999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f t="shared" si="0"/>
        <v>730</v>
      </c>
      <c r="AI10">
        <v>2</v>
      </c>
      <c r="AJ10" s="37">
        <v>100</v>
      </c>
      <c r="AK10">
        <v>75.18614762</v>
      </c>
      <c r="AL10">
        <v>1.1000000000000001</v>
      </c>
      <c r="AM10">
        <v>-2.2999999999999998</v>
      </c>
      <c r="AN10" s="38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f t="shared" si="0"/>
        <v>730</v>
      </c>
      <c r="AI11">
        <v>2</v>
      </c>
      <c r="AJ11" s="37">
        <v>100</v>
      </c>
      <c r="AK11">
        <v>76.178809999999999</v>
      </c>
      <c r="AL11">
        <v>1.1000000000000001</v>
      </c>
      <c r="AM11">
        <v>-2.2999999999999998</v>
      </c>
      <c r="AN11" s="38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6BF2-F998-4567-BA96-1157B8B5B70B}">
  <dimension ref="A1:AU11"/>
  <sheetViews>
    <sheetView tabSelected="1" topLeftCell="AP1" zoomScale="130" zoomScaleNormal="130" workbookViewId="0">
      <selection activeCell="AI13" sqref="AI13"/>
    </sheetView>
  </sheetViews>
  <sheetFormatPr defaultRowHeight="13.8"/>
  <cols>
    <col min="43" max="46" width="16.59765625" customWidth="1"/>
  </cols>
  <sheetData>
    <row r="1" spans="1:47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</row>
    <row r="2" spans="1:47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</row>
    <row r="3" spans="1:47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1</v>
      </c>
      <c r="AJ3" s="37">
        <v>100</v>
      </c>
      <c r="AK3">
        <v>83.526878569999994</v>
      </c>
      <c r="AL3">
        <v>0.71</v>
      </c>
      <c r="AM3">
        <v>-3.5</v>
      </c>
      <c r="AN3" s="38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1</v>
      </c>
      <c r="AJ4" s="37">
        <v>100</v>
      </c>
      <c r="AK4">
        <v>83.916164289999998</v>
      </c>
      <c r="AL4">
        <v>0.71</v>
      </c>
      <c r="AM4">
        <v>-3.5</v>
      </c>
      <c r="AN4" s="38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1</v>
      </c>
      <c r="AJ5" s="37">
        <v>100</v>
      </c>
      <c r="AK5">
        <v>83.995568180000006</v>
      </c>
      <c r="AL5">
        <v>0.71</v>
      </c>
      <c r="AM5">
        <v>-3.5</v>
      </c>
      <c r="AN5" s="38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1</v>
      </c>
      <c r="AJ6" s="37">
        <v>100</v>
      </c>
      <c r="AK6">
        <v>77.296940000000006</v>
      </c>
      <c r="AL6">
        <v>5.8</v>
      </c>
      <c r="AM6">
        <v>-3.6</v>
      </c>
      <c r="AN6" s="38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1</v>
      </c>
      <c r="AJ7" s="37">
        <v>100</v>
      </c>
      <c r="AK7">
        <v>77.663022729999994</v>
      </c>
      <c r="AL7">
        <v>5.8</v>
      </c>
      <c r="AM7">
        <v>-3.6</v>
      </c>
      <c r="AN7" s="38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1</v>
      </c>
      <c r="AJ8" s="37">
        <v>100</v>
      </c>
      <c r="AK8">
        <v>77.821019050000004</v>
      </c>
      <c r="AL8">
        <v>5.8</v>
      </c>
      <c r="AM8">
        <v>-3.6</v>
      </c>
      <c r="AN8" s="38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1</v>
      </c>
      <c r="AJ9" s="37">
        <v>100</v>
      </c>
      <c r="AK9">
        <v>75.098470210000002</v>
      </c>
      <c r="AL9">
        <v>1.1000000000000001</v>
      </c>
      <c r="AM9">
        <v>-2.2999999999999998</v>
      </c>
      <c r="AN9" s="38">
        <v>0</v>
      </c>
      <c r="AO9">
        <v>0.11172225</v>
      </c>
      <c r="AP9">
        <v>0.22923774999999999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1</v>
      </c>
      <c r="AJ10" s="37">
        <v>100</v>
      </c>
      <c r="AK10">
        <v>75.18614762</v>
      </c>
      <c r="AL10">
        <v>1.1000000000000001</v>
      </c>
      <c r="AM10">
        <v>-2.2999999999999998</v>
      </c>
      <c r="AN10" s="38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1</v>
      </c>
      <c r="AJ11" s="37">
        <v>100</v>
      </c>
      <c r="AK11">
        <v>76.178809999999999</v>
      </c>
      <c r="AL11">
        <v>1.1000000000000001</v>
      </c>
      <c r="AM11">
        <v>-2.2999999999999998</v>
      </c>
      <c r="AN11" s="38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306C-389A-4B2C-AB0A-7054F60A71DB}">
  <dimension ref="A1:AU11"/>
  <sheetViews>
    <sheetView topLeftCell="AJ1" zoomScale="130" zoomScaleNormal="130" workbookViewId="0">
      <selection activeCell="AN15" sqref="AN15"/>
    </sheetView>
  </sheetViews>
  <sheetFormatPr defaultRowHeight="13.8"/>
  <cols>
    <col min="43" max="46" width="16.59765625" customWidth="1"/>
  </cols>
  <sheetData>
    <row r="1" spans="1:47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</row>
    <row r="2" spans="1:47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</row>
    <row r="3" spans="1:47">
      <c r="A3" t="s">
        <v>15</v>
      </c>
      <c r="B3">
        <v>0</v>
      </c>
      <c r="C3" t="s">
        <v>34</v>
      </c>
      <c r="D3">
        <v>3.5</v>
      </c>
      <c r="E3">
        <v>7.1749999999999994E-2</v>
      </c>
      <c r="F3">
        <v>0.65789473684210575</v>
      </c>
      <c r="G3"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1</v>
      </c>
      <c r="AJ3" s="37">
        <v>100</v>
      </c>
      <c r="AK3">
        <v>83.526878569999994</v>
      </c>
      <c r="AL3">
        <v>0.71</v>
      </c>
      <c r="AM3">
        <v>-3.5</v>
      </c>
      <c r="AN3" s="38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t="s">
        <v>15</v>
      </c>
      <c r="B4">
        <v>2</v>
      </c>
      <c r="C4" t="s">
        <v>40</v>
      </c>
      <c r="D4">
        <v>3.5</v>
      </c>
      <c r="E4">
        <v>7.1749999999999994E-2</v>
      </c>
      <c r="F4">
        <v>0.65789473684210575</v>
      </c>
      <c r="G4"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1</v>
      </c>
      <c r="AJ4" s="37">
        <v>100</v>
      </c>
      <c r="AK4">
        <v>83.916164289999998</v>
      </c>
      <c r="AL4">
        <v>0.71</v>
      </c>
      <c r="AM4">
        <v>-3.5</v>
      </c>
      <c r="AN4" s="38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15</v>
      </c>
      <c r="B5">
        <v>4</v>
      </c>
      <c r="C5" t="s">
        <v>46</v>
      </c>
      <c r="D5">
        <v>3.5</v>
      </c>
      <c r="E5">
        <v>7.1749999999999994E-2</v>
      </c>
      <c r="F5">
        <v>0.65789473684210575</v>
      </c>
      <c r="G5"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1</v>
      </c>
      <c r="AJ5" s="37">
        <v>100</v>
      </c>
      <c r="AK5">
        <v>83.995568180000006</v>
      </c>
      <c r="AL5">
        <v>0.71</v>
      </c>
      <c r="AM5">
        <v>-3.5</v>
      </c>
      <c r="AN5" s="38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26</v>
      </c>
      <c r="B6">
        <v>0</v>
      </c>
      <c r="C6" t="s">
        <v>35</v>
      </c>
      <c r="D6">
        <v>23.854166666666664</v>
      </c>
      <c r="E6">
        <v>5.9499999999999997E-2</v>
      </c>
      <c r="F6">
        <v>0.23310810810810811</v>
      </c>
      <c r="G6"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1</v>
      </c>
      <c r="AJ6" s="37">
        <v>100</v>
      </c>
      <c r="AK6">
        <v>77.296940000000006</v>
      </c>
      <c r="AL6">
        <v>5.8</v>
      </c>
      <c r="AM6">
        <v>-3.6</v>
      </c>
      <c r="AN6" s="38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26</v>
      </c>
      <c r="B7">
        <v>2</v>
      </c>
      <c r="C7" t="s">
        <v>41</v>
      </c>
      <c r="D7">
        <v>23.854166666666664</v>
      </c>
      <c r="E7">
        <v>5.9499999999999997E-2</v>
      </c>
      <c r="F7">
        <v>0.23310810810810811</v>
      </c>
      <c r="G7"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1</v>
      </c>
      <c r="AJ7" s="37">
        <v>100</v>
      </c>
      <c r="AK7">
        <v>77.663022729999994</v>
      </c>
      <c r="AL7">
        <v>5.8</v>
      </c>
      <c r="AM7">
        <v>-3.6</v>
      </c>
      <c r="AN7" s="38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26</v>
      </c>
      <c r="B8">
        <v>4</v>
      </c>
      <c r="C8" t="s">
        <v>47</v>
      </c>
      <c r="D8">
        <v>23.854166666666664</v>
      </c>
      <c r="E8">
        <v>5.9499999999999997E-2</v>
      </c>
      <c r="F8">
        <v>0.23310810810810811</v>
      </c>
      <c r="G8"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1</v>
      </c>
      <c r="AJ8" s="37">
        <v>100</v>
      </c>
      <c r="AK8">
        <v>77.821019050000004</v>
      </c>
      <c r="AL8">
        <v>5.8</v>
      </c>
      <c r="AM8">
        <v>-3.6</v>
      </c>
      <c r="AN8" s="38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28</v>
      </c>
      <c r="B9">
        <v>0</v>
      </c>
      <c r="C9" t="s">
        <v>36</v>
      </c>
      <c r="D9">
        <v>12.25</v>
      </c>
      <c r="E9">
        <v>5.5999999999999994E-2</v>
      </c>
      <c r="F9">
        <v>0.54411764705882359</v>
      </c>
      <c r="G9"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1</v>
      </c>
      <c r="AJ9" s="37">
        <v>100</v>
      </c>
      <c r="AK9">
        <v>75.098470210000002</v>
      </c>
      <c r="AL9">
        <v>1.1000000000000001</v>
      </c>
      <c r="AM9">
        <v>-2.2999999999999998</v>
      </c>
      <c r="AN9" s="38">
        <v>0</v>
      </c>
      <c r="AO9">
        <v>0.11172225</v>
      </c>
      <c r="AP9">
        <v>0.22923774999999999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t="s">
        <v>28</v>
      </c>
      <c r="B10">
        <v>2</v>
      </c>
      <c r="C10" t="s">
        <v>42</v>
      </c>
      <c r="D10">
        <v>12.25</v>
      </c>
      <c r="E10">
        <v>5.5999999999999994E-2</v>
      </c>
      <c r="F10">
        <v>0.54411764705882359</v>
      </c>
      <c r="G10"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1</v>
      </c>
      <c r="AJ10" s="37">
        <v>100</v>
      </c>
      <c r="AK10">
        <v>75.18614762</v>
      </c>
      <c r="AL10">
        <v>1.1000000000000001</v>
      </c>
      <c r="AM10">
        <v>-2.2999999999999998</v>
      </c>
      <c r="AN10" s="38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28</v>
      </c>
      <c r="B11">
        <v>4</v>
      </c>
      <c r="C11" t="s">
        <v>48</v>
      </c>
      <c r="D11">
        <v>12.25</v>
      </c>
      <c r="E11">
        <v>5.5999999999999994E-2</v>
      </c>
      <c r="F11">
        <v>0.54411764705882359</v>
      </c>
      <c r="G11"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1</v>
      </c>
      <c r="AJ11" s="37">
        <v>100</v>
      </c>
      <c r="AK11">
        <v>76.178809999999999</v>
      </c>
      <c r="AL11">
        <v>1.1000000000000001</v>
      </c>
      <c r="AM11">
        <v>-2.2999999999999998</v>
      </c>
      <c r="AN11" s="38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1A26-296C-4D0D-AA99-1DC8D81B61F3}">
  <dimension ref="A1:AU11"/>
  <sheetViews>
    <sheetView topLeftCell="AJ1" zoomScale="130" zoomScaleNormal="130" workbookViewId="0">
      <selection activeCell="AQ3" sqref="AQ3:AU11"/>
    </sheetView>
  </sheetViews>
  <sheetFormatPr defaultRowHeight="13.8"/>
  <cols>
    <col min="43" max="46" width="16.59765625" customWidth="1"/>
  </cols>
  <sheetData>
    <row r="1" spans="1:47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</row>
    <row r="2" spans="1:47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</row>
    <row r="3" spans="1:47">
      <c r="A3" t="s">
        <v>15</v>
      </c>
      <c r="B3">
        <v>0</v>
      </c>
      <c r="C3" t="s">
        <v>34</v>
      </c>
      <c r="D3">
        <v>7</v>
      </c>
      <c r="E3">
        <v>0.14349999999999999</v>
      </c>
      <c r="F3">
        <v>0.65789473684210575</v>
      </c>
      <c r="G3"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1</v>
      </c>
      <c r="AJ3" s="37">
        <v>100</v>
      </c>
      <c r="AK3">
        <v>83.526878569999994</v>
      </c>
      <c r="AL3">
        <v>0.71</v>
      </c>
      <c r="AM3">
        <v>-3.5</v>
      </c>
      <c r="AN3" s="38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t="s">
        <v>15</v>
      </c>
      <c r="B4">
        <v>2</v>
      </c>
      <c r="C4" t="s">
        <v>40</v>
      </c>
      <c r="D4">
        <v>7</v>
      </c>
      <c r="E4">
        <v>0.14349999999999999</v>
      </c>
      <c r="F4">
        <v>0.65789473684210575</v>
      </c>
      <c r="G4"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1</v>
      </c>
      <c r="AJ4" s="37">
        <v>100</v>
      </c>
      <c r="AK4">
        <v>83.916164289999998</v>
      </c>
      <c r="AL4">
        <v>0.71</v>
      </c>
      <c r="AM4">
        <v>-3.5</v>
      </c>
      <c r="AN4" s="38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15</v>
      </c>
      <c r="B5">
        <v>4</v>
      </c>
      <c r="C5" t="s">
        <v>46</v>
      </c>
      <c r="D5">
        <v>7</v>
      </c>
      <c r="E5">
        <v>0.14349999999999999</v>
      </c>
      <c r="F5">
        <v>0.65789473684210575</v>
      </c>
      <c r="G5"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1</v>
      </c>
      <c r="AJ5" s="37">
        <v>100</v>
      </c>
      <c r="AK5">
        <v>83.995568180000006</v>
      </c>
      <c r="AL5">
        <v>0.71</v>
      </c>
      <c r="AM5">
        <v>-3.5</v>
      </c>
      <c r="AN5" s="38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26</v>
      </c>
      <c r="B6">
        <v>0</v>
      </c>
      <c r="C6" t="s">
        <v>35</v>
      </c>
      <c r="D6">
        <v>47.708333333333329</v>
      </c>
      <c r="E6">
        <v>0.11899999999999999</v>
      </c>
      <c r="F6">
        <v>0.23310810810810811</v>
      </c>
      <c r="G6"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1</v>
      </c>
      <c r="AJ6" s="37">
        <v>100</v>
      </c>
      <c r="AK6">
        <v>77.296940000000006</v>
      </c>
      <c r="AL6">
        <v>5.8</v>
      </c>
      <c r="AM6">
        <v>-3.6</v>
      </c>
      <c r="AN6" s="38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26</v>
      </c>
      <c r="B7">
        <v>2</v>
      </c>
      <c r="C7" t="s">
        <v>41</v>
      </c>
      <c r="D7">
        <v>47.708333333333329</v>
      </c>
      <c r="E7">
        <v>0.11899999999999999</v>
      </c>
      <c r="F7">
        <v>0.23310810810810811</v>
      </c>
      <c r="G7"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1</v>
      </c>
      <c r="AJ7" s="37">
        <v>100</v>
      </c>
      <c r="AK7">
        <v>77.663022729999994</v>
      </c>
      <c r="AL7">
        <v>5.8</v>
      </c>
      <c r="AM7">
        <v>-3.6</v>
      </c>
      <c r="AN7" s="38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26</v>
      </c>
      <c r="B8">
        <v>4</v>
      </c>
      <c r="C8" t="s">
        <v>47</v>
      </c>
      <c r="D8">
        <v>47.708333333333329</v>
      </c>
      <c r="E8">
        <v>0.11899999999999999</v>
      </c>
      <c r="F8">
        <v>0.23310810810810811</v>
      </c>
      <c r="G8"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1</v>
      </c>
      <c r="AJ8" s="37">
        <v>100</v>
      </c>
      <c r="AK8">
        <v>77.821019050000004</v>
      </c>
      <c r="AL8">
        <v>5.8</v>
      </c>
      <c r="AM8">
        <v>-3.6</v>
      </c>
      <c r="AN8" s="38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28</v>
      </c>
      <c r="B9">
        <v>0</v>
      </c>
      <c r="C9" t="s">
        <v>36</v>
      </c>
      <c r="D9">
        <v>24.5</v>
      </c>
      <c r="E9">
        <v>0.11199999999999999</v>
      </c>
      <c r="F9">
        <v>0.54411764705882359</v>
      </c>
      <c r="G9"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1</v>
      </c>
      <c r="AJ9" s="37">
        <v>100</v>
      </c>
      <c r="AK9">
        <v>75.098470210000002</v>
      </c>
      <c r="AL9">
        <v>1.1000000000000001</v>
      </c>
      <c r="AM9">
        <v>-2.2999999999999998</v>
      </c>
      <c r="AN9" s="38">
        <v>0</v>
      </c>
      <c r="AO9">
        <v>0.11172225</v>
      </c>
      <c r="AP9">
        <v>0.22923774999999999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t="s">
        <v>28</v>
      </c>
      <c r="B10">
        <v>2</v>
      </c>
      <c r="C10" t="s">
        <v>42</v>
      </c>
      <c r="D10">
        <v>24.5</v>
      </c>
      <c r="E10">
        <v>0.11199999999999999</v>
      </c>
      <c r="F10">
        <v>0.54411764705882359</v>
      </c>
      <c r="G10"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1</v>
      </c>
      <c r="AJ10" s="37">
        <v>100</v>
      </c>
      <c r="AK10">
        <v>75.18614762</v>
      </c>
      <c r="AL10">
        <v>1.1000000000000001</v>
      </c>
      <c r="AM10">
        <v>-2.2999999999999998</v>
      </c>
      <c r="AN10" s="38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28</v>
      </c>
      <c r="B11">
        <v>4</v>
      </c>
      <c r="C11" t="s">
        <v>48</v>
      </c>
      <c r="D11">
        <v>24.5</v>
      </c>
      <c r="E11">
        <v>0.11199999999999999</v>
      </c>
      <c r="F11">
        <v>0.54411764705882359</v>
      </c>
      <c r="G11"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1</v>
      </c>
      <c r="AJ11" s="37">
        <v>100</v>
      </c>
      <c r="AK11">
        <v>76.178809999999999</v>
      </c>
      <c r="AL11">
        <v>1.1000000000000001</v>
      </c>
      <c r="AM11">
        <v>-2.2999999999999998</v>
      </c>
      <c r="AN11" s="38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371-B62A-4454-9BB6-377B615D18A4}">
  <dimension ref="A1:AU11"/>
  <sheetViews>
    <sheetView topLeftCell="AJ1" zoomScale="130" zoomScaleNormal="130" workbookViewId="0">
      <selection activeCell="AQ3" sqref="AQ3:AU11"/>
    </sheetView>
  </sheetViews>
  <sheetFormatPr defaultRowHeight="13.8"/>
  <cols>
    <col min="43" max="46" width="16.59765625" customWidth="1"/>
  </cols>
  <sheetData>
    <row r="1" spans="1:47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</row>
    <row r="2" spans="1:47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</row>
    <row r="3" spans="1:47">
      <c r="A3" t="s">
        <v>15</v>
      </c>
      <c r="B3">
        <v>0</v>
      </c>
      <c r="C3" t="s">
        <v>34</v>
      </c>
      <c r="D3">
        <v>1.75</v>
      </c>
      <c r="E3">
        <v>3.5874999999999997E-2</v>
      </c>
      <c r="F3">
        <v>0.65789473684210575</v>
      </c>
      <c r="G3"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1</v>
      </c>
      <c r="AJ3" s="37">
        <v>100</v>
      </c>
      <c r="AK3">
        <v>83.526878569999994</v>
      </c>
      <c r="AL3">
        <v>0.71</v>
      </c>
      <c r="AM3">
        <v>-3.5</v>
      </c>
      <c r="AN3" s="38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t="s">
        <v>15</v>
      </c>
      <c r="B4">
        <v>2</v>
      </c>
      <c r="C4" t="s">
        <v>40</v>
      </c>
      <c r="D4">
        <v>1.75</v>
      </c>
      <c r="E4">
        <v>3.5874999999999997E-2</v>
      </c>
      <c r="F4">
        <v>0.65789473684210575</v>
      </c>
      <c r="G4"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1</v>
      </c>
      <c r="AJ4" s="37">
        <v>100</v>
      </c>
      <c r="AK4">
        <v>83.916164289999998</v>
      </c>
      <c r="AL4">
        <v>0.71</v>
      </c>
      <c r="AM4">
        <v>-3.5</v>
      </c>
      <c r="AN4" s="38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15</v>
      </c>
      <c r="B5">
        <v>4</v>
      </c>
      <c r="C5" t="s">
        <v>46</v>
      </c>
      <c r="D5">
        <v>1.75</v>
      </c>
      <c r="E5">
        <v>3.5874999999999997E-2</v>
      </c>
      <c r="F5">
        <v>0.65789473684210575</v>
      </c>
      <c r="G5"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1</v>
      </c>
      <c r="AJ5" s="37">
        <v>100</v>
      </c>
      <c r="AK5">
        <v>83.995568180000006</v>
      </c>
      <c r="AL5">
        <v>0.71</v>
      </c>
      <c r="AM5">
        <v>-3.5</v>
      </c>
      <c r="AN5" s="38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26</v>
      </c>
      <c r="B6">
        <v>0</v>
      </c>
      <c r="C6" t="s">
        <v>35</v>
      </c>
      <c r="D6">
        <v>11.927083333333332</v>
      </c>
      <c r="E6">
        <v>2.9749999999999999E-2</v>
      </c>
      <c r="F6">
        <v>0.23310810810810811</v>
      </c>
      <c r="G6"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1</v>
      </c>
      <c r="AJ6" s="37">
        <v>100</v>
      </c>
      <c r="AK6">
        <v>77.296940000000006</v>
      </c>
      <c r="AL6">
        <v>5.8</v>
      </c>
      <c r="AM6">
        <v>-3.6</v>
      </c>
      <c r="AN6" s="38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26</v>
      </c>
      <c r="B7">
        <v>2</v>
      </c>
      <c r="C7" t="s">
        <v>41</v>
      </c>
      <c r="D7">
        <v>11.927083333333332</v>
      </c>
      <c r="E7">
        <v>2.9749999999999999E-2</v>
      </c>
      <c r="F7">
        <v>0.23310810810810811</v>
      </c>
      <c r="G7"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1</v>
      </c>
      <c r="AJ7" s="37">
        <v>100</v>
      </c>
      <c r="AK7">
        <v>77.663022729999994</v>
      </c>
      <c r="AL7">
        <v>5.8</v>
      </c>
      <c r="AM7">
        <v>-3.6</v>
      </c>
      <c r="AN7" s="38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26</v>
      </c>
      <c r="B8">
        <v>4</v>
      </c>
      <c r="C8" t="s">
        <v>47</v>
      </c>
      <c r="D8">
        <v>11.927083333333332</v>
      </c>
      <c r="E8">
        <v>2.9749999999999999E-2</v>
      </c>
      <c r="F8">
        <v>0.23310810810810811</v>
      </c>
      <c r="G8"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1</v>
      </c>
      <c r="AJ8" s="37">
        <v>100</v>
      </c>
      <c r="AK8">
        <v>77.821019050000004</v>
      </c>
      <c r="AL8">
        <v>5.8</v>
      </c>
      <c r="AM8">
        <v>-3.6</v>
      </c>
      <c r="AN8" s="38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28</v>
      </c>
      <c r="B9">
        <v>0</v>
      </c>
      <c r="C9" t="s">
        <v>36</v>
      </c>
      <c r="D9">
        <v>6.125</v>
      </c>
      <c r="E9">
        <v>2.7999999999999997E-2</v>
      </c>
      <c r="F9">
        <v>0.54411764705882359</v>
      </c>
      <c r="G9"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1</v>
      </c>
      <c r="AJ9" s="37">
        <v>100</v>
      </c>
      <c r="AK9">
        <v>75.098470210000002</v>
      </c>
      <c r="AL9">
        <v>1.1000000000000001</v>
      </c>
      <c r="AM9">
        <v>-2.2999999999999998</v>
      </c>
      <c r="AN9" s="38">
        <v>0</v>
      </c>
      <c r="AO9">
        <v>0.11172225</v>
      </c>
      <c r="AP9">
        <v>0.22923774999999999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t="s">
        <v>28</v>
      </c>
      <c r="B10">
        <v>2</v>
      </c>
      <c r="C10" t="s">
        <v>42</v>
      </c>
      <c r="D10">
        <v>6.125</v>
      </c>
      <c r="E10">
        <v>2.7999999999999997E-2</v>
      </c>
      <c r="F10">
        <v>0.54411764705882359</v>
      </c>
      <c r="G10"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1</v>
      </c>
      <c r="AJ10" s="37">
        <v>100</v>
      </c>
      <c r="AK10">
        <v>75.18614762</v>
      </c>
      <c r="AL10">
        <v>1.1000000000000001</v>
      </c>
      <c r="AM10">
        <v>-2.2999999999999998</v>
      </c>
      <c r="AN10" s="38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28</v>
      </c>
      <c r="B11">
        <v>4</v>
      </c>
      <c r="C11" t="s">
        <v>48</v>
      </c>
      <c r="D11">
        <v>6.125</v>
      </c>
      <c r="E11">
        <v>2.7999999999999997E-2</v>
      </c>
      <c r="F11">
        <v>0.54411764705882359</v>
      </c>
      <c r="G11"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1</v>
      </c>
      <c r="AJ11" s="37">
        <v>100</v>
      </c>
      <c r="AK11">
        <v>76.178809999999999</v>
      </c>
      <c r="AL11">
        <v>1.1000000000000001</v>
      </c>
      <c r="AM11">
        <v>-2.2999999999999998</v>
      </c>
      <c r="AN11" s="38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81D0-5696-4DC7-A094-4A2350478C50}">
  <dimension ref="A1:AT11"/>
  <sheetViews>
    <sheetView topLeftCell="U1" zoomScale="130" zoomScaleNormal="130" workbookViewId="0">
      <selection activeCell="AC6" sqref="AC6"/>
    </sheetView>
  </sheetViews>
  <sheetFormatPr defaultRowHeight="13.8"/>
  <cols>
    <col min="42" max="45" width="16.59765625" customWidth="1"/>
  </cols>
  <sheetData>
    <row r="1" spans="1:46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5" t="s">
        <v>501</v>
      </c>
      <c r="AK1" s="5" t="s">
        <v>497</v>
      </c>
      <c r="AL1" s="5" t="s">
        <v>498</v>
      </c>
      <c r="AM1" s="5" t="s">
        <v>500</v>
      </c>
    </row>
    <row r="2" spans="1:46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513</v>
      </c>
      <c r="AT2" t="s">
        <v>514</v>
      </c>
    </row>
    <row r="3" spans="1:46">
      <c r="A3" t="s">
        <v>15</v>
      </c>
      <c r="B3">
        <v>0</v>
      </c>
      <c r="C3" t="s">
        <v>34</v>
      </c>
      <c r="D3">
        <v>3.5</v>
      </c>
      <c r="E3">
        <v>7.1749999999999994E-2</v>
      </c>
      <c r="F3">
        <v>0.65789473684210575</v>
      </c>
      <c r="G3"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1</v>
      </c>
      <c r="AJ3">
        <v>83.526878569999994</v>
      </c>
      <c r="AK3">
        <v>1.42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t="s">
        <v>15</v>
      </c>
      <c r="B4">
        <v>2</v>
      </c>
      <c r="C4" t="s">
        <v>40</v>
      </c>
      <c r="D4">
        <v>3.5</v>
      </c>
      <c r="E4">
        <v>7.1749999999999994E-2</v>
      </c>
      <c r="F4">
        <v>0.65789473684210575</v>
      </c>
      <c r="G4"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1</v>
      </c>
      <c r="AJ4">
        <v>83.916164289999998</v>
      </c>
      <c r="AK4">
        <v>1.42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>
      <c r="A5" t="s">
        <v>15</v>
      </c>
      <c r="B5">
        <v>4</v>
      </c>
      <c r="C5" t="s">
        <v>46</v>
      </c>
      <c r="D5">
        <v>3.5</v>
      </c>
      <c r="E5">
        <v>7.1749999999999994E-2</v>
      </c>
      <c r="F5">
        <v>0.65789473684210575</v>
      </c>
      <c r="G5"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1</v>
      </c>
      <c r="AJ5">
        <v>83.995568180000006</v>
      </c>
      <c r="AK5">
        <v>1.42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t="s">
        <v>26</v>
      </c>
      <c r="B6">
        <v>0</v>
      </c>
      <c r="C6" t="s">
        <v>35</v>
      </c>
      <c r="D6">
        <v>23.854166666666664</v>
      </c>
      <c r="E6">
        <v>5.9499999999999997E-2</v>
      </c>
      <c r="F6">
        <v>0.23310810810810811</v>
      </c>
      <c r="G6"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1</v>
      </c>
      <c r="AJ6">
        <v>77.296940000000006</v>
      </c>
      <c r="AK6">
        <v>11.6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t="s">
        <v>26</v>
      </c>
      <c r="B7">
        <v>2</v>
      </c>
      <c r="C7" t="s">
        <v>41</v>
      </c>
      <c r="D7">
        <v>23.854166666666664</v>
      </c>
      <c r="E7">
        <v>5.9499999999999997E-2</v>
      </c>
      <c r="F7">
        <v>0.23310810810810811</v>
      </c>
      <c r="G7"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1</v>
      </c>
      <c r="AJ7">
        <v>77.663022729999994</v>
      </c>
      <c r="AK7">
        <v>11.6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t="s">
        <v>26</v>
      </c>
      <c r="B8">
        <v>4</v>
      </c>
      <c r="C8" t="s">
        <v>47</v>
      </c>
      <c r="D8">
        <v>23.854166666666664</v>
      </c>
      <c r="E8">
        <v>5.9499999999999997E-2</v>
      </c>
      <c r="F8">
        <v>0.23310810810810811</v>
      </c>
      <c r="G8"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1</v>
      </c>
      <c r="AJ8">
        <v>77.821019050000004</v>
      </c>
      <c r="AK8">
        <v>11.6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t="s">
        <v>28</v>
      </c>
      <c r="B9">
        <v>0</v>
      </c>
      <c r="C9" t="s">
        <v>36</v>
      </c>
      <c r="D9">
        <v>12.25</v>
      </c>
      <c r="E9">
        <v>5.5999999999999994E-2</v>
      </c>
      <c r="F9">
        <v>0.54411764705882359</v>
      </c>
      <c r="G9"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1</v>
      </c>
      <c r="AJ9">
        <v>75.098470210000002</v>
      </c>
      <c r="AK9">
        <v>2.2000000000000002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t="s">
        <v>28</v>
      </c>
      <c r="B10">
        <v>2</v>
      </c>
      <c r="C10" t="s">
        <v>42</v>
      </c>
      <c r="D10">
        <v>12.25</v>
      </c>
      <c r="E10">
        <v>5.5999999999999994E-2</v>
      </c>
      <c r="F10">
        <v>0.54411764705882359</v>
      </c>
      <c r="G10"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1</v>
      </c>
      <c r="AJ10">
        <v>75.18614762</v>
      </c>
      <c r="AK10">
        <v>2.2000000000000002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t="s">
        <v>28</v>
      </c>
      <c r="B11">
        <v>4</v>
      </c>
      <c r="C11" t="s">
        <v>48</v>
      </c>
      <c r="D11">
        <v>12.25</v>
      </c>
      <c r="E11">
        <v>5.5999999999999994E-2</v>
      </c>
      <c r="F11">
        <v>0.54411764705882359</v>
      </c>
      <c r="G11"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1</v>
      </c>
      <c r="AJ11">
        <v>76.178809999999999</v>
      </c>
      <c r="AK11">
        <v>2.2000000000000002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A5E6-6797-44A8-8941-FBA015854D02}">
  <dimension ref="A1:AU11"/>
  <sheetViews>
    <sheetView topLeftCell="U1" zoomScale="130" zoomScaleNormal="130" workbookViewId="0">
      <selection activeCell="AD1" sqref="AD1:AD1048576"/>
    </sheetView>
  </sheetViews>
  <sheetFormatPr defaultRowHeight="13.8"/>
  <cols>
    <col min="43" max="46" width="16.59765625" customWidth="1"/>
  </cols>
  <sheetData>
    <row r="1" spans="1:47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</row>
    <row r="2" spans="1:47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</row>
    <row r="3" spans="1:47">
      <c r="A3" t="s">
        <v>15</v>
      </c>
      <c r="B3">
        <v>0</v>
      </c>
      <c r="C3" t="s">
        <v>34</v>
      </c>
      <c r="D3">
        <v>3.5</v>
      </c>
      <c r="E3">
        <v>7.1749999999999994E-2</v>
      </c>
      <c r="F3">
        <v>0.65789473684210575</v>
      </c>
      <c r="G3"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1</v>
      </c>
      <c r="AJ3" s="37">
        <v>100</v>
      </c>
      <c r="AK3">
        <v>83.526878569999994</v>
      </c>
      <c r="AL3">
        <v>0.35499999999999998</v>
      </c>
      <c r="AM3">
        <v>-3.5</v>
      </c>
      <c r="AN3" s="38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t="s">
        <v>15</v>
      </c>
      <c r="B4">
        <v>2</v>
      </c>
      <c r="C4" t="s">
        <v>40</v>
      </c>
      <c r="D4">
        <v>3.5</v>
      </c>
      <c r="E4">
        <v>7.1749999999999994E-2</v>
      </c>
      <c r="F4">
        <v>0.65789473684210575</v>
      </c>
      <c r="G4"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1</v>
      </c>
      <c r="AJ4" s="37">
        <v>100</v>
      </c>
      <c r="AK4">
        <v>83.916164289999998</v>
      </c>
      <c r="AL4">
        <v>0.35499999999999998</v>
      </c>
      <c r="AM4">
        <v>-3.5</v>
      </c>
      <c r="AN4" s="38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t="s">
        <v>15</v>
      </c>
      <c r="B5">
        <v>4</v>
      </c>
      <c r="C5" t="s">
        <v>46</v>
      </c>
      <c r="D5">
        <v>3.5</v>
      </c>
      <c r="E5">
        <v>7.1749999999999994E-2</v>
      </c>
      <c r="F5">
        <v>0.65789473684210575</v>
      </c>
      <c r="G5"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1</v>
      </c>
      <c r="AJ5" s="37">
        <v>100</v>
      </c>
      <c r="AK5">
        <v>83.995568180000006</v>
      </c>
      <c r="AL5">
        <v>0.35499999999999998</v>
      </c>
      <c r="AM5">
        <v>-3.5</v>
      </c>
      <c r="AN5" s="38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t="s">
        <v>26</v>
      </c>
      <c r="B6">
        <v>0</v>
      </c>
      <c r="C6" t="s">
        <v>35</v>
      </c>
      <c r="D6">
        <v>23.854166666666664</v>
      </c>
      <c r="E6">
        <v>5.9499999999999997E-2</v>
      </c>
      <c r="F6">
        <v>0.23310810810810811</v>
      </c>
      <c r="G6"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1</v>
      </c>
      <c r="AJ6" s="37">
        <v>100</v>
      </c>
      <c r="AK6">
        <v>77.296940000000006</v>
      </c>
      <c r="AL6">
        <v>2.9</v>
      </c>
      <c r="AM6">
        <v>-3.6</v>
      </c>
      <c r="AN6" s="38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t="s">
        <v>26</v>
      </c>
      <c r="B7">
        <v>2</v>
      </c>
      <c r="C7" t="s">
        <v>41</v>
      </c>
      <c r="D7">
        <v>23.854166666666664</v>
      </c>
      <c r="E7">
        <v>5.9499999999999997E-2</v>
      </c>
      <c r="F7">
        <v>0.23310810810810811</v>
      </c>
      <c r="G7"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1</v>
      </c>
      <c r="AJ7" s="37">
        <v>100</v>
      </c>
      <c r="AK7">
        <v>77.663022729999994</v>
      </c>
      <c r="AL7">
        <v>2.9</v>
      </c>
      <c r="AM7">
        <v>-3.6</v>
      </c>
      <c r="AN7" s="38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26</v>
      </c>
      <c r="B8">
        <v>4</v>
      </c>
      <c r="C8" t="s">
        <v>47</v>
      </c>
      <c r="D8">
        <v>23.854166666666664</v>
      </c>
      <c r="E8">
        <v>5.9499999999999997E-2</v>
      </c>
      <c r="F8">
        <v>0.23310810810810811</v>
      </c>
      <c r="G8"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1</v>
      </c>
      <c r="AJ8" s="37">
        <v>100</v>
      </c>
      <c r="AK8">
        <v>77.821019050000004</v>
      </c>
      <c r="AL8">
        <v>2.9</v>
      </c>
      <c r="AM8">
        <v>-3.6</v>
      </c>
      <c r="AN8" s="38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t="s">
        <v>28</v>
      </c>
      <c r="B9">
        <v>0</v>
      </c>
      <c r="C9" t="s">
        <v>36</v>
      </c>
      <c r="D9">
        <v>12.25</v>
      </c>
      <c r="E9">
        <v>5.5999999999999994E-2</v>
      </c>
      <c r="F9">
        <v>0.54411764705882359</v>
      </c>
      <c r="G9"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1</v>
      </c>
      <c r="AJ9" s="37">
        <v>100</v>
      </c>
      <c r="AK9">
        <v>75.098470210000002</v>
      </c>
      <c r="AL9">
        <v>0.55000000000000004</v>
      </c>
      <c r="AM9">
        <v>-2.2999999999999998</v>
      </c>
      <c r="AN9" s="38">
        <v>0</v>
      </c>
      <c r="AO9">
        <v>0.11172225</v>
      </c>
      <c r="AP9">
        <v>0.22923774999999999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t="s">
        <v>28</v>
      </c>
      <c r="B10">
        <v>2</v>
      </c>
      <c r="C10" t="s">
        <v>42</v>
      </c>
      <c r="D10">
        <v>12.25</v>
      </c>
      <c r="E10">
        <v>5.5999999999999994E-2</v>
      </c>
      <c r="F10">
        <v>0.54411764705882359</v>
      </c>
      <c r="G10"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1</v>
      </c>
      <c r="AJ10" s="37">
        <v>100</v>
      </c>
      <c r="AK10">
        <v>75.18614762</v>
      </c>
      <c r="AL10">
        <v>0.55000000000000004</v>
      </c>
      <c r="AM10">
        <v>-2.2999999999999998</v>
      </c>
      <c r="AN10" s="38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t="s">
        <v>28</v>
      </c>
      <c r="B11">
        <v>4</v>
      </c>
      <c r="C11" t="s">
        <v>48</v>
      </c>
      <c r="D11">
        <v>12.25</v>
      </c>
      <c r="E11">
        <v>5.5999999999999994E-2</v>
      </c>
      <c r="F11">
        <v>0.54411764705882359</v>
      </c>
      <c r="G11"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1</v>
      </c>
      <c r="AJ11" s="37">
        <v>100</v>
      </c>
      <c r="AK11">
        <v>76.178809999999999</v>
      </c>
      <c r="AL11">
        <v>0.55000000000000004</v>
      </c>
      <c r="AM11">
        <v>-2.2999999999999998</v>
      </c>
      <c r="AN11" s="38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D39C-9720-40F7-BBED-9214B6FB9A90}">
  <dimension ref="A1:N16"/>
  <sheetViews>
    <sheetView workbookViewId="0">
      <selection activeCell="Q14" sqref="Q14"/>
    </sheetView>
  </sheetViews>
  <sheetFormatPr defaultRowHeight="13.8"/>
  <cols>
    <col min="3" max="3" width="12.09765625" bestFit="1" customWidth="1"/>
    <col min="8" max="8" width="12.09765625" bestFit="1" customWidth="1"/>
    <col min="13" max="13" width="12.09765625" bestFit="1" customWidth="1"/>
  </cols>
  <sheetData>
    <row r="1" spans="1:14">
      <c r="A1" t="s">
        <v>0</v>
      </c>
      <c r="B1" t="s">
        <v>509</v>
      </c>
      <c r="C1" t="s">
        <v>507</v>
      </c>
      <c r="D1" t="s">
        <v>508</v>
      </c>
      <c r="F1" t="s">
        <v>0</v>
      </c>
      <c r="G1" t="s">
        <v>509</v>
      </c>
      <c r="H1" t="s">
        <v>507</v>
      </c>
      <c r="I1" t="s">
        <v>508</v>
      </c>
      <c r="K1" t="s">
        <v>0</v>
      </c>
      <c r="L1" t="s">
        <v>509</v>
      </c>
      <c r="M1" t="s">
        <v>507</v>
      </c>
      <c r="N1" t="s">
        <v>508</v>
      </c>
    </row>
    <row r="2" spans="1:14">
      <c r="A2" t="s">
        <v>495</v>
      </c>
      <c r="B2">
        <v>0.71</v>
      </c>
      <c r="C2">
        <v>5.8</v>
      </c>
      <c r="D2">
        <v>1.1000000000000001</v>
      </c>
      <c r="F2" t="s">
        <v>495</v>
      </c>
      <c r="G2">
        <f>B2*2</f>
        <v>1.42</v>
      </c>
      <c r="H2">
        <f t="shared" ref="H2:I2" si="0">C2*2</f>
        <v>11.6</v>
      </c>
      <c r="I2">
        <f t="shared" si="0"/>
        <v>2.2000000000000002</v>
      </c>
      <c r="K2" t="s">
        <v>495</v>
      </c>
      <c r="L2">
        <f>B2/2</f>
        <v>0.35499999999999998</v>
      </c>
      <c r="M2">
        <f t="shared" ref="M2:N2" si="1">C2/2</f>
        <v>2.9</v>
      </c>
      <c r="N2">
        <f t="shared" si="1"/>
        <v>0.55000000000000004</v>
      </c>
    </row>
    <row r="3" spans="1:14">
      <c r="A3" t="s">
        <v>496</v>
      </c>
      <c r="B3">
        <v>-3.5</v>
      </c>
      <c r="C3">
        <v>-3.6</v>
      </c>
      <c r="D3">
        <v>-2.2999999999999998</v>
      </c>
      <c r="F3" t="s">
        <v>496</v>
      </c>
      <c r="G3">
        <f>B3</f>
        <v>-3.5</v>
      </c>
      <c r="H3">
        <f t="shared" ref="H3:I3" si="2">C3</f>
        <v>-3.6</v>
      </c>
      <c r="I3">
        <f t="shared" si="2"/>
        <v>-2.2999999999999998</v>
      </c>
      <c r="K3" t="s">
        <v>496</v>
      </c>
      <c r="L3">
        <f>B3/2</f>
        <v>-1.75</v>
      </c>
      <c r="M3">
        <f t="shared" ref="M3:N3" si="3">C3/2</f>
        <v>-1.8</v>
      </c>
      <c r="N3">
        <f t="shared" si="3"/>
        <v>-1.1499999999999999</v>
      </c>
    </row>
    <row r="8" spans="1:14">
      <c r="A8" t="s">
        <v>506</v>
      </c>
      <c r="B8" t="s">
        <v>509</v>
      </c>
      <c r="C8" t="s">
        <v>507</v>
      </c>
      <c r="D8" t="s">
        <v>508</v>
      </c>
      <c r="F8" t="s">
        <v>506</v>
      </c>
      <c r="G8" t="s">
        <v>509</v>
      </c>
      <c r="H8" t="s">
        <v>507</v>
      </c>
      <c r="I8" t="s">
        <v>508</v>
      </c>
      <c r="K8" t="s">
        <v>506</v>
      </c>
      <c r="L8" t="s">
        <v>509</v>
      </c>
      <c r="M8" t="s">
        <v>507</v>
      </c>
      <c r="N8" t="s">
        <v>508</v>
      </c>
    </row>
    <row r="9" spans="1:14">
      <c r="A9">
        <v>0.05</v>
      </c>
      <c r="B9">
        <f t="shared" ref="B9:D16" si="4">B$2*$A9^(B$3)</f>
        <v>25401.732224397601</v>
      </c>
      <c r="C9">
        <f t="shared" si="4"/>
        <v>279985.78201569547</v>
      </c>
      <c r="D9">
        <f t="shared" si="4"/>
        <v>1080.8406629818953</v>
      </c>
      <c r="F9">
        <v>0.05</v>
      </c>
      <c r="G9">
        <f t="shared" ref="G9:I16" si="5">G$2*$A9^(G$3)</f>
        <v>50803.464448795203</v>
      </c>
      <c r="H9">
        <f t="shared" si="5"/>
        <v>559971.56403139094</v>
      </c>
      <c r="I9">
        <f t="shared" si="5"/>
        <v>2161.6813259637906</v>
      </c>
      <c r="K9">
        <v>0.05</v>
      </c>
      <c r="L9">
        <f t="shared" ref="L9:N16" si="6">L$2*$A9^(L$3)</f>
        <v>67.147654239225474</v>
      </c>
      <c r="M9">
        <f t="shared" si="6"/>
        <v>637.16511511754811</v>
      </c>
      <c r="N9">
        <f t="shared" si="6"/>
        <v>17.240393914293872</v>
      </c>
    </row>
    <row r="10" spans="1:14">
      <c r="A10">
        <v>0.125</v>
      </c>
      <c r="B10">
        <f t="shared" si="4"/>
        <v>1028.189828387734</v>
      </c>
      <c r="C10">
        <f t="shared" si="4"/>
        <v>10340.747811056672</v>
      </c>
      <c r="D10">
        <f t="shared" si="4"/>
        <v>131.37104520838233</v>
      </c>
      <c r="F10">
        <v>0.125</v>
      </c>
      <c r="G10">
        <f t="shared" si="5"/>
        <v>2056.379656775468</v>
      </c>
      <c r="H10">
        <f t="shared" si="5"/>
        <v>20681.495622113343</v>
      </c>
      <c r="I10">
        <f t="shared" si="5"/>
        <v>262.74209041676465</v>
      </c>
      <c r="K10">
        <v>0.125</v>
      </c>
      <c r="L10">
        <f t="shared" si="6"/>
        <v>13.509392826430906</v>
      </c>
      <c r="M10">
        <f t="shared" si="6"/>
        <v>122.45033411972453</v>
      </c>
      <c r="N10">
        <f t="shared" si="6"/>
        <v>6.0105771297193371</v>
      </c>
    </row>
    <row r="11" spans="1:14">
      <c r="A11">
        <v>0.25</v>
      </c>
      <c r="B11">
        <f t="shared" si="4"/>
        <v>90.879999999999981</v>
      </c>
      <c r="C11">
        <f t="shared" si="4"/>
        <v>852.79365874979851</v>
      </c>
      <c r="D11">
        <f t="shared" si="4"/>
        <v>26.676611570582995</v>
      </c>
      <c r="F11">
        <v>0.25</v>
      </c>
      <c r="G11">
        <f t="shared" si="5"/>
        <v>181.75999999999996</v>
      </c>
      <c r="H11">
        <f t="shared" si="5"/>
        <v>1705.587317499597</v>
      </c>
      <c r="I11">
        <f t="shared" si="5"/>
        <v>53.353223141165991</v>
      </c>
      <c r="K11">
        <v>0.25</v>
      </c>
      <c r="L11">
        <f t="shared" si="6"/>
        <v>4.0163665171395895</v>
      </c>
      <c r="M11">
        <f t="shared" si="6"/>
        <v>35.164624343041233</v>
      </c>
      <c r="N11">
        <f t="shared" si="6"/>
        <v>2.7085177093588158</v>
      </c>
    </row>
    <row r="12" spans="1:14">
      <c r="A12">
        <v>0.5</v>
      </c>
      <c r="B12">
        <f t="shared" si="4"/>
        <v>8.032733034279179</v>
      </c>
      <c r="C12">
        <f t="shared" si="4"/>
        <v>70.329248686082465</v>
      </c>
      <c r="D12">
        <f t="shared" si="4"/>
        <v>5.4170354187176315</v>
      </c>
      <c r="F12">
        <v>0.5</v>
      </c>
      <c r="G12">
        <f t="shared" si="5"/>
        <v>16.065466068558358</v>
      </c>
      <c r="H12">
        <f t="shared" si="5"/>
        <v>140.65849737216493</v>
      </c>
      <c r="I12">
        <f t="shared" si="5"/>
        <v>10.834070837435263</v>
      </c>
      <c r="K12">
        <v>0.5</v>
      </c>
      <c r="L12">
        <f t="shared" si="6"/>
        <v>1.1940729096602745</v>
      </c>
      <c r="M12">
        <f t="shared" si="6"/>
        <v>10.09838653423504</v>
      </c>
      <c r="N12">
        <f t="shared" si="6"/>
        <v>1.2205264192746295</v>
      </c>
    </row>
    <row r="13" spans="1:14">
      <c r="A13">
        <v>0.75</v>
      </c>
      <c r="B13">
        <f t="shared" si="4"/>
        <v>1.9433182394056736</v>
      </c>
      <c r="C13">
        <f t="shared" si="4"/>
        <v>16.338321787579762</v>
      </c>
      <c r="D13">
        <f t="shared" si="4"/>
        <v>2.1318261214689533</v>
      </c>
      <c r="F13">
        <v>0.75</v>
      </c>
      <c r="G13">
        <f t="shared" si="5"/>
        <v>3.8866364788113472</v>
      </c>
      <c r="H13">
        <f t="shared" si="5"/>
        <v>32.676643575159524</v>
      </c>
      <c r="I13">
        <f t="shared" si="5"/>
        <v>4.2636522429379067</v>
      </c>
      <c r="K13">
        <v>0.75</v>
      </c>
      <c r="L13">
        <f t="shared" si="6"/>
        <v>0.58731506663332511</v>
      </c>
      <c r="M13">
        <f t="shared" si="6"/>
        <v>4.8672956137870491</v>
      </c>
      <c r="N13">
        <f t="shared" si="6"/>
        <v>0.76567106736767987</v>
      </c>
    </row>
    <row r="14" spans="1:14">
      <c r="A14">
        <v>1</v>
      </c>
      <c r="B14">
        <f t="shared" si="4"/>
        <v>0.71</v>
      </c>
      <c r="C14">
        <f t="shared" si="4"/>
        <v>5.8</v>
      </c>
      <c r="D14">
        <f t="shared" si="4"/>
        <v>1.1000000000000001</v>
      </c>
      <c r="F14">
        <v>1</v>
      </c>
      <c r="G14">
        <f t="shared" si="5"/>
        <v>1.42</v>
      </c>
      <c r="H14">
        <f t="shared" si="5"/>
        <v>11.6</v>
      </c>
      <c r="I14">
        <f t="shared" si="5"/>
        <v>2.2000000000000002</v>
      </c>
      <c r="K14">
        <v>1</v>
      </c>
      <c r="L14">
        <f t="shared" si="6"/>
        <v>0.35499999999999998</v>
      </c>
      <c r="M14">
        <f t="shared" si="6"/>
        <v>2.9</v>
      </c>
      <c r="N14">
        <f t="shared" si="6"/>
        <v>0.55000000000000004</v>
      </c>
    </row>
    <row r="15" spans="1:14">
      <c r="A15">
        <v>1.5</v>
      </c>
      <c r="B15">
        <f t="shared" si="4"/>
        <v>0.17176668813590681</v>
      </c>
      <c r="C15">
        <f t="shared" si="4"/>
        <v>1.3474090529665397</v>
      </c>
      <c r="D15">
        <f t="shared" si="4"/>
        <v>0.43289521894449418</v>
      </c>
      <c r="F15">
        <v>1.5</v>
      </c>
      <c r="G15">
        <f t="shared" si="5"/>
        <v>0.34353337627181363</v>
      </c>
      <c r="H15">
        <f t="shared" si="5"/>
        <v>2.6948181059330794</v>
      </c>
      <c r="I15">
        <f t="shared" si="5"/>
        <v>0.86579043788898835</v>
      </c>
      <c r="K15">
        <v>1.5</v>
      </c>
      <c r="L15">
        <f t="shared" si="6"/>
        <v>0.17460981399716186</v>
      </c>
      <c r="M15">
        <f t="shared" si="6"/>
        <v>1.397763616210367</v>
      </c>
      <c r="N15">
        <f t="shared" si="6"/>
        <v>0.34503070183642481</v>
      </c>
    </row>
    <row r="16" spans="1:14">
      <c r="A16">
        <v>2</v>
      </c>
      <c r="B16">
        <f t="shared" si="4"/>
        <v>6.2755726830306099E-2</v>
      </c>
      <c r="C16">
        <f t="shared" si="4"/>
        <v>0.47832161765517422</v>
      </c>
      <c r="D16">
        <f t="shared" si="4"/>
        <v>0.22336940899796484</v>
      </c>
      <c r="F16">
        <v>2</v>
      </c>
      <c r="G16">
        <f t="shared" si="5"/>
        <v>0.1255114536606122</v>
      </c>
      <c r="H16">
        <f t="shared" si="5"/>
        <v>0.95664323531034845</v>
      </c>
      <c r="I16">
        <f t="shared" si="5"/>
        <v>0.44673881799592968</v>
      </c>
      <c r="K16">
        <v>2</v>
      </c>
      <c r="L16">
        <f t="shared" si="6"/>
        <v>0.10554213145649148</v>
      </c>
      <c r="M16">
        <f t="shared" si="6"/>
        <v>0.83280630737285044</v>
      </c>
      <c r="N16">
        <f t="shared" si="6"/>
        <v>0.24784387721797838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9A7-29ED-45E8-9458-21D5EBE70ADB}">
  <dimension ref="E22"/>
  <sheetViews>
    <sheetView workbookViewId="0">
      <selection activeCell="H16" sqref="H16"/>
    </sheetView>
  </sheetViews>
  <sheetFormatPr defaultRowHeight="13.8"/>
  <sheetData>
    <row r="22" spans="5:5">
      <c r="E22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stocks</vt:lpstr>
      <vt:lpstr>water_quality</vt:lpstr>
      <vt:lpstr>site</vt:lpstr>
      <vt:lpstr>siteplot</vt:lpstr>
      <vt:lpstr>Sheet1</vt:lpstr>
      <vt:lpstr>parameters_siteplot_all</vt:lpstr>
      <vt:lpstr>parameters_siteplot</vt:lpstr>
      <vt:lpstr>pars_lcbp_siphon_verif</vt:lpstr>
      <vt:lpstr>pars_lcbp_siphon</vt:lpstr>
      <vt:lpstr>pars_lcbp_stream</vt:lpstr>
      <vt:lpstr>pars_lcbp_stream_2xConc</vt:lpstr>
      <vt:lpstr>pars_lcbp_stream_0p5xConc</vt:lpstr>
      <vt:lpstr>pars_lcbp_stream_2xHRT</vt:lpstr>
      <vt:lpstr>pars_lcbp_stream_0p5xHRT</vt:lpstr>
      <vt:lpstr>HRT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Wiegman, Adrian - REE-ARS</cp:lastModifiedBy>
  <dcterms:created xsi:type="dcterms:W3CDTF">2021-09-30T15:41:31Z</dcterms:created>
  <dcterms:modified xsi:type="dcterms:W3CDTF">2023-09-21T17:58:12Z</dcterms:modified>
</cp:coreProperties>
</file>