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pivotTables/pivotTable5.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userName="Swati Yadav (Contractor)" algorithmName="SHA-512" hashValue="OfojhVICnMdX+OfUqEwjZJPJQO+UTbNRUKudNp0mzZ7CdvNH+PnMIV+IGWrPj1RHynDHoYAK8NBo2Gy+7k9KxQ==" saltValue="WO8D+Z6dxsWvBQE3cZYbtg==" spinCount="100000"/>
  <workbookPr backupFile="1" codeName="ThisWorkbook" hidePivotFieldList="1" defaultThemeVersion="202300"/>
  <mc:AlternateContent xmlns:mc="http://schemas.openxmlformats.org/markup-compatibility/2006">
    <mc:Choice Requires="x15">
      <x15ac:absPath xmlns:x15ac="http://schemas.microsoft.com/office/spreadsheetml/2010/11/ac" url="https://antarescap.sharepoint.com/sites/AntaresITDemo/IT Internal/TechPMO/Shared Documents/02 – Financials, Vendors &amp; Administration/07 - Tech Financials/"/>
    </mc:Choice>
  </mc:AlternateContent>
  <xr:revisionPtr revIDLastSave="0" documentId="10_ncr:10000_{D8F084C4-ED04-4D4F-9709-0FA6A4386700}" xr6:coauthVersionLast="47" xr6:coauthVersionMax="47" xr10:uidLastSave="{00000000-0000-0000-0000-000000000000}"/>
  <bookViews>
    <workbookView xWindow="-108" yWindow="-108" windowWidth="23256" windowHeight="13896" tabRatio="843" activeTab="5" xr2:uid="{6E86A890-6511-465B-97CD-9F3B99500F42}"/>
  </bookViews>
  <sheets>
    <sheet name="YTD Financials Run Rate" sheetId="65" r:id="rId1"/>
    <sheet name="Notes - R&amp;O" sheetId="89" r:id="rId2"/>
    <sheet name="Monthly Run Rate (Jan-Mar)" sheetId="83" r:id="rId3"/>
    <sheet name="Master Data (DO NOT EDIT)" sheetId="88" r:id="rId4"/>
    <sheet name="AI Budget Tracking" sheetId="87" r:id="rId5"/>
    <sheet name="Rough" sheetId="84"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s>
  <definedNames>
    <definedName name="\bvwreb" hidden="1">#REF!</definedName>
    <definedName name="_______SC984" localSheetId="1">[1]SC984!$A$1:$B$947</definedName>
    <definedName name="_______SC984">#REF!</definedName>
    <definedName name="______SC984" localSheetId="1">[1]SC984!$A$1:$B$947</definedName>
    <definedName name="______SC984">#REF!</definedName>
    <definedName name="_____SC984" localSheetId="1">[1]SC984!$A$1:$B$947</definedName>
    <definedName name="_____SC984">#REF!</definedName>
    <definedName name="____SC984" localSheetId="1">[1]SC984!$A$1:$B$947</definedName>
    <definedName name="____SC984">#REF!</definedName>
    <definedName name="____ww1" localSheetId="3" hidden="1">{"Assumptions",#N/A,FALSE,"Model"}</definedName>
    <definedName name="____ww1" localSheetId="1" hidden="1">{"Assumptions",#N/A,FALSE,"Model"}</definedName>
    <definedName name="____ww1" hidden="1">{"Assumptions",#N/A,FALSE,"Model"}</definedName>
    <definedName name="____ww1_1" localSheetId="3" hidden="1">{"Assumptions",#N/A,FALSE,"Model"}</definedName>
    <definedName name="____ww1_1" localSheetId="1" hidden="1">{"Assumptions",#N/A,FALSE,"Model"}</definedName>
    <definedName name="____ww1_1" hidden="1">{"Assumptions",#N/A,FALSE,"Model"}</definedName>
    <definedName name="____ww1_1_1" localSheetId="3" hidden="1">{"Assumptions",#N/A,FALSE,"Model"}</definedName>
    <definedName name="____ww1_1_1" localSheetId="1" hidden="1">{"Assumptions",#N/A,FALSE,"Model"}</definedName>
    <definedName name="____ww1_1_1" hidden="1">{"Assumptions",#N/A,FALSE,"Model"}</definedName>
    <definedName name="____ww1_1_1_1" localSheetId="3" hidden="1">{"Assumptions",#N/A,FALSE,"Model"}</definedName>
    <definedName name="____ww1_1_1_1" localSheetId="1" hidden="1">{"Assumptions",#N/A,FALSE,"Model"}</definedName>
    <definedName name="____ww1_1_1_1" hidden="1">{"Assumptions",#N/A,FALSE,"Model"}</definedName>
    <definedName name="____ww1_1_1_1_1" localSheetId="3" hidden="1">{"Assumptions",#N/A,FALSE,"Model"}</definedName>
    <definedName name="____ww1_1_1_1_1" localSheetId="1" hidden="1">{"Assumptions",#N/A,FALSE,"Model"}</definedName>
    <definedName name="____ww1_1_1_1_1" hidden="1">{"Assumptions",#N/A,FALSE,"Model"}</definedName>
    <definedName name="____ww1_1_2" localSheetId="3" hidden="1">{"Assumptions",#N/A,FALSE,"Model"}</definedName>
    <definedName name="____ww1_1_2" localSheetId="1" hidden="1">{"Assumptions",#N/A,FALSE,"Model"}</definedName>
    <definedName name="____ww1_1_2" hidden="1">{"Assumptions",#N/A,FALSE,"Model"}</definedName>
    <definedName name="____ww1_1_2_1" localSheetId="3" hidden="1">{"Assumptions",#N/A,FALSE,"Model"}</definedName>
    <definedName name="____ww1_1_2_1" localSheetId="1" hidden="1">{"Assumptions",#N/A,FALSE,"Model"}</definedName>
    <definedName name="____ww1_1_2_1" hidden="1">{"Assumptions",#N/A,FALSE,"Model"}</definedName>
    <definedName name="____ww1_1_3" localSheetId="3" hidden="1">{"Assumptions",#N/A,FALSE,"Model"}</definedName>
    <definedName name="____ww1_1_3" localSheetId="1" hidden="1">{"Assumptions",#N/A,FALSE,"Model"}</definedName>
    <definedName name="____ww1_1_3" hidden="1">{"Assumptions",#N/A,FALSE,"Model"}</definedName>
    <definedName name="____ww1_1_3_1" localSheetId="3" hidden="1">{"Assumptions",#N/A,FALSE,"Model"}</definedName>
    <definedName name="____ww1_1_3_1" localSheetId="1" hidden="1">{"Assumptions",#N/A,FALSE,"Model"}</definedName>
    <definedName name="____ww1_1_3_1" hidden="1">{"Assumptions",#N/A,FALSE,"Model"}</definedName>
    <definedName name="____ww1_1_4" localSheetId="3" hidden="1">{"Assumptions",#N/A,FALSE,"Model"}</definedName>
    <definedName name="____ww1_1_4" localSheetId="1" hidden="1">{"Assumptions",#N/A,FALSE,"Model"}</definedName>
    <definedName name="____ww1_1_4" hidden="1">{"Assumptions",#N/A,FALSE,"Model"}</definedName>
    <definedName name="____ww1_2" localSheetId="3" hidden="1">{"Assumptions",#N/A,FALSE,"Model"}</definedName>
    <definedName name="____ww1_2" localSheetId="1" hidden="1">{"Assumptions",#N/A,FALSE,"Model"}</definedName>
    <definedName name="____ww1_2" hidden="1">{"Assumptions",#N/A,FALSE,"Model"}</definedName>
    <definedName name="____ww1_2_1" localSheetId="3" hidden="1">{"Assumptions",#N/A,FALSE,"Model"}</definedName>
    <definedName name="____ww1_2_1" localSheetId="1" hidden="1">{"Assumptions",#N/A,FALSE,"Model"}</definedName>
    <definedName name="____ww1_2_1" hidden="1">{"Assumptions",#N/A,FALSE,"Model"}</definedName>
    <definedName name="____ww1_2_1_1" localSheetId="3" hidden="1">{"Assumptions",#N/A,FALSE,"Model"}</definedName>
    <definedName name="____ww1_2_1_1" localSheetId="1" hidden="1">{"Assumptions",#N/A,FALSE,"Model"}</definedName>
    <definedName name="____ww1_2_1_1" hidden="1">{"Assumptions",#N/A,FALSE,"Model"}</definedName>
    <definedName name="____ww1_2_1_1_1" localSheetId="3" hidden="1">{"Assumptions",#N/A,FALSE,"Model"}</definedName>
    <definedName name="____ww1_2_1_1_1" localSheetId="1" hidden="1">{"Assumptions",#N/A,FALSE,"Model"}</definedName>
    <definedName name="____ww1_2_1_1_1" hidden="1">{"Assumptions",#N/A,FALSE,"Model"}</definedName>
    <definedName name="____ww1_2_2" localSheetId="3" hidden="1">{"Assumptions",#N/A,FALSE,"Model"}</definedName>
    <definedName name="____ww1_2_2" localSheetId="1" hidden="1">{"Assumptions",#N/A,FALSE,"Model"}</definedName>
    <definedName name="____ww1_2_2" hidden="1">{"Assumptions",#N/A,FALSE,"Model"}</definedName>
    <definedName name="____ww1_2_2_1" localSheetId="3" hidden="1">{"Assumptions",#N/A,FALSE,"Model"}</definedName>
    <definedName name="____ww1_2_2_1" localSheetId="1" hidden="1">{"Assumptions",#N/A,FALSE,"Model"}</definedName>
    <definedName name="____ww1_2_2_1" hidden="1">{"Assumptions",#N/A,FALSE,"Model"}</definedName>
    <definedName name="____ww1_2_3" localSheetId="3" hidden="1">{"Assumptions",#N/A,FALSE,"Model"}</definedName>
    <definedName name="____ww1_2_3" localSheetId="1" hidden="1">{"Assumptions",#N/A,FALSE,"Model"}</definedName>
    <definedName name="____ww1_2_3" hidden="1">{"Assumptions",#N/A,FALSE,"Model"}</definedName>
    <definedName name="____ww1_3" localSheetId="3" hidden="1">{"Assumptions",#N/A,FALSE,"Model"}</definedName>
    <definedName name="____ww1_3" localSheetId="1" hidden="1">{"Assumptions",#N/A,FALSE,"Model"}</definedName>
    <definedName name="____ww1_3" hidden="1">{"Assumptions",#N/A,FALSE,"Model"}</definedName>
    <definedName name="____ww1_3_1" localSheetId="3" hidden="1">{"Assumptions",#N/A,FALSE,"Model"}</definedName>
    <definedName name="____ww1_3_1" localSheetId="1" hidden="1">{"Assumptions",#N/A,FALSE,"Model"}</definedName>
    <definedName name="____ww1_3_1" hidden="1">{"Assumptions",#N/A,FALSE,"Model"}</definedName>
    <definedName name="____ww1_3_1_1" localSheetId="3" hidden="1">{"Assumptions",#N/A,FALSE,"Model"}</definedName>
    <definedName name="____ww1_3_1_1" localSheetId="1" hidden="1">{"Assumptions",#N/A,FALSE,"Model"}</definedName>
    <definedName name="____ww1_3_1_1" hidden="1">{"Assumptions",#N/A,FALSE,"Model"}</definedName>
    <definedName name="____ww1_3_1_1_1" localSheetId="3" hidden="1">{"Assumptions",#N/A,FALSE,"Model"}</definedName>
    <definedName name="____ww1_3_1_1_1" localSheetId="1" hidden="1">{"Assumptions",#N/A,FALSE,"Model"}</definedName>
    <definedName name="____ww1_3_1_1_1" hidden="1">{"Assumptions",#N/A,FALSE,"Model"}</definedName>
    <definedName name="____ww1_3_2" localSheetId="3" hidden="1">{"Assumptions",#N/A,FALSE,"Model"}</definedName>
    <definedName name="____ww1_3_2" localSheetId="1" hidden="1">{"Assumptions",#N/A,FALSE,"Model"}</definedName>
    <definedName name="____ww1_3_2" hidden="1">{"Assumptions",#N/A,FALSE,"Model"}</definedName>
    <definedName name="____ww1_3_2_1" localSheetId="3" hidden="1">{"Assumptions",#N/A,FALSE,"Model"}</definedName>
    <definedName name="____ww1_3_2_1" localSheetId="1" hidden="1">{"Assumptions",#N/A,FALSE,"Model"}</definedName>
    <definedName name="____ww1_3_2_1" hidden="1">{"Assumptions",#N/A,FALSE,"Model"}</definedName>
    <definedName name="____ww1_3_3" localSheetId="3" hidden="1">{"Assumptions",#N/A,FALSE,"Model"}</definedName>
    <definedName name="____ww1_3_3" localSheetId="1" hidden="1">{"Assumptions",#N/A,FALSE,"Model"}</definedName>
    <definedName name="____ww1_3_3" hidden="1">{"Assumptions",#N/A,FALSE,"Model"}</definedName>
    <definedName name="____ww1_4" localSheetId="3" hidden="1">{"Assumptions",#N/A,FALSE,"Model"}</definedName>
    <definedName name="____ww1_4" localSheetId="1" hidden="1">{"Assumptions",#N/A,FALSE,"Model"}</definedName>
    <definedName name="____ww1_4" hidden="1">{"Assumptions",#N/A,FALSE,"Model"}</definedName>
    <definedName name="____ww1_4_1" localSheetId="3" hidden="1">{"Assumptions",#N/A,FALSE,"Model"}</definedName>
    <definedName name="____ww1_4_1" localSheetId="1" hidden="1">{"Assumptions",#N/A,FALSE,"Model"}</definedName>
    <definedName name="____ww1_4_1" hidden="1">{"Assumptions",#N/A,FALSE,"Model"}</definedName>
    <definedName name="____ww1_4_1_1" localSheetId="3" hidden="1">{"Assumptions",#N/A,FALSE,"Model"}</definedName>
    <definedName name="____ww1_4_1_1" localSheetId="1" hidden="1">{"Assumptions",#N/A,FALSE,"Model"}</definedName>
    <definedName name="____ww1_4_1_1" hidden="1">{"Assumptions",#N/A,FALSE,"Model"}</definedName>
    <definedName name="____ww1_4_1_1_1" localSheetId="3" hidden="1">{"Assumptions",#N/A,FALSE,"Model"}</definedName>
    <definedName name="____ww1_4_1_1_1" localSheetId="1" hidden="1">{"Assumptions",#N/A,FALSE,"Model"}</definedName>
    <definedName name="____ww1_4_1_1_1" hidden="1">{"Assumptions",#N/A,FALSE,"Model"}</definedName>
    <definedName name="____ww1_4_2" localSheetId="3" hidden="1">{"Assumptions",#N/A,FALSE,"Model"}</definedName>
    <definedName name="____ww1_4_2" localSheetId="1" hidden="1">{"Assumptions",#N/A,FALSE,"Model"}</definedName>
    <definedName name="____ww1_4_2" hidden="1">{"Assumptions",#N/A,FALSE,"Model"}</definedName>
    <definedName name="____ww1_4_2_1" localSheetId="3" hidden="1">{"Assumptions",#N/A,FALSE,"Model"}</definedName>
    <definedName name="____ww1_4_2_1" localSheetId="1" hidden="1">{"Assumptions",#N/A,FALSE,"Model"}</definedName>
    <definedName name="____ww1_4_2_1" hidden="1">{"Assumptions",#N/A,FALSE,"Model"}</definedName>
    <definedName name="____ww1_4_3" localSheetId="3" hidden="1">{"Assumptions",#N/A,FALSE,"Model"}</definedName>
    <definedName name="____ww1_4_3" localSheetId="1" hidden="1">{"Assumptions",#N/A,FALSE,"Model"}</definedName>
    <definedName name="____ww1_4_3" hidden="1">{"Assumptions",#N/A,FALSE,"Model"}</definedName>
    <definedName name="____ww1_5" localSheetId="3" hidden="1">{"Assumptions",#N/A,FALSE,"Model"}</definedName>
    <definedName name="____ww1_5" localSheetId="1" hidden="1">{"Assumptions",#N/A,FALSE,"Model"}</definedName>
    <definedName name="____ww1_5" hidden="1">{"Assumptions",#N/A,FALSE,"Model"}</definedName>
    <definedName name="____ww1_5_1" localSheetId="3" hidden="1">{"Assumptions",#N/A,FALSE,"Model"}</definedName>
    <definedName name="____ww1_5_1" localSheetId="1" hidden="1">{"Assumptions",#N/A,FALSE,"Model"}</definedName>
    <definedName name="____ww1_5_1" hidden="1">{"Assumptions",#N/A,FALSE,"Model"}</definedName>
    <definedName name="____ww1_5_1_1" localSheetId="3" hidden="1">{"Assumptions",#N/A,FALSE,"Model"}</definedName>
    <definedName name="____ww1_5_1_1" localSheetId="1" hidden="1">{"Assumptions",#N/A,FALSE,"Model"}</definedName>
    <definedName name="____ww1_5_1_1" hidden="1">{"Assumptions",#N/A,FALSE,"Model"}</definedName>
    <definedName name="____ww1_5_1_1_1" localSheetId="3" hidden="1">{"Assumptions",#N/A,FALSE,"Model"}</definedName>
    <definedName name="____ww1_5_1_1_1" localSheetId="1" hidden="1">{"Assumptions",#N/A,FALSE,"Model"}</definedName>
    <definedName name="____ww1_5_1_1_1" hidden="1">{"Assumptions",#N/A,FALSE,"Model"}</definedName>
    <definedName name="____ww1_5_2" localSheetId="3" hidden="1">{"Assumptions",#N/A,FALSE,"Model"}</definedName>
    <definedName name="____ww1_5_2" localSheetId="1" hidden="1">{"Assumptions",#N/A,FALSE,"Model"}</definedName>
    <definedName name="____ww1_5_2" hidden="1">{"Assumptions",#N/A,FALSE,"Model"}</definedName>
    <definedName name="____ww1_5_2_1" localSheetId="3" hidden="1">{"Assumptions",#N/A,FALSE,"Model"}</definedName>
    <definedName name="____ww1_5_2_1" localSheetId="1" hidden="1">{"Assumptions",#N/A,FALSE,"Model"}</definedName>
    <definedName name="____ww1_5_2_1" hidden="1">{"Assumptions",#N/A,FALSE,"Model"}</definedName>
    <definedName name="____ww1_5_3" localSheetId="3" hidden="1">{"Assumptions",#N/A,FALSE,"Model"}</definedName>
    <definedName name="____ww1_5_3" localSheetId="1" hidden="1">{"Assumptions",#N/A,FALSE,"Model"}</definedName>
    <definedName name="____ww1_5_3" hidden="1">{"Assumptions",#N/A,FALSE,"Model"}</definedName>
    <definedName name="___nmr1" localSheetId="1" hidden="1">[2]A!#REF!</definedName>
    <definedName name="___nmr1" hidden="1">#REF!</definedName>
    <definedName name="___SC984" localSheetId="1">[1]SC984!$A$1:$B$947</definedName>
    <definedName name="___SC984">#REF!</definedName>
    <definedName name="___thinkcellJ0YAAAAAAAAAAAAAPI1gUJa870C4B5OR949u9A" localSheetId="1" hidden="1">'[3]Cash flow calculation'!#REF!</definedName>
    <definedName name="___thinkcellJ0YAAAAAAAAAAAAAPI1gUJa870C4B5OR949u9A" hidden="1">#REF!</definedName>
    <definedName name="___ww1" localSheetId="3" hidden="1">{"Assumptions",#N/A,FALSE,"Model"}</definedName>
    <definedName name="___ww1" localSheetId="1" hidden="1">{"Assumptions",#N/A,FALSE,"Model"}</definedName>
    <definedName name="___ww1" hidden="1">{"Assumptions",#N/A,FALSE,"Model"}</definedName>
    <definedName name="___ww1_1" localSheetId="3" hidden="1">{"Assumptions",#N/A,FALSE,"Model"}</definedName>
    <definedName name="___ww1_1" localSheetId="1" hidden="1">{"Assumptions",#N/A,FALSE,"Model"}</definedName>
    <definedName name="___ww1_1" hidden="1">{"Assumptions",#N/A,FALSE,"Model"}</definedName>
    <definedName name="___ww1_1_1" localSheetId="3" hidden="1">{"Assumptions",#N/A,FALSE,"Model"}</definedName>
    <definedName name="___ww1_1_1" localSheetId="1" hidden="1">{"Assumptions",#N/A,FALSE,"Model"}</definedName>
    <definedName name="___ww1_1_1" hidden="1">{"Assumptions",#N/A,FALSE,"Model"}</definedName>
    <definedName name="___ww1_1_1_1" localSheetId="3" hidden="1">{"Assumptions",#N/A,FALSE,"Model"}</definedName>
    <definedName name="___ww1_1_1_1" localSheetId="1" hidden="1">{"Assumptions",#N/A,FALSE,"Model"}</definedName>
    <definedName name="___ww1_1_1_1" hidden="1">{"Assumptions",#N/A,FALSE,"Model"}</definedName>
    <definedName name="___ww1_1_1_1_1" localSheetId="3" hidden="1">{"Assumptions",#N/A,FALSE,"Model"}</definedName>
    <definedName name="___ww1_1_1_1_1" localSheetId="1" hidden="1">{"Assumptions",#N/A,FALSE,"Model"}</definedName>
    <definedName name="___ww1_1_1_1_1" hidden="1">{"Assumptions",#N/A,FALSE,"Model"}</definedName>
    <definedName name="___ww1_1_2" localSheetId="3" hidden="1">{"Assumptions",#N/A,FALSE,"Model"}</definedName>
    <definedName name="___ww1_1_2" localSheetId="1" hidden="1">{"Assumptions",#N/A,FALSE,"Model"}</definedName>
    <definedName name="___ww1_1_2" hidden="1">{"Assumptions",#N/A,FALSE,"Model"}</definedName>
    <definedName name="___ww1_1_2_1" localSheetId="3" hidden="1">{"Assumptions",#N/A,FALSE,"Model"}</definedName>
    <definedName name="___ww1_1_2_1" localSheetId="1" hidden="1">{"Assumptions",#N/A,FALSE,"Model"}</definedName>
    <definedName name="___ww1_1_2_1" hidden="1">{"Assumptions",#N/A,FALSE,"Model"}</definedName>
    <definedName name="___ww1_1_3" localSheetId="3" hidden="1">{"Assumptions",#N/A,FALSE,"Model"}</definedName>
    <definedName name="___ww1_1_3" localSheetId="1" hidden="1">{"Assumptions",#N/A,FALSE,"Model"}</definedName>
    <definedName name="___ww1_1_3" hidden="1">{"Assumptions",#N/A,FALSE,"Model"}</definedName>
    <definedName name="___ww1_1_3_1" localSheetId="3" hidden="1">{"Assumptions",#N/A,FALSE,"Model"}</definedName>
    <definedName name="___ww1_1_3_1" localSheetId="1" hidden="1">{"Assumptions",#N/A,FALSE,"Model"}</definedName>
    <definedName name="___ww1_1_3_1" hidden="1">{"Assumptions",#N/A,FALSE,"Model"}</definedName>
    <definedName name="___ww1_1_4" localSheetId="3" hidden="1">{"Assumptions",#N/A,FALSE,"Model"}</definedName>
    <definedName name="___ww1_1_4" localSheetId="1" hidden="1">{"Assumptions",#N/A,FALSE,"Model"}</definedName>
    <definedName name="___ww1_1_4" hidden="1">{"Assumptions",#N/A,FALSE,"Model"}</definedName>
    <definedName name="___ww1_2" localSheetId="3" hidden="1">{"Assumptions",#N/A,FALSE,"Model"}</definedName>
    <definedName name="___ww1_2" localSheetId="1" hidden="1">{"Assumptions",#N/A,FALSE,"Model"}</definedName>
    <definedName name="___ww1_2" hidden="1">{"Assumptions",#N/A,FALSE,"Model"}</definedName>
    <definedName name="___ww1_2_1" localSheetId="3" hidden="1">{"Assumptions",#N/A,FALSE,"Model"}</definedName>
    <definedName name="___ww1_2_1" localSheetId="1" hidden="1">{"Assumptions",#N/A,FALSE,"Model"}</definedName>
    <definedName name="___ww1_2_1" hidden="1">{"Assumptions",#N/A,FALSE,"Model"}</definedName>
    <definedName name="___ww1_2_1_1" localSheetId="3" hidden="1">{"Assumptions",#N/A,FALSE,"Model"}</definedName>
    <definedName name="___ww1_2_1_1" localSheetId="1" hidden="1">{"Assumptions",#N/A,FALSE,"Model"}</definedName>
    <definedName name="___ww1_2_1_1" hidden="1">{"Assumptions",#N/A,FALSE,"Model"}</definedName>
    <definedName name="___ww1_2_1_1_1" localSheetId="3" hidden="1">{"Assumptions",#N/A,FALSE,"Model"}</definedName>
    <definedName name="___ww1_2_1_1_1" localSheetId="1" hidden="1">{"Assumptions",#N/A,FALSE,"Model"}</definedName>
    <definedName name="___ww1_2_1_1_1" hidden="1">{"Assumptions",#N/A,FALSE,"Model"}</definedName>
    <definedName name="___ww1_2_2" localSheetId="3" hidden="1">{"Assumptions",#N/A,FALSE,"Model"}</definedName>
    <definedName name="___ww1_2_2" localSheetId="1" hidden="1">{"Assumptions",#N/A,FALSE,"Model"}</definedName>
    <definedName name="___ww1_2_2" hidden="1">{"Assumptions",#N/A,FALSE,"Model"}</definedName>
    <definedName name="___ww1_2_2_1" localSheetId="3" hidden="1">{"Assumptions",#N/A,FALSE,"Model"}</definedName>
    <definedName name="___ww1_2_2_1" localSheetId="1" hidden="1">{"Assumptions",#N/A,FALSE,"Model"}</definedName>
    <definedName name="___ww1_2_2_1" hidden="1">{"Assumptions",#N/A,FALSE,"Model"}</definedName>
    <definedName name="___ww1_2_3" localSheetId="3" hidden="1">{"Assumptions",#N/A,FALSE,"Model"}</definedName>
    <definedName name="___ww1_2_3" localSheetId="1" hidden="1">{"Assumptions",#N/A,FALSE,"Model"}</definedName>
    <definedName name="___ww1_2_3" hidden="1">{"Assumptions",#N/A,FALSE,"Model"}</definedName>
    <definedName name="___ww1_3" localSheetId="3" hidden="1">{"Assumptions",#N/A,FALSE,"Model"}</definedName>
    <definedName name="___ww1_3" localSheetId="1" hidden="1">{"Assumptions",#N/A,FALSE,"Model"}</definedName>
    <definedName name="___ww1_3" hidden="1">{"Assumptions",#N/A,FALSE,"Model"}</definedName>
    <definedName name="___ww1_3_1" localSheetId="3" hidden="1">{"Assumptions",#N/A,FALSE,"Model"}</definedName>
    <definedName name="___ww1_3_1" localSheetId="1" hidden="1">{"Assumptions",#N/A,FALSE,"Model"}</definedName>
    <definedName name="___ww1_3_1" hidden="1">{"Assumptions",#N/A,FALSE,"Model"}</definedName>
    <definedName name="___ww1_3_1_1" localSheetId="3" hidden="1">{"Assumptions",#N/A,FALSE,"Model"}</definedName>
    <definedName name="___ww1_3_1_1" localSheetId="1" hidden="1">{"Assumptions",#N/A,FALSE,"Model"}</definedName>
    <definedName name="___ww1_3_1_1" hidden="1">{"Assumptions",#N/A,FALSE,"Model"}</definedName>
    <definedName name="___ww1_3_1_1_1" localSheetId="3" hidden="1">{"Assumptions",#N/A,FALSE,"Model"}</definedName>
    <definedName name="___ww1_3_1_1_1" localSheetId="1" hidden="1">{"Assumptions",#N/A,FALSE,"Model"}</definedName>
    <definedName name="___ww1_3_1_1_1" hidden="1">{"Assumptions",#N/A,FALSE,"Model"}</definedName>
    <definedName name="___ww1_3_2" localSheetId="3" hidden="1">{"Assumptions",#N/A,FALSE,"Model"}</definedName>
    <definedName name="___ww1_3_2" localSheetId="1" hidden="1">{"Assumptions",#N/A,FALSE,"Model"}</definedName>
    <definedName name="___ww1_3_2" hidden="1">{"Assumptions",#N/A,FALSE,"Model"}</definedName>
    <definedName name="___ww1_3_2_1" localSheetId="3" hidden="1">{"Assumptions",#N/A,FALSE,"Model"}</definedName>
    <definedName name="___ww1_3_2_1" localSheetId="1" hidden="1">{"Assumptions",#N/A,FALSE,"Model"}</definedName>
    <definedName name="___ww1_3_2_1" hidden="1">{"Assumptions",#N/A,FALSE,"Model"}</definedName>
    <definedName name="___ww1_3_3" localSheetId="3" hidden="1">{"Assumptions",#N/A,FALSE,"Model"}</definedName>
    <definedName name="___ww1_3_3" localSheetId="1" hidden="1">{"Assumptions",#N/A,FALSE,"Model"}</definedName>
    <definedName name="___ww1_3_3" hidden="1">{"Assumptions",#N/A,FALSE,"Model"}</definedName>
    <definedName name="___ww1_4" localSheetId="3" hidden="1">{"Assumptions",#N/A,FALSE,"Model"}</definedName>
    <definedName name="___ww1_4" localSheetId="1" hidden="1">{"Assumptions",#N/A,FALSE,"Model"}</definedName>
    <definedName name="___ww1_4" hidden="1">{"Assumptions",#N/A,FALSE,"Model"}</definedName>
    <definedName name="___ww1_4_1" localSheetId="3" hidden="1">{"Assumptions",#N/A,FALSE,"Model"}</definedName>
    <definedName name="___ww1_4_1" localSheetId="1" hidden="1">{"Assumptions",#N/A,FALSE,"Model"}</definedName>
    <definedName name="___ww1_4_1" hidden="1">{"Assumptions",#N/A,FALSE,"Model"}</definedName>
    <definedName name="___ww1_4_1_1" localSheetId="3" hidden="1">{"Assumptions",#N/A,FALSE,"Model"}</definedName>
    <definedName name="___ww1_4_1_1" localSheetId="1" hidden="1">{"Assumptions",#N/A,FALSE,"Model"}</definedName>
    <definedName name="___ww1_4_1_1" hidden="1">{"Assumptions",#N/A,FALSE,"Model"}</definedName>
    <definedName name="___ww1_4_1_1_1" localSheetId="3" hidden="1">{"Assumptions",#N/A,FALSE,"Model"}</definedName>
    <definedName name="___ww1_4_1_1_1" localSheetId="1" hidden="1">{"Assumptions",#N/A,FALSE,"Model"}</definedName>
    <definedName name="___ww1_4_1_1_1" hidden="1">{"Assumptions",#N/A,FALSE,"Model"}</definedName>
    <definedName name="___ww1_4_2" localSheetId="3" hidden="1">{"Assumptions",#N/A,FALSE,"Model"}</definedName>
    <definedName name="___ww1_4_2" localSheetId="1" hidden="1">{"Assumptions",#N/A,FALSE,"Model"}</definedName>
    <definedName name="___ww1_4_2" hidden="1">{"Assumptions",#N/A,FALSE,"Model"}</definedName>
    <definedName name="___ww1_4_2_1" localSheetId="3" hidden="1">{"Assumptions",#N/A,FALSE,"Model"}</definedName>
    <definedName name="___ww1_4_2_1" localSheetId="1" hidden="1">{"Assumptions",#N/A,FALSE,"Model"}</definedName>
    <definedName name="___ww1_4_2_1" hidden="1">{"Assumptions",#N/A,FALSE,"Model"}</definedName>
    <definedName name="___ww1_4_3" localSheetId="3" hidden="1">{"Assumptions",#N/A,FALSE,"Model"}</definedName>
    <definedName name="___ww1_4_3" localSheetId="1" hidden="1">{"Assumptions",#N/A,FALSE,"Model"}</definedName>
    <definedName name="___ww1_4_3" hidden="1">{"Assumptions",#N/A,FALSE,"Model"}</definedName>
    <definedName name="___ww1_5" localSheetId="3" hidden="1">{"Assumptions",#N/A,FALSE,"Model"}</definedName>
    <definedName name="___ww1_5" localSheetId="1" hidden="1">{"Assumptions",#N/A,FALSE,"Model"}</definedName>
    <definedName name="___ww1_5" hidden="1">{"Assumptions",#N/A,FALSE,"Model"}</definedName>
    <definedName name="___ww1_5_1" localSheetId="3" hidden="1">{"Assumptions",#N/A,FALSE,"Model"}</definedName>
    <definedName name="___ww1_5_1" localSheetId="1" hidden="1">{"Assumptions",#N/A,FALSE,"Model"}</definedName>
    <definedName name="___ww1_5_1" hidden="1">{"Assumptions",#N/A,FALSE,"Model"}</definedName>
    <definedName name="___ww1_5_1_1" localSheetId="3" hidden="1">{"Assumptions",#N/A,FALSE,"Model"}</definedName>
    <definedName name="___ww1_5_1_1" localSheetId="1" hidden="1">{"Assumptions",#N/A,FALSE,"Model"}</definedName>
    <definedName name="___ww1_5_1_1" hidden="1">{"Assumptions",#N/A,FALSE,"Model"}</definedName>
    <definedName name="___ww1_5_1_1_1" localSheetId="3" hidden="1">{"Assumptions",#N/A,FALSE,"Model"}</definedName>
    <definedName name="___ww1_5_1_1_1" localSheetId="1" hidden="1">{"Assumptions",#N/A,FALSE,"Model"}</definedName>
    <definedName name="___ww1_5_1_1_1" hidden="1">{"Assumptions",#N/A,FALSE,"Model"}</definedName>
    <definedName name="___ww1_5_2" localSheetId="3" hidden="1">{"Assumptions",#N/A,FALSE,"Model"}</definedName>
    <definedName name="___ww1_5_2" localSheetId="1" hidden="1">{"Assumptions",#N/A,FALSE,"Model"}</definedName>
    <definedName name="___ww1_5_2" hidden="1">{"Assumptions",#N/A,FALSE,"Model"}</definedName>
    <definedName name="___ww1_5_2_1" localSheetId="3" hidden="1">{"Assumptions",#N/A,FALSE,"Model"}</definedName>
    <definedName name="___ww1_5_2_1" localSheetId="1" hidden="1">{"Assumptions",#N/A,FALSE,"Model"}</definedName>
    <definedName name="___ww1_5_2_1" hidden="1">{"Assumptions",#N/A,FALSE,"Model"}</definedName>
    <definedName name="___ww1_5_3" localSheetId="3" hidden="1">{"Assumptions",#N/A,FALSE,"Model"}</definedName>
    <definedName name="___ww1_5_3" localSheetId="1" hidden="1">{"Assumptions",#N/A,FALSE,"Model"}</definedName>
    <definedName name="___ww1_5_3" hidden="1">{"Assumptions",#N/A,FALSE,"Model"}</definedName>
    <definedName name="__123Graph_A" localSheetId="1" hidden="1">[4]rates!#REF!</definedName>
    <definedName name="__123Graph_A" hidden="1">#REF!</definedName>
    <definedName name="__123Graph_AANIDRO" localSheetId="1" hidden="1">[5]PRODUCAO!$C$4:$F$4</definedName>
    <definedName name="__123Graph_AANIDRO" hidden="1">#REF!</definedName>
    <definedName name="__123Graph_AChart1" localSheetId="1" hidden="1">[6]A!#REF!</definedName>
    <definedName name="__123Graph_AChart1" hidden="1">#REF!</definedName>
    <definedName name="__123Graph_AChart2" localSheetId="1" hidden="1">[6]A!#REF!</definedName>
    <definedName name="__123Graph_AChart2" hidden="1">#REF!</definedName>
    <definedName name="__123Graph_AChart3" localSheetId="1" hidden="1">[6]A!#REF!</definedName>
    <definedName name="__123Graph_AChart3" hidden="1">#REF!</definedName>
    <definedName name="__123Graph_AChart4" localSheetId="1" hidden="1">[6]A!#REF!</definedName>
    <definedName name="__123Graph_AChart4" hidden="1">#REF!</definedName>
    <definedName name="__123Graph_AChart5" localSheetId="1" hidden="1">[6]A!#REF!</definedName>
    <definedName name="__123Graph_AChart5" hidden="1">#REF!</definedName>
    <definedName name="__123Graph_AChart6" localSheetId="1" hidden="1">[6]A!#REF!</definedName>
    <definedName name="__123Graph_AChart6" hidden="1">#REF!</definedName>
    <definedName name="__123Graph_AChart7" localSheetId="1" hidden="1">[6]A!#REF!</definedName>
    <definedName name="__123Graph_AChart7" hidden="1">#REF!</definedName>
    <definedName name="__123Graph_ACURRENT" localSheetId="1" hidden="1">[7]RUL2!$E$289:$E$326</definedName>
    <definedName name="__123Graph_ACURRENT" hidden="1">#REF!</definedName>
    <definedName name="__123Graph_AGraph3" localSheetId="1" hidden="1">[8]irr!#REF!</definedName>
    <definedName name="__123Graph_AGraph3" hidden="1">#REF!</definedName>
    <definedName name="__123Graph_AHIALCOOL" localSheetId="1" hidden="1">[5]PRODUCAO!$C$8:$F$8</definedName>
    <definedName name="__123Graph_AHIALCOOL" hidden="1">#REF!</definedName>
    <definedName name="__123Graph_AHIDRATADO" localSheetId="1" hidden="1">[5]PRODUCAO!$C$6:$F$6</definedName>
    <definedName name="__123Graph_AHIDRATADO" hidden="1">#REF!</definedName>
    <definedName name="__123Graph_ASACAS" localSheetId="1" hidden="1">[5]PRODUCAO!$C$11:$F$11</definedName>
    <definedName name="__123Graph_ASACAS" hidden="1">#REF!</definedName>
    <definedName name="__123Graph_A損益分岐点" localSheetId="1" hidden="1">[9]計画!#REF!</definedName>
    <definedName name="__123Graph_A損益分岐点" hidden="1">#REF!</definedName>
    <definedName name="__123Graph_B" localSheetId="1" hidden="1">[4]rates!#REF!</definedName>
    <definedName name="__123Graph_B" hidden="1">#REF!</definedName>
    <definedName name="__123Graph_BChart1" localSheetId="1" hidden="1">[6]A!#REF!</definedName>
    <definedName name="__123Graph_BChart1" hidden="1">#REF!</definedName>
    <definedName name="__123Graph_BChart2" localSheetId="1" hidden="1">[6]A!#REF!</definedName>
    <definedName name="__123Graph_BChart2" hidden="1">#REF!</definedName>
    <definedName name="__123Graph_BChart3" localSheetId="1" hidden="1">[6]A!#REF!</definedName>
    <definedName name="__123Graph_BChart3" hidden="1">#REF!</definedName>
    <definedName name="__123Graph_BChart4" localSheetId="1" hidden="1">[6]A!#REF!</definedName>
    <definedName name="__123Graph_BChart4" hidden="1">#REF!</definedName>
    <definedName name="__123Graph_BChart5" localSheetId="1" hidden="1">[6]A!#REF!</definedName>
    <definedName name="__123Graph_BChart5" hidden="1">#REF!</definedName>
    <definedName name="__123Graph_BChart6" localSheetId="1" hidden="1">[6]A!#REF!</definedName>
    <definedName name="__123Graph_BChart6" hidden="1">#REF!</definedName>
    <definedName name="__123Graph_BChart7" localSheetId="1" hidden="1">[6]A!#REF!</definedName>
    <definedName name="__123Graph_BChart7" hidden="1">#REF!</definedName>
    <definedName name="__123Graph_BCurrent" localSheetId="1" hidden="1">[6]A!#REF!</definedName>
    <definedName name="__123Graph_BCurrent" hidden="1">#REF!</definedName>
    <definedName name="__123Graph_BGraph3" localSheetId="1" hidden="1">[8]irr!#REF!</definedName>
    <definedName name="__123Graph_BGraph3" hidden="1">#REF!</definedName>
    <definedName name="__123Graph_B損益分岐点" localSheetId="1" hidden="1">[9]計画!#REF!</definedName>
    <definedName name="__123Graph_B損益分岐点" hidden="1">#REF!</definedName>
    <definedName name="__123Graph_C" localSheetId="1" hidden="1">[4]rates!#REF!</definedName>
    <definedName name="__123Graph_C" hidden="1">#REF!</definedName>
    <definedName name="__123Graph_CChart1" localSheetId="1" hidden="1">[6]A!#REF!</definedName>
    <definedName name="__123Graph_CChart1" hidden="1">#REF!</definedName>
    <definedName name="__123Graph_CChart2" localSheetId="1" hidden="1">[6]A!#REF!</definedName>
    <definedName name="__123Graph_CChart2" hidden="1">#REF!</definedName>
    <definedName name="__123Graph_CChart3" localSheetId="1" hidden="1">[6]A!#REF!</definedName>
    <definedName name="__123Graph_CChart3" hidden="1">#REF!</definedName>
    <definedName name="__123Graph_CChart4" localSheetId="1" hidden="1">[6]A!#REF!</definedName>
    <definedName name="__123Graph_CChart4" hidden="1">#REF!</definedName>
    <definedName name="__123Graph_CChart5" localSheetId="1" hidden="1">[6]A!#REF!</definedName>
    <definedName name="__123Graph_CChart5" hidden="1">#REF!</definedName>
    <definedName name="__123Graph_CChart6" localSheetId="1" hidden="1">[6]A!#REF!</definedName>
    <definedName name="__123Graph_CChart6" hidden="1">#REF!</definedName>
    <definedName name="__123Graph_CChart7" localSheetId="1" hidden="1">[6]A!#REF!</definedName>
    <definedName name="__123Graph_CChart7" hidden="1">#REF!</definedName>
    <definedName name="__123Graph_CCURRENT" localSheetId="1" hidden="1">[10]recv!#REF!</definedName>
    <definedName name="__123Graph_CCURRENT" hidden="1">#REF!</definedName>
    <definedName name="__123Graph_CGraph3" localSheetId="1" hidden="1">[8]irr!#REF!</definedName>
    <definedName name="__123Graph_CGraph3" hidden="1">#REF!</definedName>
    <definedName name="__123Graph_C損益分岐点" localSheetId="1" hidden="1">[9]計画!#REF!</definedName>
    <definedName name="__123Graph_C損益分岐点" hidden="1">#REF!</definedName>
    <definedName name="__123Graph_D" localSheetId="1" hidden="1">[4]rates!#REF!</definedName>
    <definedName name="__123Graph_D" hidden="1">#REF!</definedName>
    <definedName name="__123Graph_DChart1" localSheetId="1" hidden="1">[6]A!#REF!</definedName>
    <definedName name="__123Graph_DChart1" hidden="1">#REF!</definedName>
    <definedName name="__123Graph_DChart2" localSheetId="1" hidden="1">[6]A!#REF!</definedName>
    <definedName name="__123Graph_DChart2" hidden="1">#REF!</definedName>
    <definedName name="__123Graph_DChart3" localSheetId="1" hidden="1">[6]A!#REF!</definedName>
    <definedName name="__123Graph_DChart3" hidden="1">#REF!</definedName>
    <definedName name="__123Graph_DChart4" localSheetId="1" hidden="1">[6]A!#REF!</definedName>
    <definedName name="__123Graph_DChart4" hidden="1">#REF!</definedName>
    <definedName name="__123Graph_DChart5" localSheetId="1" hidden="1">[6]A!#REF!</definedName>
    <definedName name="__123Graph_DChart5" hidden="1">#REF!</definedName>
    <definedName name="__123Graph_DChart6" localSheetId="1" hidden="1">[6]A!#REF!</definedName>
    <definedName name="__123Graph_DChart6" hidden="1">#REF!</definedName>
    <definedName name="__123Graph_DChart7" localSheetId="1" hidden="1">[6]A!#REF!</definedName>
    <definedName name="__123Graph_DChart7" hidden="1">#REF!</definedName>
    <definedName name="__123Graph_DCURRENT" localSheetId="1" hidden="1">[10]recv!#REF!</definedName>
    <definedName name="__123Graph_DCURRENT" hidden="1">#REF!</definedName>
    <definedName name="__123Graph_D損益分岐点" localSheetId="1" hidden="1">[9]計画!#REF!</definedName>
    <definedName name="__123Graph_D損益分岐点" hidden="1">#REF!</definedName>
    <definedName name="__123Graph_E" localSheetId="1" hidden="1">[4]rates!#REF!</definedName>
    <definedName name="__123Graph_E" hidden="1">#REF!</definedName>
    <definedName name="__123Graph_EChart1" localSheetId="1" hidden="1">[6]A!#REF!</definedName>
    <definedName name="__123Graph_EChart1" hidden="1">#REF!</definedName>
    <definedName name="__123Graph_EChart2" localSheetId="1" hidden="1">[6]A!#REF!</definedName>
    <definedName name="__123Graph_EChart2" hidden="1">#REF!</definedName>
    <definedName name="__123Graph_EChart3" localSheetId="1" hidden="1">[6]A!#REF!</definedName>
    <definedName name="__123Graph_EChart3" hidden="1">#REF!</definedName>
    <definedName name="__123Graph_EChart4" localSheetId="1" hidden="1">[6]A!#REF!</definedName>
    <definedName name="__123Graph_EChart4" hidden="1">#REF!</definedName>
    <definedName name="__123Graph_EChart5" localSheetId="1" hidden="1">[6]A!#REF!</definedName>
    <definedName name="__123Graph_EChart5" hidden="1">#REF!</definedName>
    <definedName name="__123Graph_EChart6" localSheetId="1" hidden="1">[6]A!#REF!</definedName>
    <definedName name="__123Graph_EChart6" hidden="1">#REF!</definedName>
    <definedName name="__123Graph_EChart7" localSheetId="1" hidden="1">[6]A!#REF!</definedName>
    <definedName name="__123Graph_EChart7" hidden="1">#REF!</definedName>
    <definedName name="__123Graph_ECurrent" localSheetId="1" hidden="1">[6]A!#REF!</definedName>
    <definedName name="__123Graph_ECurrent" hidden="1">#REF!</definedName>
    <definedName name="__123Graph_F" localSheetId="1" hidden="1">[4]rates!#REF!</definedName>
    <definedName name="__123Graph_F" hidden="1">#REF!</definedName>
    <definedName name="__123Graph_X" localSheetId="1" hidden="1">'[11]2.'!#REF!</definedName>
    <definedName name="__123Graph_X" hidden="1">#REF!</definedName>
    <definedName name="__123Graph_XANIDRO" localSheetId="1" hidden="1">[5]PRODUCAO!$C$3:$F$3</definedName>
    <definedName name="__123Graph_XANIDRO" hidden="1">#REF!</definedName>
    <definedName name="__123Graph_XChart1" localSheetId="1" hidden="1">[6]A!#REF!</definedName>
    <definedName name="__123Graph_XChart1" hidden="1">#REF!</definedName>
    <definedName name="__123Graph_XChart2" localSheetId="1" hidden="1">[6]A!#REF!</definedName>
    <definedName name="__123Graph_XChart2" hidden="1">#REF!</definedName>
    <definedName name="__123Graph_XChart3" localSheetId="1" hidden="1">[6]A!#REF!</definedName>
    <definedName name="__123Graph_XChart3" hidden="1">#REF!</definedName>
    <definedName name="__123Graph_XChart4" localSheetId="1" hidden="1">[6]A!#REF!</definedName>
    <definedName name="__123Graph_XChart4" hidden="1">#REF!</definedName>
    <definedName name="__123Graph_XChart5" localSheetId="1" hidden="1">[6]A!#REF!</definedName>
    <definedName name="__123Graph_XChart5" hidden="1">#REF!</definedName>
    <definedName name="__123Graph_XChart6" localSheetId="1" hidden="1">[6]A!#REF!</definedName>
    <definedName name="__123Graph_XChart6" hidden="1">#REF!</definedName>
    <definedName name="__123Graph_XChart7" localSheetId="1" hidden="1">[6]A!#REF!</definedName>
    <definedName name="__123Graph_XChart7" hidden="1">#REF!</definedName>
    <definedName name="__123Graph_XCURRENT" localSheetId="1" hidden="1">[7]RUL2!$A$289:$A$326</definedName>
    <definedName name="__123Graph_XCURRENT" hidden="1">#REF!</definedName>
    <definedName name="__123Graph_XGraph3" localSheetId="1" hidden="1">[8]irr!#REF!</definedName>
    <definedName name="__123Graph_XGraph3" hidden="1">#REF!</definedName>
    <definedName name="__123Graph_XHIALCOOL" localSheetId="1" hidden="1">[5]PRODUCAO!$C$3:$F$3</definedName>
    <definedName name="__123Graph_XHIALCOOL" hidden="1">#REF!</definedName>
    <definedName name="__123Graph_XHIDRATADO" localSheetId="1" hidden="1">[5]PRODUCAO!$C$3:$F$3</definedName>
    <definedName name="__123Graph_XHIDRATADO" hidden="1">#REF!</definedName>
    <definedName name="__123Graph_XSACAS" localSheetId="1" hidden="1">[5]PRODUCAO!$C$3:$F$3</definedName>
    <definedName name="__123Graph_XSACAS" hidden="1">#REF!</definedName>
    <definedName name="__123Graph_XTBSSSREV" localSheetId="1" hidden="1">[12]REP03CNN!#REF!</definedName>
    <definedName name="__123Graph_XTBSSSREV" hidden="1">#REF!</definedName>
    <definedName name="__123Graph_X損益分岐点" localSheetId="1" hidden="1">[9]計画!#REF!</definedName>
    <definedName name="__123Graph_X損益分岐点" hidden="1">#REF!</definedName>
    <definedName name="__DRE0700" localSheetId="3" hidden="1">{"'PXR_6500'!$A$1:$I$124"}</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3" hidden="1">{"review",#N/A,FALSE,"FACTSHT"}</definedName>
    <definedName name="__new1" localSheetId="1" hidden="1">{"review",#N/A,FALSE,"FACTSHT"}</definedName>
    <definedName name="__new1" hidden="1">{"review",#N/A,FALSE,"FACTSHT"}</definedName>
    <definedName name="__nmr1" localSheetId="1" hidden="1">[2]A!#REF!</definedName>
    <definedName name="__nmr1" hidden="1">#REF!</definedName>
    <definedName name="__SC984" localSheetId="1">[1]SC984!$A$1:$B$947</definedName>
    <definedName name="__SC984">#REF!</definedName>
    <definedName name="__ww1" localSheetId="3" hidden="1">{"Assumptions",#N/A,FALSE,"Model"}</definedName>
    <definedName name="__ww1" localSheetId="1" hidden="1">{"Assumptions",#N/A,FALSE,"Model"}</definedName>
    <definedName name="__ww1" hidden="1">{"Assumptions",#N/A,FALSE,"Model"}</definedName>
    <definedName name="__ww1_1" localSheetId="3" hidden="1">{"Assumptions",#N/A,FALSE,"Model"}</definedName>
    <definedName name="__ww1_1" localSheetId="1" hidden="1">{"Assumptions",#N/A,FALSE,"Model"}</definedName>
    <definedName name="__ww1_1" hidden="1">{"Assumptions",#N/A,FALSE,"Model"}</definedName>
    <definedName name="__ww1_1_1" localSheetId="3" hidden="1">{"Assumptions",#N/A,FALSE,"Model"}</definedName>
    <definedName name="__ww1_1_1" localSheetId="1" hidden="1">{"Assumptions",#N/A,FALSE,"Model"}</definedName>
    <definedName name="__ww1_1_1" hidden="1">{"Assumptions",#N/A,FALSE,"Model"}</definedName>
    <definedName name="__ww1_1_1_1" localSheetId="3" hidden="1">{"Assumptions",#N/A,FALSE,"Model"}</definedName>
    <definedName name="__ww1_1_1_1" localSheetId="1" hidden="1">{"Assumptions",#N/A,FALSE,"Model"}</definedName>
    <definedName name="__ww1_1_1_1" hidden="1">{"Assumptions",#N/A,FALSE,"Model"}</definedName>
    <definedName name="__ww1_1_1_1_1" localSheetId="3" hidden="1">{"Assumptions",#N/A,FALSE,"Model"}</definedName>
    <definedName name="__ww1_1_1_1_1" localSheetId="1" hidden="1">{"Assumptions",#N/A,FALSE,"Model"}</definedName>
    <definedName name="__ww1_1_1_1_1" hidden="1">{"Assumptions",#N/A,FALSE,"Model"}</definedName>
    <definedName name="__ww1_1_2" localSheetId="3" hidden="1">{"Assumptions",#N/A,FALSE,"Model"}</definedName>
    <definedName name="__ww1_1_2" localSheetId="1" hidden="1">{"Assumptions",#N/A,FALSE,"Model"}</definedName>
    <definedName name="__ww1_1_2" hidden="1">{"Assumptions",#N/A,FALSE,"Model"}</definedName>
    <definedName name="__ww1_1_2_1" localSheetId="3" hidden="1">{"Assumptions",#N/A,FALSE,"Model"}</definedName>
    <definedName name="__ww1_1_2_1" localSheetId="1" hidden="1">{"Assumptions",#N/A,FALSE,"Model"}</definedName>
    <definedName name="__ww1_1_2_1" hidden="1">{"Assumptions",#N/A,FALSE,"Model"}</definedName>
    <definedName name="__ww1_1_3" localSheetId="3" hidden="1">{"Assumptions",#N/A,FALSE,"Model"}</definedName>
    <definedName name="__ww1_1_3" localSheetId="1" hidden="1">{"Assumptions",#N/A,FALSE,"Model"}</definedName>
    <definedName name="__ww1_1_3" hidden="1">{"Assumptions",#N/A,FALSE,"Model"}</definedName>
    <definedName name="__ww1_1_3_1" localSheetId="3" hidden="1">{"Assumptions",#N/A,FALSE,"Model"}</definedName>
    <definedName name="__ww1_1_3_1" localSheetId="1" hidden="1">{"Assumptions",#N/A,FALSE,"Model"}</definedName>
    <definedName name="__ww1_1_3_1" hidden="1">{"Assumptions",#N/A,FALSE,"Model"}</definedName>
    <definedName name="__ww1_1_4" localSheetId="3" hidden="1">{"Assumptions",#N/A,FALSE,"Model"}</definedName>
    <definedName name="__ww1_1_4" localSheetId="1" hidden="1">{"Assumptions",#N/A,FALSE,"Model"}</definedName>
    <definedName name="__ww1_1_4" hidden="1">{"Assumptions",#N/A,FALSE,"Model"}</definedName>
    <definedName name="__ww1_2" localSheetId="3" hidden="1">{"Assumptions",#N/A,FALSE,"Model"}</definedName>
    <definedName name="__ww1_2" localSheetId="1" hidden="1">{"Assumptions",#N/A,FALSE,"Model"}</definedName>
    <definedName name="__ww1_2" hidden="1">{"Assumptions",#N/A,FALSE,"Model"}</definedName>
    <definedName name="__ww1_2_1" localSheetId="3" hidden="1">{"Assumptions",#N/A,FALSE,"Model"}</definedName>
    <definedName name="__ww1_2_1" localSheetId="1" hidden="1">{"Assumptions",#N/A,FALSE,"Model"}</definedName>
    <definedName name="__ww1_2_1" hidden="1">{"Assumptions",#N/A,FALSE,"Model"}</definedName>
    <definedName name="__ww1_2_1_1" localSheetId="3" hidden="1">{"Assumptions",#N/A,FALSE,"Model"}</definedName>
    <definedName name="__ww1_2_1_1" localSheetId="1" hidden="1">{"Assumptions",#N/A,FALSE,"Model"}</definedName>
    <definedName name="__ww1_2_1_1" hidden="1">{"Assumptions",#N/A,FALSE,"Model"}</definedName>
    <definedName name="__ww1_2_1_1_1" localSheetId="3" hidden="1">{"Assumptions",#N/A,FALSE,"Model"}</definedName>
    <definedName name="__ww1_2_1_1_1" localSheetId="1" hidden="1">{"Assumptions",#N/A,FALSE,"Model"}</definedName>
    <definedName name="__ww1_2_1_1_1" hidden="1">{"Assumptions",#N/A,FALSE,"Model"}</definedName>
    <definedName name="__ww1_2_2" localSheetId="3" hidden="1">{"Assumptions",#N/A,FALSE,"Model"}</definedName>
    <definedName name="__ww1_2_2" localSheetId="1" hidden="1">{"Assumptions",#N/A,FALSE,"Model"}</definedName>
    <definedName name="__ww1_2_2" hidden="1">{"Assumptions",#N/A,FALSE,"Model"}</definedName>
    <definedName name="__ww1_2_2_1" localSheetId="3" hidden="1">{"Assumptions",#N/A,FALSE,"Model"}</definedName>
    <definedName name="__ww1_2_2_1" localSheetId="1" hidden="1">{"Assumptions",#N/A,FALSE,"Model"}</definedName>
    <definedName name="__ww1_2_2_1" hidden="1">{"Assumptions",#N/A,FALSE,"Model"}</definedName>
    <definedName name="__ww1_2_3" localSheetId="3" hidden="1">{"Assumptions",#N/A,FALSE,"Model"}</definedName>
    <definedName name="__ww1_2_3" localSheetId="1" hidden="1">{"Assumptions",#N/A,FALSE,"Model"}</definedName>
    <definedName name="__ww1_2_3" hidden="1">{"Assumptions",#N/A,FALSE,"Model"}</definedName>
    <definedName name="__ww1_3" localSheetId="3" hidden="1">{"Assumptions",#N/A,FALSE,"Model"}</definedName>
    <definedName name="__ww1_3" localSheetId="1" hidden="1">{"Assumptions",#N/A,FALSE,"Model"}</definedName>
    <definedName name="__ww1_3" hidden="1">{"Assumptions",#N/A,FALSE,"Model"}</definedName>
    <definedName name="__ww1_3_1" localSheetId="3" hidden="1">{"Assumptions",#N/A,FALSE,"Model"}</definedName>
    <definedName name="__ww1_3_1" localSheetId="1" hidden="1">{"Assumptions",#N/A,FALSE,"Model"}</definedName>
    <definedName name="__ww1_3_1" hidden="1">{"Assumptions",#N/A,FALSE,"Model"}</definedName>
    <definedName name="__ww1_3_1_1" localSheetId="3" hidden="1">{"Assumptions",#N/A,FALSE,"Model"}</definedName>
    <definedName name="__ww1_3_1_1" localSheetId="1" hidden="1">{"Assumptions",#N/A,FALSE,"Model"}</definedName>
    <definedName name="__ww1_3_1_1" hidden="1">{"Assumptions",#N/A,FALSE,"Model"}</definedName>
    <definedName name="__ww1_3_1_1_1" localSheetId="3" hidden="1">{"Assumptions",#N/A,FALSE,"Model"}</definedName>
    <definedName name="__ww1_3_1_1_1" localSheetId="1" hidden="1">{"Assumptions",#N/A,FALSE,"Model"}</definedName>
    <definedName name="__ww1_3_1_1_1" hidden="1">{"Assumptions",#N/A,FALSE,"Model"}</definedName>
    <definedName name="__ww1_3_2" localSheetId="3" hidden="1">{"Assumptions",#N/A,FALSE,"Model"}</definedName>
    <definedName name="__ww1_3_2" localSheetId="1" hidden="1">{"Assumptions",#N/A,FALSE,"Model"}</definedName>
    <definedName name="__ww1_3_2" hidden="1">{"Assumptions",#N/A,FALSE,"Model"}</definedName>
    <definedName name="__ww1_3_2_1" localSheetId="3" hidden="1">{"Assumptions",#N/A,FALSE,"Model"}</definedName>
    <definedName name="__ww1_3_2_1" localSheetId="1" hidden="1">{"Assumptions",#N/A,FALSE,"Model"}</definedName>
    <definedName name="__ww1_3_2_1" hidden="1">{"Assumptions",#N/A,FALSE,"Model"}</definedName>
    <definedName name="__ww1_3_3" localSheetId="3" hidden="1">{"Assumptions",#N/A,FALSE,"Model"}</definedName>
    <definedName name="__ww1_3_3" localSheetId="1" hidden="1">{"Assumptions",#N/A,FALSE,"Model"}</definedName>
    <definedName name="__ww1_3_3" hidden="1">{"Assumptions",#N/A,FALSE,"Model"}</definedName>
    <definedName name="__ww1_4" localSheetId="3" hidden="1">{"Assumptions",#N/A,FALSE,"Model"}</definedName>
    <definedName name="__ww1_4" localSheetId="1" hidden="1">{"Assumptions",#N/A,FALSE,"Model"}</definedName>
    <definedName name="__ww1_4" hidden="1">{"Assumptions",#N/A,FALSE,"Model"}</definedName>
    <definedName name="__ww1_4_1" localSheetId="3" hidden="1">{"Assumptions",#N/A,FALSE,"Model"}</definedName>
    <definedName name="__ww1_4_1" localSheetId="1" hidden="1">{"Assumptions",#N/A,FALSE,"Model"}</definedName>
    <definedName name="__ww1_4_1" hidden="1">{"Assumptions",#N/A,FALSE,"Model"}</definedName>
    <definedName name="__ww1_4_1_1" localSheetId="3" hidden="1">{"Assumptions",#N/A,FALSE,"Model"}</definedName>
    <definedName name="__ww1_4_1_1" localSheetId="1" hidden="1">{"Assumptions",#N/A,FALSE,"Model"}</definedName>
    <definedName name="__ww1_4_1_1" hidden="1">{"Assumptions",#N/A,FALSE,"Model"}</definedName>
    <definedName name="__ww1_4_1_1_1" localSheetId="3" hidden="1">{"Assumptions",#N/A,FALSE,"Model"}</definedName>
    <definedName name="__ww1_4_1_1_1" localSheetId="1" hidden="1">{"Assumptions",#N/A,FALSE,"Model"}</definedName>
    <definedName name="__ww1_4_1_1_1" hidden="1">{"Assumptions",#N/A,FALSE,"Model"}</definedName>
    <definedName name="__ww1_4_2" localSheetId="3" hidden="1">{"Assumptions",#N/A,FALSE,"Model"}</definedName>
    <definedName name="__ww1_4_2" localSheetId="1" hidden="1">{"Assumptions",#N/A,FALSE,"Model"}</definedName>
    <definedName name="__ww1_4_2" hidden="1">{"Assumptions",#N/A,FALSE,"Model"}</definedName>
    <definedName name="__ww1_4_2_1" localSheetId="3" hidden="1">{"Assumptions",#N/A,FALSE,"Model"}</definedName>
    <definedName name="__ww1_4_2_1" localSheetId="1" hidden="1">{"Assumptions",#N/A,FALSE,"Model"}</definedName>
    <definedName name="__ww1_4_2_1" hidden="1">{"Assumptions",#N/A,FALSE,"Model"}</definedName>
    <definedName name="__ww1_4_3" localSheetId="3" hidden="1">{"Assumptions",#N/A,FALSE,"Model"}</definedName>
    <definedName name="__ww1_4_3" localSheetId="1" hidden="1">{"Assumptions",#N/A,FALSE,"Model"}</definedName>
    <definedName name="__ww1_4_3" hidden="1">{"Assumptions",#N/A,FALSE,"Model"}</definedName>
    <definedName name="__ww1_5" localSheetId="3" hidden="1">{"Assumptions",#N/A,FALSE,"Model"}</definedName>
    <definedName name="__ww1_5" localSheetId="1" hidden="1">{"Assumptions",#N/A,FALSE,"Model"}</definedName>
    <definedName name="__ww1_5" hidden="1">{"Assumptions",#N/A,FALSE,"Model"}</definedName>
    <definedName name="__ww1_5_1" localSheetId="3" hidden="1">{"Assumptions",#N/A,FALSE,"Model"}</definedName>
    <definedName name="__ww1_5_1" localSheetId="1" hidden="1">{"Assumptions",#N/A,FALSE,"Model"}</definedName>
    <definedName name="__ww1_5_1" hidden="1">{"Assumptions",#N/A,FALSE,"Model"}</definedName>
    <definedName name="__ww1_5_1_1" localSheetId="3" hidden="1">{"Assumptions",#N/A,FALSE,"Model"}</definedName>
    <definedName name="__ww1_5_1_1" localSheetId="1" hidden="1">{"Assumptions",#N/A,FALSE,"Model"}</definedName>
    <definedName name="__ww1_5_1_1" hidden="1">{"Assumptions",#N/A,FALSE,"Model"}</definedName>
    <definedName name="__ww1_5_1_1_1" localSheetId="3" hidden="1">{"Assumptions",#N/A,FALSE,"Model"}</definedName>
    <definedName name="__ww1_5_1_1_1" localSheetId="1" hidden="1">{"Assumptions",#N/A,FALSE,"Model"}</definedName>
    <definedName name="__ww1_5_1_1_1" hidden="1">{"Assumptions",#N/A,FALSE,"Model"}</definedName>
    <definedName name="__ww1_5_2" localSheetId="3" hidden="1">{"Assumptions",#N/A,FALSE,"Model"}</definedName>
    <definedName name="__ww1_5_2" localSheetId="1" hidden="1">{"Assumptions",#N/A,FALSE,"Model"}</definedName>
    <definedName name="__ww1_5_2" hidden="1">{"Assumptions",#N/A,FALSE,"Model"}</definedName>
    <definedName name="__ww1_5_2_1" localSheetId="3" hidden="1">{"Assumptions",#N/A,FALSE,"Model"}</definedName>
    <definedName name="__ww1_5_2_1" localSheetId="1" hidden="1">{"Assumptions",#N/A,FALSE,"Model"}</definedName>
    <definedName name="__ww1_5_2_1" hidden="1">{"Assumptions",#N/A,FALSE,"Model"}</definedName>
    <definedName name="__ww1_5_3" localSheetId="3" hidden="1">{"Assumptions",#N/A,FALSE,"Model"}</definedName>
    <definedName name="__ww1_5_3" localSheetId="1" hidden="1">{"Assumptions",#N/A,FALSE,"Model"}</definedName>
    <definedName name="__ww1_5_3" hidden="1">{"Assumptions",#N/A,FALSE,"Model"}</definedName>
    <definedName name="_1__123Graph_ACHART_1A" localSheetId="1" hidden="1">[4]rates!#REF!</definedName>
    <definedName name="_1__123Graph_ACHART_1A" hidden="1">#REF!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'[13]MDY Model'!$B$121</definedName>
    <definedName name="_1st">#REF!</definedName>
    <definedName name="_2__123Graph_BCHART_1A" localSheetId="1" hidden="1">[4]rates!#REF!</definedName>
    <definedName name="_2__123Graph_BCHART_1A" hidden="1">#REF!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'[13]MDY Model'!$B$122</definedName>
    <definedName name="_2nd">#REF!</definedName>
    <definedName name="_3__123Graph_CCHART_1A" localSheetId="1" hidden="1">[4]rates!#REF!</definedName>
    <definedName name="_3__123Graph_CCHART_1A" hidden="1">#REF!</definedName>
    <definedName name="_3__123Graph_ECHART_6" hidden="1">#REF!</definedName>
    <definedName name="_30__123Graph_XCHART_2" hidden="1">#REF!</definedName>
    <definedName name="_3rd" localSheetId="1">'[13]MDY Model'!$B$123</definedName>
    <definedName name="_3rd">#REF!</definedName>
    <definedName name="_4__123Graph_DCHART_1A" localSheetId="1" hidden="1">[4]rates!#REF!</definedName>
    <definedName name="_4__123Graph_DCHART_1A" hidden="1">#REF!</definedName>
    <definedName name="_4BANK_COVENANTS" localSheetId="1">'[14]Covenants by quarter'!$G$1:$Q$31</definedName>
    <definedName name="_4BANK_COVENANTS">#REF!</definedName>
    <definedName name="_4th" localSheetId="1">'[13]MDY Model'!$B$124</definedName>
    <definedName name="_4th">#REF!</definedName>
    <definedName name="_5__123Graph_ECHART_1A" localSheetId="1" hidden="1">[4]rates!#REF!</definedName>
    <definedName name="_5__123Graph_ECHART_1A" hidden="1">#REF!</definedName>
    <definedName name="_6__123Graph_FCHART_1A" localSheetId="1" hidden="1">[4]rates!#REF!</definedName>
    <definedName name="_6__123Graph_FCHART_1A" hidden="1">#REF!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[15]model!$A$1:$IV$65536</definedName>
    <definedName name="_bdm.FBC8F4734CD44B95848F689416B40C4F.edm" hidden="1">#REF!</definedName>
    <definedName name="_bdm.ToolkitBookmark.1_30_03_11_02_40_PM.edm" localSheetId="1" hidden="1">'[16]SUMMARY HISTORY'!$J$22</definedName>
    <definedName name="_bdm.ToolkitBookmark.1_30_03_11_02_40_PM.edm" hidden="1">#REF!</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3" hidden="1">{"'PXR_6500'!$A$1:$I$124"}</definedName>
    <definedName name="_DRE0700" localSheetId="1" hidden="1">{"'PXR_6500'!$A$1:$I$124"}</definedName>
    <definedName name="_DRE0700" hidden="1">{"'PXR_6500'!$A$1:$I$124"}</definedName>
    <definedName name="_Fill" hidden="1">#REF!</definedName>
    <definedName name="_xlnm._FilterDatabase" localSheetId="3" hidden="1">'Master Data (DO NOT EDIT)'!$A$1:$BP$150</definedName>
    <definedName name="_xlnm._FilterDatabase" localSheetId="1" hidden="1">'Notes - R&amp;O'!$A$1:$O$152</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3" hidden="1">{"review",#N/A,FALSE,"FACTSHT"}</definedName>
    <definedName name="_new1" localSheetId="1" hidden="1">{"review",#N/A,FALSE,"FACTSHT"}</definedName>
    <definedName name="_new1" hidden="1">{"review",#N/A,FALSE,"FACTSHT"}</definedName>
    <definedName name="_nmr1" localSheetId="1" hidden="1">[2]A!#REF!</definedName>
    <definedName name="_nmr1" hidden="1">#REF!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3" hidden="1">{"FS`s",#N/A,TRUE,"FS's";"Icome St",#N/A,TRUE,"Income St.";"Balance Sh",#N/A,TRUE,"Balance Sh.";"Gross Margin",#N/A,TRUE,"Gross Margin"}</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[17]Basic!#REF!</definedName>
    <definedName name="_Regression_X" hidden="1">#REF!</definedName>
    <definedName name="_Regression_Y" hidden="1">#REF!</definedName>
    <definedName name="_RowCount">1043</definedName>
    <definedName name="_RowType">"A"</definedName>
    <definedName name="_SC984" localSheetId="1">[1]SC984!$A$1:$B$947</definedName>
    <definedName name="_SC984">#REF!</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'[18]IS Summary-96'!$B$12:$AL$30</definedName>
    <definedName name="_v" hidden="1">#REF!</definedName>
    <definedName name="_ww1" localSheetId="3" hidden="1">{"Assumptions",#N/A,FALSE,"Model"}</definedName>
    <definedName name="_ww1" localSheetId="1" hidden="1">{"Assumptions",#N/A,FALSE,"Model"}</definedName>
    <definedName name="_ww1" hidden="1">{"Assumptions",#N/A,FALSE,"Model"}</definedName>
    <definedName name="_ww1_1" localSheetId="3" hidden="1">{"Assumptions",#N/A,FALSE,"Model"}</definedName>
    <definedName name="_ww1_1" localSheetId="1" hidden="1">{"Assumptions",#N/A,FALSE,"Model"}</definedName>
    <definedName name="_ww1_1" hidden="1">{"Assumptions",#N/A,FALSE,"Model"}</definedName>
    <definedName name="_ww1_1_1" localSheetId="3" hidden="1">{"Assumptions",#N/A,FALSE,"Model"}</definedName>
    <definedName name="_ww1_1_1" localSheetId="1" hidden="1">{"Assumptions",#N/A,FALSE,"Model"}</definedName>
    <definedName name="_ww1_1_1" hidden="1">{"Assumptions",#N/A,FALSE,"Model"}</definedName>
    <definedName name="_ww1_1_1_1" localSheetId="3" hidden="1">{"Assumptions",#N/A,FALSE,"Model"}</definedName>
    <definedName name="_ww1_1_1_1" localSheetId="1" hidden="1">{"Assumptions",#N/A,FALSE,"Model"}</definedName>
    <definedName name="_ww1_1_1_1" hidden="1">{"Assumptions",#N/A,FALSE,"Model"}</definedName>
    <definedName name="_ww1_1_1_1_1" localSheetId="3" hidden="1">{"Assumptions",#N/A,FALSE,"Model"}</definedName>
    <definedName name="_ww1_1_1_1_1" localSheetId="1" hidden="1">{"Assumptions",#N/A,FALSE,"Model"}</definedName>
    <definedName name="_ww1_1_1_1_1" hidden="1">{"Assumptions",#N/A,FALSE,"Model"}</definedName>
    <definedName name="_ww1_1_2" localSheetId="3" hidden="1">{"Assumptions",#N/A,FALSE,"Model"}</definedName>
    <definedName name="_ww1_1_2" localSheetId="1" hidden="1">{"Assumptions",#N/A,FALSE,"Model"}</definedName>
    <definedName name="_ww1_1_2" hidden="1">{"Assumptions",#N/A,FALSE,"Model"}</definedName>
    <definedName name="_ww1_1_2_1" localSheetId="3" hidden="1">{"Assumptions",#N/A,FALSE,"Model"}</definedName>
    <definedName name="_ww1_1_2_1" localSheetId="1" hidden="1">{"Assumptions",#N/A,FALSE,"Model"}</definedName>
    <definedName name="_ww1_1_2_1" hidden="1">{"Assumptions",#N/A,FALSE,"Model"}</definedName>
    <definedName name="_ww1_1_3" localSheetId="3" hidden="1">{"Assumptions",#N/A,FALSE,"Model"}</definedName>
    <definedName name="_ww1_1_3" localSheetId="1" hidden="1">{"Assumptions",#N/A,FALSE,"Model"}</definedName>
    <definedName name="_ww1_1_3" hidden="1">{"Assumptions",#N/A,FALSE,"Model"}</definedName>
    <definedName name="_ww1_1_3_1" localSheetId="3" hidden="1">{"Assumptions",#N/A,FALSE,"Model"}</definedName>
    <definedName name="_ww1_1_3_1" localSheetId="1" hidden="1">{"Assumptions",#N/A,FALSE,"Model"}</definedName>
    <definedName name="_ww1_1_3_1" hidden="1">{"Assumptions",#N/A,FALSE,"Model"}</definedName>
    <definedName name="_ww1_1_4" localSheetId="3" hidden="1">{"Assumptions",#N/A,FALSE,"Model"}</definedName>
    <definedName name="_ww1_1_4" localSheetId="1" hidden="1">{"Assumptions",#N/A,FALSE,"Model"}</definedName>
    <definedName name="_ww1_1_4" hidden="1">{"Assumptions",#N/A,FALSE,"Model"}</definedName>
    <definedName name="_ww1_2" localSheetId="3" hidden="1">{"Assumptions",#N/A,FALSE,"Model"}</definedName>
    <definedName name="_ww1_2" localSheetId="1" hidden="1">{"Assumptions",#N/A,FALSE,"Model"}</definedName>
    <definedName name="_ww1_2" hidden="1">{"Assumptions",#N/A,FALSE,"Model"}</definedName>
    <definedName name="_ww1_2_1" localSheetId="3" hidden="1">{"Assumptions",#N/A,FALSE,"Model"}</definedName>
    <definedName name="_ww1_2_1" localSheetId="1" hidden="1">{"Assumptions",#N/A,FALSE,"Model"}</definedName>
    <definedName name="_ww1_2_1" hidden="1">{"Assumptions",#N/A,FALSE,"Model"}</definedName>
    <definedName name="_ww1_2_1_1" localSheetId="3" hidden="1">{"Assumptions",#N/A,FALSE,"Model"}</definedName>
    <definedName name="_ww1_2_1_1" localSheetId="1" hidden="1">{"Assumptions",#N/A,FALSE,"Model"}</definedName>
    <definedName name="_ww1_2_1_1" hidden="1">{"Assumptions",#N/A,FALSE,"Model"}</definedName>
    <definedName name="_ww1_2_1_1_1" localSheetId="3" hidden="1">{"Assumptions",#N/A,FALSE,"Model"}</definedName>
    <definedName name="_ww1_2_1_1_1" localSheetId="1" hidden="1">{"Assumptions",#N/A,FALSE,"Model"}</definedName>
    <definedName name="_ww1_2_1_1_1" hidden="1">{"Assumptions",#N/A,FALSE,"Model"}</definedName>
    <definedName name="_ww1_2_2" localSheetId="3" hidden="1">{"Assumptions",#N/A,FALSE,"Model"}</definedName>
    <definedName name="_ww1_2_2" localSheetId="1" hidden="1">{"Assumptions",#N/A,FALSE,"Model"}</definedName>
    <definedName name="_ww1_2_2" hidden="1">{"Assumptions",#N/A,FALSE,"Model"}</definedName>
    <definedName name="_ww1_2_2_1" localSheetId="3" hidden="1">{"Assumptions",#N/A,FALSE,"Model"}</definedName>
    <definedName name="_ww1_2_2_1" localSheetId="1" hidden="1">{"Assumptions",#N/A,FALSE,"Model"}</definedName>
    <definedName name="_ww1_2_2_1" hidden="1">{"Assumptions",#N/A,FALSE,"Model"}</definedName>
    <definedName name="_ww1_2_3" localSheetId="3" hidden="1">{"Assumptions",#N/A,FALSE,"Model"}</definedName>
    <definedName name="_ww1_2_3" localSheetId="1" hidden="1">{"Assumptions",#N/A,FALSE,"Model"}</definedName>
    <definedName name="_ww1_2_3" hidden="1">{"Assumptions",#N/A,FALSE,"Model"}</definedName>
    <definedName name="_ww1_3" localSheetId="3" hidden="1">{"Assumptions",#N/A,FALSE,"Model"}</definedName>
    <definedName name="_ww1_3" localSheetId="1" hidden="1">{"Assumptions",#N/A,FALSE,"Model"}</definedName>
    <definedName name="_ww1_3" hidden="1">{"Assumptions",#N/A,FALSE,"Model"}</definedName>
    <definedName name="_ww1_3_1" localSheetId="3" hidden="1">{"Assumptions",#N/A,FALSE,"Model"}</definedName>
    <definedName name="_ww1_3_1" localSheetId="1" hidden="1">{"Assumptions",#N/A,FALSE,"Model"}</definedName>
    <definedName name="_ww1_3_1" hidden="1">{"Assumptions",#N/A,FALSE,"Model"}</definedName>
    <definedName name="_ww1_3_1_1" localSheetId="3" hidden="1">{"Assumptions",#N/A,FALSE,"Model"}</definedName>
    <definedName name="_ww1_3_1_1" localSheetId="1" hidden="1">{"Assumptions",#N/A,FALSE,"Model"}</definedName>
    <definedName name="_ww1_3_1_1" hidden="1">{"Assumptions",#N/A,FALSE,"Model"}</definedName>
    <definedName name="_ww1_3_1_1_1" localSheetId="3" hidden="1">{"Assumptions",#N/A,FALSE,"Model"}</definedName>
    <definedName name="_ww1_3_1_1_1" localSheetId="1" hidden="1">{"Assumptions",#N/A,FALSE,"Model"}</definedName>
    <definedName name="_ww1_3_1_1_1" hidden="1">{"Assumptions",#N/A,FALSE,"Model"}</definedName>
    <definedName name="_ww1_3_2" localSheetId="3" hidden="1">{"Assumptions",#N/A,FALSE,"Model"}</definedName>
    <definedName name="_ww1_3_2" localSheetId="1" hidden="1">{"Assumptions",#N/A,FALSE,"Model"}</definedName>
    <definedName name="_ww1_3_2" hidden="1">{"Assumptions",#N/A,FALSE,"Model"}</definedName>
    <definedName name="_ww1_3_2_1" localSheetId="3" hidden="1">{"Assumptions",#N/A,FALSE,"Model"}</definedName>
    <definedName name="_ww1_3_2_1" localSheetId="1" hidden="1">{"Assumptions",#N/A,FALSE,"Model"}</definedName>
    <definedName name="_ww1_3_2_1" hidden="1">{"Assumptions",#N/A,FALSE,"Model"}</definedName>
    <definedName name="_ww1_3_3" localSheetId="3" hidden="1">{"Assumptions",#N/A,FALSE,"Model"}</definedName>
    <definedName name="_ww1_3_3" localSheetId="1" hidden="1">{"Assumptions",#N/A,FALSE,"Model"}</definedName>
    <definedName name="_ww1_3_3" hidden="1">{"Assumptions",#N/A,FALSE,"Model"}</definedName>
    <definedName name="_ww1_4" localSheetId="3" hidden="1">{"Assumptions",#N/A,FALSE,"Model"}</definedName>
    <definedName name="_ww1_4" localSheetId="1" hidden="1">{"Assumptions",#N/A,FALSE,"Model"}</definedName>
    <definedName name="_ww1_4" hidden="1">{"Assumptions",#N/A,FALSE,"Model"}</definedName>
    <definedName name="_ww1_4_1" localSheetId="3" hidden="1">{"Assumptions",#N/A,FALSE,"Model"}</definedName>
    <definedName name="_ww1_4_1" localSheetId="1" hidden="1">{"Assumptions",#N/A,FALSE,"Model"}</definedName>
    <definedName name="_ww1_4_1" hidden="1">{"Assumptions",#N/A,FALSE,"Model"}</definedName>
    <definedName name="_ww1_4_1_1" localSheetId="3" hidden="1">{"Assumptions",#N/A,FALSE,"Model"}</definedName>
    <definedName name="_ww1_4_1_1" localSheetId="1" hidden="1">{"Assumptions",#N/A,FALSE,"Model"}</definedName>
    <definedName name="_ww1_4_1_1" hidden="1">{"Assumptions",#N/A,FALSE,"Model"}</definedName>
    <definedName name="_ww1_4_1_1_1" localSheetId="3" hidden="1">{"Assumptions",#N/A,FALSE,"Model"}</definedName>
    <definedName name="_ww1_4_1_1_1" localSheetId="1" hidden="1">{"Assumptions",#N/A,FALSE,"Model"}</definedName>
    <definedName name="_ww1_4_1_1_1" hidden="1">{"Assumptions",#N/A,FALSE,"Model"}</definedName>
    <definedName name="_ww1_4_2" localSheetId="3" hidden="1">{"Assumptions",#N/A,FALSE,"Model"}</definedName>
    <definedName name="_ww1_4_2" localSheetId="1" hidden="1">{"Assumptions",#N/A,FALSE,"Model"}</definedName>
    <definedName name="_ww1_4_2" hidden="1">{"Assumptions",#N/A,FALSE,"Model"}</definedName>
    <definedName name="_ww1_4_2_1" localSheetId="3" hidden="1">{"Assumptions",#N/A,FALSE,"Model"}</definedName>
    <definedName name="_ww1_4_2_1" localSheetId="1" hidden="1">{"Assumptions",#N/A,FALSE,"Model"}</definedName>
    <definedName name="_ww1_4_2_1" hidden="1">{"Assumptions",#N/A,FALSE,"Model"}</definedName>
    <definedName name="_ww1_4_3" localSheetId="3" hidden="1">{"Assumptions",#N/A,FALSE,"Model"}</definedName>
    <definedName name="_ww1_4_3" localSheetId="1" hidden="1">{"Assumptions",#N/A,FALSE,"Model"}</definedName>
    <definedName name="_ww1_4_3" hidden="1">{"Assumptions",#N/A,FALSE,"Model"}</definedName>
    <definedName name="_ww1_5" localSheetId="3" hidden="1">{"Assumptions",#N/A,FALSE,"Model"}</definedName>
    <definedName name="_ww1_5" localSheetId="1" hidden="1">{"Assumptions",#N/A,FALSE,"Model"}</definedName>
    <definedName name="_ww1_5" hidden="1">{"Assumptions",#N/A,FALSE,"Model"}</definedName>
    <definedName name="_ww1_5_1" localSheetId="3" hidden="1">{"Assumptions",#N/A,FALSE,"Model"}</definedName>
    <definedName name="_ww1_5_1" localSheetId="1" hidden="1">{"Assumptions",#N/A,FALSE,"Model"}</definedName>
    <definedName name="_ww1_5_1" hidden="1">{"Assumptions",#N/A,FALSE,"Model"}</definedName>
    <definedName name="_ww1_5_1_1" localSheetId="3" hidden="1">{"Assumptions",#N/A,FALSE,"Model"}</definedName>
    <definedName name="_ww1_5_1_1" localSheetId="1" hidden="1">{"Assumptions",#N/A,FALSE,"Model"}</definedName>
    <definedName name="_ww1_5_1_1" hidden="1">{"Assumptions",#N/A,FALSE,"Model"}</definedName>
    <definedName name="_ww1_5_1_1_1" localSheetId="3" hidden="1">{"Assumptions",#N/A,FALSE,"Model"}</definedName>
    <definedName name="_ww1_5_1_1_1" localSheetId="1" hidden="1">{"Assumptions",#N/A,FALSE,"Model"}</definedName>
    <definedName name="_ww1_5_1_1_1" hidden="1">{"Assumptions",#N/A,FALSE,"Model"}</definedName>
    <definedName name="_ww1_5_2" localSheetId="3" hidden="1">{"Assumptions",#N/A,FALSE,"Model"}</definedName>
    <definedName name="_ww1_5_2" localSheetId="1" hidden="1">{"Assumptions",#N/A,FALSE,"Model"}</definedName>
    <definedName name="_ww1_5_2" hidden="1">{"Assumptions",#N/A,FALSE,"Model"}</definedName>
    <definedName name="_ww1_5_2_1" localSheetId="3" hidden="1">{"Assumptions",#N/A,FALSE,"Model"}</definedName>
    <definedName name="_ww1_5_2_1" localSheetId="1" hidden="1">{"Assumptions",#N/A,FALSE,"Model"}</definedName>
    <definedName name="_ww1_5_2_1" hidden="1">{"Assumptions",#N/A,FALSE,"Model"}</definedName>
    <definedName name="_ww1_5_3" localSheetId="3" hidden="1">{"Assumptions",#N/A,FALSE,"Model"}</definedName>
    <definedName name="_ww1_5_3" localSheetId="1" hidden="1">{"Assumptions",#N/A,FALSE,"Model"}</definedName>
    <definedName name="_ww1_5_3" hidden="1">{"Assumptions",#N/A,FALSE,"Model"}</definedName>
    <definedName name="a" localSheetId="3" hidden="1">{"'FY98 BP2'!$A$1:$K$27","'FY98 BP2'!$A$3:$K$27"}</definedName>
    <definedName name="a" localSheetId="1" hidden="1">{"'FY98 BP2'!$A$1:$K$27","'FY98 BP2'!$A$3:$K$27"}</definedName>
    <definedName name="a" hidden="1">{"'FY98 BP2'!$A$1:$K$27","'FY98 BP2'!$A$3:$K$27"}</definedName>
    <definedName name="aa" localSheetId="3" hidden="1">{#N/A,#N/A,FALSE,"Title Page";#N/A,#N/A,FALSE,"Conclusions";#N/A,#N/A,FALSE,"Assum.";#N/A,#N/A,FALSE,"Sun  DCF-WC-Dep";#N/A,#N/A,FALSE,"MarketValue";#N/A,#N/A,FALSE,"BalSheet";#N/A,#N/A,FALSE,"WACC";#N/A,#N/A,FALSE,"PC+ Info.";#N/A,#N/A,FALSE,"PC+Info_2"}</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3"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3" hidden="1">{"ten year ratios",#N/A,TRUE,"PROFIT_LOSS";"ten year ratios",#N/A,TRUE,"Ratios";"ten yr opex and capex",#N/A,TRUE,"1996 budget";"ten year revenues",#N/A,TRUE,"Revenue_1996-2004";"ten year payroll",#N/A,TRUE,"Payroll"}</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3" hidden="1">{#N/A,#N/A,FALSE,"Title Page";#N/A,#N/A,FALSE,"Conclusions";#N/A,#N/A,FALSE,"Assum.";#N/A,#N/A,FALSE,"Sun  DCF-WC-Dep";#N/A,#N/A,FALSE,"MarketValue";#N/A,#N/A,FALSE,"BalSheet";#N/A,#N/A,FALSE,"WACC";#N/A,#N/A,FALSE,"PC+ Info.";#N/A,#N/A,FALSE,"PC+Info_2"}</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3"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'[13]MDY Model'!$E$46</definedName>
    <definedName name="AaaRecoveryCov">#REF!</definedName>
    <definedName name="AAB_Addin5" hidden="1">"AAB_Description for addin 5,Description for addin 5,Description for addin 5,Description for addin 5,Description for addin 5,Description for addin 5"</definedName>
    <definedName name="abcde" localSheetId="3" hidden="1">{#N/A,#N/A,FALSE,"Title Page";#N/A,#N/A,FALSE,"Conclusions";#N/A,#N/A,FALSE,"Assum.";#N/A,#N/A,FALSE,"Sun  DCF-WC-Dep";#N/A,#N/A,FALSE,"MarketValue";#N/A,#N/A,FALSE,"BalSheet";#N/A,#N/A,FALSE,"WACC";#N/A,#N/A,FALSE,"PC+ Info.";#N/A,#N/A,FALSE,"PC+Info_2"}</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3" hidden="1">{"'PXR_6500'!$A$1:$I$124"}</definedName>
    <definedName name="abcdef" localSheetId="1" hidden="1">{"'PXR_6500'!$A$1:$I$124"}</definedName>
    <definedName name="abcdef" hidden="1">{"'PXR_6500'!$A$1:$I$124"}</definedName>
    <definedName name="ABN" localSheetId="3" hidden="1">{"'PXR_6500'!$A$1:$I$124"}</definedName>
    <definedName name="ABN" localSheetId="1" hidden="1">{"'PXR_6500'!$A$1:$I$124"}</definedName>
    <definedName name="ABN" hidden="1">{"'PXR_6500'!$A$1:$I$124"}</definedName>
    <definedName name="Account01" localSheetId="1">[19]Library!$R$27</definedName>
    <definedName name="Account01">#REF!</definedName>
    <definedName name="Account02" localSheetId="1">[19]Library!$R$28</definedName>
    <definedName name="Account02">#REF!</definedName>
    <definedName name="Account03" localSheetId="1">[19]Library!$R$29</definedName>
    <definedName name="Account03">#REF!</definedName>
    <definedName name="Account04" localSheetId="1">[19]Library!$R$30</definedName>
    <definedName name="Account04">#REF!</definedName>
    <definedName name="Account05" localSheetId="1">[19]Library!$R$31</definedName>
    <definedName name="Account05">#REF!</definedName>
    <definedName name="Account06" localSheetId="1">[19]Library!$R$32</definedName>
    <definedName name="Account06">#REF!</definedName>
    <definedName name="Account07" localSheetId="1">[19]Library!$R$33</definedName>
    <definedName name="Account07">#REF!</definedName>
    <definedName name="Account08" localSheetId="1">[19]Library!$R$34</definedName>
    <definedName name="Account08">#REF!</definedName>
    <definedName name="Account09" localSheetId="1">[19]Library!$R$35</definedName>
    <definedName name="Account09">#REF!</definedName>
    <definedName name="Account10" localSheetId="1">[19]Library!$R$36</definedName>
    <definedName name="Account10">#REF!</definedName>
    <definedName name="Account11" localSheetId="1">[19]Library!$R$37</definedName>
    <definedName name="Account11">#REF!</definedName>
    <definedName name="Account12" localSheetId="1">[19]Library!$R$38</definedName>
    <definedName name="Account12">#REF!</definedName>
    <definedName name="Account13" localSheetId="1">[19]Library!$R$39</definedName>
    <definedName name="Account13">#REF!</definedName>
    <definedName name="Account14" localSheetId="1">[19]Library!$R$40</definedName>
    <definedName name="Account14">#REF!</definedName>
    <definedName name="Account15" localSheetId="1">[19]Library!$R$41</definedName>
    <definedName name="Account15">#REF!</definedName>
    <definedName name="Account16" localSheetId="1">[19]Library!$R$42</definedName>
    <definedName name="Account16">#REF!</definedName>
    <definedName name="Account17" localSheetId="1">[19]Library!$R$43</definedName>
    <definedName name="Account17">#REF!</definedName>
    <definedName name="Account18" localSheetId="1">[19]Library!$R$44</definedName>
    <definedName name="Account18">#REF!</definedName>
    <definedName name="Account19" localSheetId="1">[19]Library!$R$45</definedName>
    <definedName name="Account19">#REF!</definedName>
    <definedName name="Account20" localSheetId="1">[19]Library!$R$46</definedName>
    <definedName name="Account20">#REF!</definedName>
    <definedName name="Account21" localSheetId="1">[19]Library!$R$47</definedName>
    <definedName name="Account21">#REF!</definedName>
    <definedName name="Account22" localSheetId="1">[19]Library!$R$48</definedName>
    <definedName name="Account22">#REF!</definedName>
    <definedName name="Account23" localSheetId="1">[19]Library!$R$49</definedName>
    <definedName name="Account23">#REF!</definedName>
    <definedName name="Account24" localSheetId="1">[19]Library!$R$50</definedName>
    <definedName name="Account24">#REF!</definedName>
    <definedName name="Account25" localSheetId="1">[19]Library!$R$51</definedName>
    <definedName name="Account25">#REF!</definedName>
    <definedName name="Account26" localSheetId="1">[19]Library!$R$52</definedName>
    <definedName name="Account26">#REF!</definedName>
    <definedName name="Account27" localSheetId="1">[19]Library!$R$53</definedName>
    <definedName name="Account27">#REF!</definedName>
    <definedName name="Account28" localSheetId="1">[19]Library!$R$54</definedName>
    <definedName name="Account28">#REF!</definedName>
    <definedName name="Account29" localSheetId="1">[19]Library!$R$55</definedName>
    <definedName name="Account29">#REF!</definedName>
    <definedName name="Account30" localSheetId="1">[19]Library!$R$56</definedName>
    <definedName name="Account30">#REF!</definedName>
    <definedName name="Account31" localSheetId="1">[19]Library!$R$57</definedName>
    <definedName name="Account31">#REF!</definedName>
    <definedName name="Account32" localSheetId="1">[19]Library!$R$58</definedName>
    <definedName name="Account32">#REF!</definedName>
    <definedName name="Account33" localSheetId="1">[19]Library!$R$59</definedName>
    <definedName name="Account33">#REF!</definedName>
    <definedName name="Account34" localSheetId="1">[19]Library!$R$60</definedName>
    <definedName name="Account34">#REF!</definedName>
    <definedName name="Account35" localSheetId="1">[19]Library!$R$61</definedName>
    <definedName name="Account35">#REF!</definedName>
    <definedName name="Account36" localSheetId="1">[19]Library!$R$62</definedName>
    <definedName name="Account36">#REF!</definedName>
    <definedName name="Account37" localSheetId="1">[19]Library!$R$63</definedName>
    <definedName name="Account37">#REF!</definedName>
    <definedName name="Account38" localSheetId="1">[19]Library!$R$64</definedName>
    <definedName name="Account38">#REF!</definedName>
    <definedName name="Account39" localSheetId="1">[19]Library!$R$65</definedName>
    <definedName name="Account39">#REF!</definedName>
    <definedName name="Account40" localSheetId="1">[19]Library!$R$66</definedName>
    <definedName name="Account40">#REF!</definedName>
    <definedName name="Account41" localSheetId="1">[19]Library!$R$67</definedName>
    <definedName name="Account41">#REF!</definedName>
    <definedName name="Account42" localSheetId="1">[19]Library!$R$68</definedName>
    <definedName name="Account42">#REF!</definedName>
    <definedName name="Account43" localSheetId="1">[19]Library!$R$69</definedName>
    <definedName name="Account43">#REF!</definedName>
    <definedName name="Account44" localSheetId="1">[19]Library!$R$70</definedName>
    <definedName name="Account44">#REF!</definedName>
    <definedName name="Account45" localSheetId="1">[19]Library!$R$71</definedName>
    <definedName name="Account45">#REF!</definedName>
    <definedName name="Account46" localSheetId="1">[19]Library!$R$72</definedName>
    <definedName name="Account46">#REF!</definedName>
    <definedName name="Account47" localSheetId="1">[19]Library!$R$73</definedName>
    <definedName name="Account47">#REF!</definedName>
    <definedName name="Account48" localSheetId="1">[19]Library!$R$74</definedName>
    <definedName name="Account48">#REF!</definedName>
    <definedName name="Account49" localSheetId="1">[19]Library!$R$75</definedName>
    <definedName name="Account49">#REF!</definedName>
    <definedName name="Account50" localSheetId="1">[19]Library!$R$76</definedName>
    <definedName name="Account50">#REF!</definedName>
    <definedName name="Account51" localSheetId="1">[19]Library!$R$77</definedName>
    <definedName name="Account51">#REF!</definedName>
    <definedName name="Account52" localSheetId="1">[19]Library!$R$78</definedName>
    <definedName name="Account52">#REF!</definedName>
    <definedName name="Account53" localSheetId="1">[19]Library!$R$79</definedName>
    <definedName name="Account53">#REF!</definedName>
    <definedName name="Account54" localSheetId="1">[19]Library!$R$80</definedName>
    <definedName name="Account54">#REF!</definedName>
    <definedName name="Account55" localSheetId="1">[19]Library!$R$81</definedName>
    <definedName name="Account55">#REF!</definedName>
    <definedName name="Account56" localSheetId="1">[19]Library!$R$82</definedName>
    <definedName name="Account56">#REF!</definedName>
    <definedName name="Account57" localSheetId="1">[19]Library!$R$83</definedName>
    <definedName name="Account57">#REF!</definedName>
    <definedName name="Account58" localSheetId="1">[19]Library!$R$84</definedName>
    <definedName name="Account58">#REF!</definedName>
    <definedName name="Account59" localSheetId="1">[19]Library!$R$85</definedName>
    <definedName name="Account59">#REF!</definedName>
    <definedName name="Account60" localSheetId="1">[19]Library!$R$86</definedName>
    <definedName name="Account60">#REF!</definedName>
    <definedName name="Account61" localSheetId="1">[19]Library!$R$87</definedName>
    <definedName name="Account61">#REF!</definedName>
    <definedName name="Account62" localSheetId="1">[19]Library!$R$88</definedName>
    <definedName name="Account62">#REF!</definedName>
    <definedName name="Account63" localSheetId="1">[19]Library!$R$89</definedName>
    <definedName name="Account63">#REF!</definedName>
    <definedName name="Account64" localSheetId="1">[19]Library!$R$90</definedName>
    <definedName name="Account64">#REF!</definedName>
    <definedName name="Account65" localSheetId="1">[19]Library!$R$91</definedName>
    <definedName name="Account65">#REF!</definedName>
    <definedName name="Account66" localSheetId="1">[19]Library!$R$92</definedName>
    <definedName name="Account66">#REF!</definedName>
    <definedName name="Account67" localSheetId="1">[19]Library!$R$93</definedName>
    <definedName name="Account67">#REF!</definedName>
    <definedName name="Account68" localSheetId="1">[19]Library!$R$94</definedName>
    <definedName name="Account68">#REF!</definedName>
    <definedName name="Account69" localSheetId="1">[19]Library!$R$95</definedName>
    <definedName name="Account69">#REF!</definedName>
    <definedName name="Account70" localSheetId="1">[19]Library!$R$96</definedName>
    <definedName name="Account70">#REF!</definedName>
    <definedName name="Account71" localSheetId="1">[19]Library!$R$97</definedName>
    <definedName name="Account71">#REF!</definedName>
    <definedName name="AccountInteger" localSheetId="1">[19]Library!$Q$26</definedName>
    <definedName name="AccountInteger">#REF!</definedName>
    <definedName name="Accrual2010" localSheetId="3" hidden="1">{#N/A,#N/A,FALSE,"Balance Sheet";#N/A,#N/A,FALSE,"Income Statement";#N/A,#N/A,FALSE,"Partners Capital";#N/A,#N/A,FALSE,"Cash Flows";#N/A,#N/A,FALSE,"Support"}</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3"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[20]Ratios!$J$3</definedName>
    <definedName name="ACR">#REF!</definedName>
    <definedName name="ACwvu.BiPolar." localSheetId="1" hidden="1">'[21]BI-POLAR'!#REF!</definedName>
    <definedName name="ACwvu.BiPolar." hidden="1">#REF!</definedName>
    <definedName name="ACwvu.inputs._.raw._.data." hidden="1">#REF!</definedName>
    <definedName name="ACwvu.sp2." localSheetId="1" hidden="1">[22]Industry!#REF!</definedName>
    <definedName name="ACwvu.sp2." hidden="1">#REF!</definedName>
    <definedName name="ACwvu.sum." localSheetId="1" hidden="1">[22]Industry!#REF!</definedName>
    <definedName name="ACwvu.sum." hidden="1">#REF!</definedName>
    <definedName name="ACwvu.summary1." hidden="1">#REF!</definedName>
    <definedName name="ACwvu.summary2." hidden="1">#REF!</definedName>
    <definedName name="ACwvu.summary3." hidden="1">#REF!</definedName>
    <definedName name="ACwvu.Sumnpv." localSheetId="1" hidden="1">[23]List!$C$1:$L$34</definedName>
    <definedName name="ACwvu.Sumnpv." hidden="1">#REF!</definedName>
    <definedName name="adfadf" localSheetId="3" hidden="1">{#N/A,#N/A,FALSE,"Balance Sheet";#N/A,#N/A,FALSE,"Income Statement";#N/A,#N/A,FALSE,"Partners Capital";#N/A,#N/A,FALSE,"Cash Flows";#N/A,#N/A,FALSE,"Support"}</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[24]Portfolio!#REF!</definedName>
    <definedName name="adfbadfbadfbadfbagbagb" hidden="1">#REF!</definedName>
    <definedName name="Admin_Cap" localSheetId="1">'[25]Model Inputs'!$C$39</definedName>
    <definedName name="Admin_Cap">#REF!</definedName>
    <definedName name="afdgsdfgadfbadfb" localSheetId="1" hidden="1">[24]Portfolio!#REF!</definedName>
    <definedName name="afdgsdfgadfbadfb" hidden="1">#REF!</definedName>
    <definedName name="agbagbadgbfadfbadfbzxczxchg" localSheetId="1" hidden="1">[22]Industry!#REF!</definedName>
    <definedName name="agbagbadgbfadfbadfbzxczxchg" hidden="1">#REF!</definedName>
    <definedName name="Agg_Adj_balance" localSheetId="1">'[20]Loan List'!$K$9</definedName>
    <definedName name="Agg_Adj_balance">#REF!</definedName>
    <definedName name="Agg_Equity_Unfund_Exp_Amt" localSheetId="1">'[20]Loan List'!$N$9</definedName>
    <definedName name="Agg_Equity_Unfund_Exp_Amt">#REF!</definedName>
    <definedName name="Agg_Excess_Concentration" localSheetId="1">'[20]Excess Concentration'!$BE$12</definedName>
    <definedName name="Agg_Excess_Concentration">#REF!</definedName>
    <definedName name="Agg_Max_Prin_Bal" localSheetId="1">'[20]Excess Concentration'!$H$9</definedName>
    <definedName name="Agg_Max_Prin_Bal">#REF!</definedName>
    <definedName name="Agg_Undrawn_Fee_1" localSheetId="1">'[26]Undrawn Fee'!$A$1</definedName>
    <definedName name="Agg_Undrawn_Fee_1">#REF!</definedName>
    <definedName name="Agg_Unfund_Exp_CAD" localSheetId="1">'[20]Loan List'!$M$5</definedName>
    <definedName name="Agg_Unfund_Exp_CAD">#REF!</definedName>
    <definedName name="Agg_Unfund_Exp_USD" localSheetId="1">'[20]Loan List'!$M$4</definedName>
    <definedName name="Agg_Unfund_Exp_USD">#REF!</definedName>
    <definedName name="Agg_Unfund_Exposure_X_Valuation" localSheetId="1">'[20]Loan List'!$O$7</definedName>
    <definedName name="Agg_Unfund_Exposure_X_Valuation">#REF!</definedName>
    <definedName name="Agg_Unfunded_exp" localSheetId="1">'[20]Loan List'!$M$9</definedName>
    <definedName name="Agg_Unfunded_exp">#REF!</definedName>
    <definedName name="all" localSheetId="3" hidden="1">{#N/A,#N/A,FALSE,"Balance Sheet";#N/A,#N/A,FALSE,"Income Statement";#N/A,#N/A,FALSE,"Partners Capital";#N/A,#N/A,FALSE,"Cash Flows";#N/A,#N/A,FALSE,"Support"}</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3" hidden="1">{"'PXR_6500'!$A$1:$I$124"}</definedName>
    <definedName name="aqqq" localSheetId="1" hidden="1">{"'PXR_6500'!$A$1:$I$124"}</definedName>
    <definedName name="aqqq" hidden="1">{"'PXR_6500'!$A$1:$I$124"}</definedName>
    <definedName name="AS" localSheetId="3" hidden="1">{"'TG'!$A$1:$L$37"}</definedName>
    <definedName name="AS" localSheetId="1" hidden="1">{"'TG'!$A$1:$L$37"}</definedName>
    <definedName name="AS" hidden="1">{"'TG'!$A$1:$L$37"}</definedName>
    <definedName name="As_of_Date" localSheetId="1">[20]Inputs!$B$10</definedName>
    <definedName name="As_of_Date">#REF!</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3" hidden="1">{"e_Target Assumptions",#N/A,FALSE,"Financials";"f_Target Income Statement",#N/A,FALSE,"Financials";"g_Target Balance Sheet",#N/A,FALSE,"Financials";"h_Target Cashflow Statement",#N/A,FALSE,"Financials"}</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3" hidden="1">{"by departments",#N/A,TRUE,"FORECAST";"cap_headcount",#N/A,TRUE,"FORECAST";"summary",#N/A,TRUE,"FORECAST"}</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3" hidden="1">{"SUMMARY",#N/A,TRUE,"SUMMARY";"compare",#N/A,TRUE,"Vs. Bus Plan";"ratios",#N/A,TRUE,"Ratios";"REVENUE",#N/A,TRUE,"Revenue";"expenses",#N/A,TRUE,"1996 budget";"payroll",#N/A,TRUE,"Payroll"}</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'[27]CCLP Portfolio'!$W$4:$W$113</definedName>
    <definedName name="Asset_Yrs_to_Maturity">#REF!</definedName>
    <definedName name="assump" localSheetId="3" hidden="1">{"Assumptions",#N/A,FALSE,"Model"}</definedName>
    <definedName name="assump" localSheetId="1" hidden="1">{"Assumptions",#N/A,FALSE,"Model"}</definedName>
    <definedName name="assump" hidden="1">{"Assumptions",#N/A,FALSE,"Model"}</definedName>
    <definedName name="assump_1" localSheetId="3" hidden="1">{"Assumptions",#N/A,FALSE,"Model"}</definedName>
    <definedName name="assump_1" localSheetId="1" hidden="1">{"Assumptions",#N/A,FALSE,"Model"}</definedName>
    <definedName name="assump_1" hidden="1">{"Assumptions",#N/A,FALSE,"Model"}</definedName>
    <definedName name="assump_1_1" localSheetId="3" hidden="1">{"Assumptions",#N/A,FALSE,"Model"}</definedName>
    <definedName name="assump_1_1" localSheetId="1" hidden="1">{"Assumptions",#N/A,FALSE,"Model"}</definedName>
    <definedName name="assump_1_1" hidden="1">{"Assumptions",#N/A,FALSE,"Model"}</definedName>
    <definedName name="assump_1_1_1" localSheetId="3" hidden="1">{"Assumptions",#N/A,FALSE,"Model"}</definedName>
    <definedName name="assump_1_1_1" localSheetId="1" hidden="1">{"Assumptions",#N/A,FALSE,"Model"}</definedName>
    <definedName name="assump_1_1_1" hidden="1">{"Assumptions",#N/A,FALSE,"Model"}</definedName>
    <definedName name="assump_1_1_1_1" localSheetId="3" hidden="1">{"Assumptions",#N/A,FALSE,"Model"}</definedName>
    <definedName name="assump_1_1_1_1" localSheetId="1" hidden="1">{"Assumptions",#N/A,FALSE,"Model"}</definedName>
    <definedName name="assump_1_1_1_1" hidden="1">{"Assumptions",#N/A,FALSE,"Model"}</definedName>
    <definedName name="assump_1_2" localSheetId="3" hidden="1">{"Assumptions",#N/A,FALSE,"Model"}</definedName>
    <definedName name="assump_1_2" localSheetId="1" hidden="1">{"Assumptions",#N/A,FALSE,"Model"}</definedName>
    <definedName name="assump_1_2" hidden="1">{"Assumptions",#N/A,FALSE,"Model"}</definedName>
    <definedName name="assump_1_2_1" localSheetId="3" hidden="1">{"Assumptions",#N/A,FALSE,"Model"}</definedName>
    <definedName name="assump_1_2_1" localSheetId="1" hidden="1">{"Assumptions",#N/A,FALSE,"Model"}</definedName>
    <definedName name="assump_1_2_1" hidden="1">{"Assumptions",#N/A,FALSE,"Model"}</definedName>
    <definedName name="assump_1_3" localSheetId="3" hidden="1">{"Assumptions",#N/A,FALSE,"Model"}</definedName>
    <definedName name="assump_1_3" localSheetId="1" hidden="1">{"Assumptions",#N/A,FALSE,"Model"}</definedName>
    <definedName name="assump_1_3" hidden="1">{"Assumptions",#N/A,FALSE,"Model"}</definedName>
    <definedName name="assump_1_3_1" localSheetId="3" hidden="1">{"Assumptions",#N/A,FALSE,"Model"}</definedName>
    <definedName name="assump_1_3_1" localSheetId="1" hidden="1">{"Assumptions",#N/A,FALSE,"Model"}</definedName>
    <definedName name="assump_1_3_1" hidden="1">{"Assumptions",#N/A,FALSE,"Model"}</definedName>
    <definedName name="assump_1_4" localSheetId="3" hidden="1">{"Assumptions",#N/A,FALSE,"Model"}</definedName>
    <definedName name="assump_1_4" localSheetId="1" hidden="1">{"Assumptions",#N/A,FALSE,"Model"}</definedName>
    <definedName name="assump_1_4" hidden="1">{"Assumptions",#N/A,FALSE,"Model"}</definedName>
    <definedName name="assump_2" localSheetId="3" hidden="1">{"Assumptions",#N/A,FALSE,"Model"}</definedName>
    <definedName name="assump_2" localSheetId="1" hidden="1">{"Assumptions",#N/A,FALSE,"Model"}</definedName>
    <definedName name="assump_2" hidden="1">{"Assumptions",#N/A,FALSE,"Model"}</definedName>
    <definedName name="assump_2_1" localSheetId="3" hidden="1">{"Assumptions",#N/A,FALSE,"Model"}</definedName>
    <definedName name="assump_2_1" localSheetId="1" hidden="1">{"Assumptions",#N/A,FALSE,"Model"}</definedName>
    <definedName name="assump_2_1" hidden="1">{"Assumptions",#N/A,FALSE,"Model"}</definedName>
    <definedName name="assump_2_1_1" localSheetId="3" hidden="1">{"Assumptions",#N/A,FALSE,"Model"}</definedName>
    <definedName name="assump_2_1_1" localSheetId="1" hidden="1">{"Assumptions",#N/A,FALSE,"Model"}</definedName>
    <definedName name="assump_2_1_1" hidden="1">{"Assumptions",#N/A,FALSE,"Model"}</definedName>
    <definedName name="assump_2_1_1_1" localSheetId="3" hidden="1">{"Assumptions",#N/A,FALSE,"Model"}</definedName>
    <definedName name="assump_2_1_1_1" localSheetId="1" hidden="1">{"Assumptions",#N/A,FALSE,"Model"}</definedName>
    <definedName name="assump_2_1_1_1" hidden="1">{"Assumptions",#N/A,FALSE,"Model"}</definedName>
    <definedName name="assump_2_2" localSheetId="3" hidden="1">{"Assumptions",#N/A,FALSE,"Model"}</definedName>
    <definedName name="assump_2_2" localSheetId="1" hidden="1">{"Assumptions",#N/A,FALSE,"Model"}</definedName>
    <definedName name="assump_2_2" hidden="1">{"Assumptions",#N/A,FALSE,"Model"}</definedName>
    <definedName name="assump_2_2_1" localSheetId="3" hidden="1">{"Assumptions",#N/A,FALSE,"Model"}</definedName>
    <definedName name="assump_2_2_1" localSheetId="1" hidden="1">{"Assumptions",#N/A,FALSE,"Model"}</definedName>
    <definedName name="assump_2_2_1" hidden="1">{"Assumptions",#N/A,FALSE,"Model"}</definedName>
    <definedName name="assump_2_3" localSheetId="3" hidden="1">{"Assumptions",#N/A,FALSE,"Model"}</definedName>
    <definedName name="assump_2_3" localSheetId="1" hidden="1">{"Assumptions",#N/A,FALSE,"Model"}</definedName>
    <definedName name="assump_2_3" hidden="1">{"Assumptions",#N/A,FALSE,"Model"}</definedName>
    <definedName name="assump_3" localSheetId="3" hidden="1">{"Assumptions",#N/A,FALSE,"Model"}</definedName>
    <definedName name="assump_3" localSheetId="1" hidden="1">{"Assumptions",#N/A,FALSE,"Model"}</definedName>
    <definedName name="assump_3" hidden="1">{"Assumptions",#N/A,FALSE,"Model"}</definedName>
    <definedName name="assump_3_1" localSheetId="3" hidden="1">{"Assumptions",#N/A,FALSE,"Model"}</definedName>
    <definedName name="assump_3_1" localSheetId="1" hidden="1">{"Assumptions",#N/A,FALSE,"Model"}</definedName>
    <definedName name="assump_3_1" hidden="1">{"Assumptions",#N/A,FALSE,"Model"}</definedName>
    <definedName name="assump_3_1_1" localSheetId="3" hidden="1">{"Assumptions",#N/A,FALSE,"Model"}</definedName>
    <definedName name="assump_3_1_1" localSheetId="1" hidden="1">{"Assumptions",#N/A,FALSE,"Model"}</definedName>
    <definedName name="assump_3_1_1" hidden="1">{"Assumptions",#N/A,FALSE,"Model"}</definedName>
    <definedName name="assump_3_1_1_1" localSheetId="3" hidden="1">{"Assumptions",#N/A,FALSE,"Model"}</definedName>
    <definedName name="assump_3_1_1_1" localSheetId="1" hidden="1">{"Assumptions",#N/A,FALSE,"Model"}</definedName>
    <definedName name="assump_3_1_1_1" hidden="1">{"Assumptions",#N/A,FALSE,"Model"}</definedName>
    <definedName name="assump_3_2" localSheetId="3" hidden="1">{"Assumptions",#N/A,FALSE,"Model"}</definedName>
    <definedName name="assump_3_2" localSheetId="1" hidden="1">{"Assumptions",#N/A,FALSE,"Model"}</definedName>
    <definedName name="assump_3_2" hidden="1">{"Assumptions",#N/A,FALSE,"Model"}</definedName>
    <definedName name="assump_3_2_1" localSheetId="3" hidden="1">{"Assumptions",#N/A,FALSE,"Model"}</definedName>
    <definedName name="assump_3_2_1" localSheetId="1" hidden="1">{"Assumptions",#N/A,FALSE,"Model"}</definedName>
    <definedName name="assump_3_2_1" hidden="1">{"Assumptions",#N/A,FALSE,"Model"}</definedName>
    <definedName name="assump_3_3" localSheetId="3" hidden="1">{"Assumptions",#N/A,FALSE,"Model"}</definedName>
    <definedName name="assump_3_3" localSheetId="1" hidden="1">{"Assumptions",#N/A,FALSE,"Model"}</definedName>
    <definedName name="assump_3_3" hidden="1">{"Assumptions",#N/A,FALSE,"Model"}</definedName>
    <definedName name="assump_4" localSheetId="3" hidden="1">{"Assumptions",#N/A,FALSE,"Model"}</definedName>
    <definedName name="assump_4" localSheetId="1" hidden="1">{"Assumptions",#N/A,FALSE,"Model"}</definedName>
    <definedName name="assump_4" hidden="1">{"Assumptions",#N/A,FALSE,"Model"}</definedName>
    <definedName name="assump_4_1" localSheetId="3" hidden="1">{"Assumptions",#N/A,FALSE,"Model"}</definedName>
    <definedName name="assump_4_1" localSheetId="1" hidden="1">{"Assumptions",#N/A,FALSE,"Model"}</definedName>
    <definedName name="assump_4_1" hidden="1">{"Assumptions",#N/A,FALSE,"Model"}</definedName>
    <definedName name="assump_4_1_1" localSheetId="3" hidden="1">{"Assumptions",#N/A,FALSE,"Model"}</definedName>
    <definedName name="assump_4_1_1" localSheetId="1" hidden="1">{"Assumptions",#N/A,FALSE,"Model"}</definedName>
    <definedName name="assump_4_1_1" hidden="1">{"Assumptions",#N/A,FALSE,"Model"}</definedName>
    <definedName name="assump_4_1_1_1" localSheetId="3" hidden="1">{"Assumptions",#N/A,FALSE,"Model"}</definedName>
    <definedName name="assump_4_1_1_1" localSheetId="1" hidden="1">{"Assumptions",#N/A,FALSE,"Model"}</definedName>
    <definedName name="assump_4_1_1_1" hidden="1">{"Assumptions",#N/A,FALSE,"Model"}</definedName>
    <definedName name="assump_4_2" localSheetId="3" hidden="1">{"Assumptions",#N/A,FALSE,"Model"}</definedName>
    <definedName name="assump_4_2" localSheetId="1" hidden="1">{"Assumptions",#N/A,FALSE,"Model"}</definedName>
    <definedName name="assump_4_2" hidden="1">{"Assumptions",#N/A,FALSE,"Model"}</definedName>
    <definedName name="assump_4_2_1" localSheetId="3" hidden="1">{"Assumptions",#N/A,FALSE,"Model"}</definedName>
    <definedName name="assump_4_2_1" localSheetId="1" hidden="1">{"Assumptions",#N/A,FALSE,"Model"}</definedName>
    <definedName name="assump_4_2_1" hidden="1">{"Assumptions",#N/A,FALSE,"Model"}</definedName>
    <definedName name="assump_4_3" localSheetId="3" hidden="1">{"Assumptions",#N/A,FALSE,"Model"}</definedName>
    <definedName name="assump_4_3" localSheetId="1" hidden="1">{"Assumptions",#N/A,FALSE,"Model"}</definedName>
    <definedName name="assump_4_3" hidden="1">{"Assumptions",#N/A,FALSE,"Model"}</definedName>
    <definedName name="assump_5" localSheetId="3" hidden="1">{"Assumptions",#N/A,FALSE,"Model"}</definedName>
    <definedName name="assump_5" localSheetId="1" hidden="1">{"Assumptions",#N/A,FALSE,"Model"}</definedName>
    <definedName name="assump_5" hidden="1">{"Assumptions",#N/A,FALSE,"Model"}</definedName>
    <definedName name="assump_5_1" localSheetId="3" hidden="1">{"Assumptions",#N/A,FALSE,"Model"}</definedName>
    <definedName name="assump_5_1" localSheetId="1" hidden="1">{"Assumptions",#N/A,FALSE,"Model"}</definedName>
    <definedName name="assump_5_1" hidden="1">{"Assumptions",#N/A,FALSE,"Model"}</definedName>
    <definedName name="assump_5_1_1" localSheetId="3" hidden="1">{"Assumptions",#N/A,FALSE,"Model"}</definedName>
    <definedName name="assump_5_1_1" localSheetId="1" hidden="1">{"Assumptions",#N/A,FALSE,"Model"}</definedName>
    <definedName name="assump_5_1_1" hidden="1">{"Assumptions",#N/A,FALSE,"Model"}</definedName>
    <definedName name="assump_5_1_1_1" localSheetId="3" hidden="1">{"Assumptions",#N/A,FALSE,"Model"}</definedName>
    <definedName name="assump_5_1_1_1" localSheetId="1" hidden="1">{"Assumptions",#N/A,FALSE,"Model"}</definedName>
    <definedName name="assump_5_1_1_1" hidden="1">{"Assumptions",#N/A,FALSE,"Model"}</definedName>
    <definedName name="assump_5_2" localSheetId="3" hidden="1">{"Assumptions",#N/A,FALSE,"Model"}</definedName>
    <definedName name="assump_5_2" localSheetId="1" hidden="1">{"Assumptions",#N/A,FALSE,"Model"}</definedName>
    <definedName name="assump_5_2" hidden="1">{"Assumptions",#N/A,FALSE,"Model"}</definedName>
    <definedName name="assump_5_2_1" localSheetId="3" hidden="1">{"Assumptions",#N/A,FALSE,"Model"}</definedName>
    <definedName name="assump_5_2_1" localSheetId="1" hidden="1">{"Assumptions",#N/A,FALSE,"Model"}</definedName>
    <definedName name="assump_5_2_1" hidden="1">{"Assumptions",#N/A,FALSE,"Model"}</definedName>
    <definedName name="assump_5_3" localSheetId="3" hidden="1">{"Assumptions",#N/A,FALSE,"Model"}</definedName>
    <definedName name="assump_5_3" localSheetId="1" hidden="1">{"Assumptions",#N/A,FALSE,"Model"}</definedName>
    <definedName name="assump_5_3" hidden="1">{"Assumptions",#N/A,FALSE,"Model"}</definedName>
    <definedName name="Audit_End" localSheetId="1">[28]GEAUDIT!$C$10</definedName>
    <definedName name="Audit_End">#REF!</definedName>
    <definedName name="Audit_Period" localSheetId="1">[28]GEAUDIT!$C$8</definedName>
    <definedName name="Audit_Period">#REF!</definedName>
    <definedName name="avegmultiple" hidden="1">#REF!</definedName>
    <definedName name="bbbb" localSheetId="3" hidden="1">{#N/A,#N/A,FALSE,"Title Page";#N/A,#N/A,FALSE,"Conclusions";#N/A,#N/A,FALSE,"Assum.";#N/A,#N/A,FALSE,"Sun  DCF-WC-Dep";#N/A,#N/A,FALSE,"MarketValue";#N/A,#N/A,FALSE,"BalSheet";#N/A,#N/A,FALSE,"WACC";#N/A,#N/A,FALSE,"PC+ Info.";#N/A,#N/A,FALSE,"PC+Info_2"}</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[29]Settings!$U$101</definedName>
    <definedName name="bcv.attrition.yoy">#REF!</definedName>
    <definedName name="bcv.awf.sch1.name" localSheetId="1">[29]Settings!$C$203</definedName>
    <definedName name="bcv.awf.sch1.name">#REF!</definedName>
    <definedName name="bcv.awf.sch2.name" localSheetId="1">[29]Settings!$C$205</definedName>
    <definedName name="bcv.awf.sch2.name">#REF!</definedName>
    <definedName name="bcv.bl.check" localSheetId="1">[29]Settings!$M$183</definedName>
    <definedName name="bcv.bl.check">#REF!</definedName>
    <definedName name="bcv.bl.length" localSheetId="1">[29]Settings!$N$183</definedName>
    <definedName name="bcv.bl.length">#REF!</definedName>
    <definedName name="bcv.bl.name" localSheetId="1">[29]Settings!$C$183</definedName>
    <definedName name="bcv.bl.name">#REF!</definedName>
    <definedName name="bcv.cac.annual" localSheetId="1">[29]Settings!$U$99</definedName>
    <definedName name="bcv.cac.annual">#REF!</definedName>
    <definedName name="bcv.cac.average" localSheetId="1">[29]Settings!$U$100</definedName>
    <definedName name="bcv.cac.average">#REF!</definedName>
    <definedName name="bcv.cac.select" localSheetId="1">[29]Settings!$G$199</definedName>
    <definedName name="bcv.cac.select">#REF!</definedName>
    <definedName name="bcv.con.fav.length" localSheetId="1">[29]Settings!$N$173</definedName>
    <definedName name="bcv.con.fav.length">#REF!</definedName>
    <definedName name="bcv.con.fav.name" localSheetId="1">[29]Settings!$C$173</definedName>
    <definedName name="bcv.con.fav.name">#REF!</definedName>
    <definedName name="bcv.con.unf.length" localSheetId="1">[29]Settings!$N$175</definedName>
    <definedName name="bcv.con.unf.length">#REF!</definedName>
    <definedName name="bcv.con.unf.name" localSheetId="1">[29]Settings!$C$175</definedName>
    <definedName name="bcv.con.unf.name">#REF!</definedName>
    <definedName name="bcv.cr.sch1.name" localSheetId="1">[29]Settings!$C$199</definedName>
    <definedName name="bcv.cr.sch1.name">#REF!</definedName>
    <definedName name="bcv.cr.sch2.attrition.select" localSheetId="1">[29]Settings!$Q$201</definedName>
    <definedName name="bcv.cr.sch2.attrition.select">#REF!</definedName>
    <definedName name="bcv.cr.sch2.length" localSheetId="1">[29]Settings!$N$201</definedName>
    <definedName name="bcv.cr.sch2.length">#REF!</definedName>
    <definedName name="bcv.cr.sch2.name" localSheetId="1">[29]Settings!$C$201</definedName>
    <definedName name="bcv.cr.sch2.name">#REF!</definedName>
    <definedName name="bcv.dr.check" localSheetId="1">[29]Settings!$M$167</definedName>
    <definedName name="bcv.dr.check">#REF!</definedName>
    <definedName name="bcv.dr.length" localSheetId="1">[29]Settings!$N$167</definedName>
    <definedName name="bcv.dr.length">#REF!</definedName>
    <definedName name="bcv.dr.name" localSheetId="1">[29]Settings!$C$167</definedName>
    <definedName name="bcv.dr.name">#REF!</definedName>
    <definedName name="bcv.dr.select" localSheetId="1">[29]Settings!$G$167</definedName>
    <definedName name="bcv.dr.select">#REF!</definedName>
    <definedName name="bcv.dr.ticker01" localSheetId="1">[29]DR!$G$39</definedName>
    <definedName name="bcv.dr.ticker01">#REF!</definedName>
    <definedName name="bcv.dr.ticker02" localSheetId="1">[29]DR!$G$40</definedName>
    <definedName name="bcv.dr.ticker02">#REF!</definedName>
    <definedName name="bcv.dr.ticker03" localSheetId="1">[29]DR!$G$41</definedName>
    <definedName name="bcv.dr.ticker03">#REF!</definedName>
    <definedName name="bcv.dr.ticker04" localSheetId="1">[29]DR!$G$42</definedName>
    <definedName name="bcv.dr.ticker04">#REF!</definedName>
    <definedName name="bcv.dr.ticker05" localSheetId="1">[29]DR!$G$43</definedName>
    <definedName name="bcv.dr.ticker05">#REF!</definedName>
    <definedName name="bcv.dr.ticker06" localSheetId="1">[29]DR!$G$44</definedName>
    <definedName name="bcv.dr.ticker06">#REF!</definedName>
    <definedName name="bcv.dr.ticker07" localSheetId="1">[29]DR!$G$45</definedName>
    <definedName name="bcv.dr.ticker07">#REF!</definedName>
    <definedName name="bcv.dr.ticker08" localSheetId="1">[29]DR!$G$46</definedName>
    <definedName name="bcv.dr.ticker08">#REF!</definedName>
    <definedName name="bcv.dr.ticker09" localSheetId="1">[29]DR!$G$47</definedName>
    <definedName name="bcv.dr.ticker09">#REF!</definedName>
    <definedName name="bcv.dr.ticker10" localSheetId="1">[29]DR!$G$48</definedName>
    <definedName name="bcv.dr.ticker10">#REF!</definedName>
    <definedName name="bcv.dr.ticker11" localSheetId="1">[29]DR!$G$49</definedName>
    <definedName name="bcv.dr.ticker11">#REF!</definedName>
    <definedName name="bcv.dr.ticker12" localSheetId="1">[29]DR!$G$50</definedName>
    <definedName name="bcv.dr.ticker12">#REF!</definedName>
    <definedName name="bcv.dr.ticker13" localSheetId="1">[29]DR!$G$51</definedName>
    <definedName name="bcv.dr.ticker13">#REF!</definedName>
    <definedName name="bcv.dr.ticker14" localSheetId="1">[29]DR!$G$52</definedName>
    <definedName name="bcv.dr.ticker14">#REF!</definedName>
    <definedName name="bcv.dr.ticker15" localSheetId="1">[29]DR!$G$53</definedName>
    <definedName name="bcv.dr.ticker15">#REF!</definedName>
    <definedName name="bcv.dr.ticker16" localSheetId="1">[29]DR!$G$54</definedName>
    <definedName name="bcv.dr.ticker16">#REF!</definedName>
    <definedName name="bcv.dr.ticker17" localSheetId="1">[29]DR!$G$55</definedName>
    <definedName name="bcv.dr.ticker17">#REF!</definedName>
    <definedName name="bcv.dr.ticker18" localSheetId="1">[29]DR!$G$56</definedName>
    <definedName name="bcv.dr.ticker18">#REF!</definedName>
    <definedName name="bcv.dr.ticker19" localSheetId="1">[29]DR!$G$57</definedName>
    <definedName name="bcv.dr.ticker19">#REF!</definedName>
    <definedName name="bcv.dr.ticker20" localSheetId="1">[29]DR!$G$58</definedName>
    <definedName name="bcv.dr.ticker20">#REF!</definedName>
    <definedName name="bcv.dr.top" localSheetId="1">[29]Settings!$U$97</definedName>
    <definedName name="bcv.dr.top">#REF!</definedName>
    <definedName name="bcv.inv.name" localSheetId="1">[29]Settings!$C$163</definedName>
    <definedName name="bcv.inv.name">#REF!</definedName>
    <definedName name="bcv.inv.select" localSheetId="1">[29]Settings!$G$163</definedName>
    <definedName name="bcv.inv.select">#REF!</definedName>
    <definedName name="bcv.inv.simple" localSheetId="1">[29]Settings!$U$95</definedName>
    <definedName name="bcv.inv.simple">#REF!</definedName>
    <definedName name="bcv.iprd.check" localSheetId="1">[29]Settings!$M$197</definedName>
    <definedName name="bcv.iprd.check">#REF!</definedName>
    <definedName name="bcv.iprd.length" localSheetId="1">[29]Settings!$N$197</definedName>
    <definedName name="bcv.iprd.length">#REF!</definedName>
    <definedName name="bcv.iprd.name" localSheetId="1">[29]Settings!$C$197</definedName>
    <definedName name="bcv.iprd.name">#REF!</definedName>
    <definedName name="bcv.lhi.fav.name" localSheetId="1">[29]Settings!$C$169</definedName>
    <definedName name="bcv.lhi.fav.name">#REF!</definedName>
    <definedName name="bcv.lhi.unf.name" localSheetId="1">[29]Settings!$C$171</definedName>
    <definedName name="bcv.lhi.unf.name">#REF!</definedName>
    <definedName name="bcv.nca.sch1.length" localSheetId="1">[29]Settings!$N$177</definedName>
    <definedName name="bcv.nca.sch1.length">#REF!</definedName>
    <definedName name="bcv.nca.sch1.name" localSheetId="1">[29]Settings!$C$177</definedName>
    <definedName name="bcv.nca.sch1.name">#REF!</definedName>
    <definedName name="bcv.nca.sch2.length" localSheetId="1">[29]Settings!$N$179</definedName>
    <definedName name="bcv.nca.sch2.length">#REF!</definedName>
    <definedName name="bcv.nca.sch2.name" localSheetId="1">[29]Settings!$C$179</definedName>
    <definedName name="bcv.nca.sch2.name">#REF!</definedName>
    <definedName name="bcv.nca.sch3.length" localSheetId="1">[29]Settings!$N$181</definedName>
    <definedName name="bcv.nca.sch3.length">#REF!</definedName>
    <definedName name="bcv.nca.sch3.name" localSheetId="1">[29]Settings!$C$181</definedName>
    <definedName name="bcv.nca.sch3.name">#REF!</definedName>
    <definedName name="bcv.permits.name" localSheetId="1">[29]Settings!$C$195</definedName>
    <definedName name="bcv.permits.name">#REF!</definedName>
    <definedName name="bcv.ppe.check" localSheetId="1">[29]Settings!$M$165</definedName>
    <definedName name="bcv.ppe.check">#REF!</definedName>
    <definedName name="bcv.ppe.name" localSheetId="1">[29]Settings!$C$165</definedName>
    <definedName name="bcv.ppe.name">#REF!</definedName>
    <definedName name="bcv.tech.sch1.check" localSheetId="1">[29]Settings!$M$189</definedName>
    <definedName name="bcv.tech.sch1.check">#REF!</definedName>
    <definedName name="bcv.tech.sch1.name" localSheetId="1">[29]Settings!$C$189</definedName>
    <definedName name="bcv.tech.sch1.name">#REF!</definedName>
    <definedName name="bcv.tech.sch2.check" localSheetId="1">[29]Settings!$M$191</definedName>
    <definedName name="bcv.tech.sch2.check">#REF!</definedName>
    <definedName name="bcv.tech.sch2.length" localSheetId="1">[29]Settings!$N$191</definedName>
    <definedName name="bcv.tech.sch2.length">#REF!</definedName>
    <definedName name="bcv.tech.sch2.name" localSheetId="1">[29]Settings!$C$191</definedName>
    <definedName name="bcv.tech.sch2.name">#REF!</definedName>
    <definedName name="bcv.tech.sch3.length" localSheetId="1">[29]Settings!$N$193</definedName>
    <definedName name="bcv.tech.sch3.length">#REF!</definedName>
    <definedName name="bcv.tech.sch3.name" localSheetId="1">[29]Settings!$C$193</definedName>
    <definedName name="bcv.tech.sch3.name">#REF!</definedName>
    <definedName name="bcv.tn.sch1.check" localSheetId="1">[29]Settings!$M$185</definedName>
    <definedName name="bcv.tn.sch1.check">#REF!</definedName>
    <definedName name="bcv.tn.sch1.indef.check" localSheetId="1">[29]Settings!$O$185</definedName>
    <definedName name="bcv.tn.sch1.indef.check">#REF!</definedName>
    <definedName name="bcv.tn.sch1.length" localSheetId="1">[29]Settings!$N$185</definedName>
    <definedName name="bcv.tn.sch1.length">#REF!</definedName>
    <definedName name="bcv.tn.sch1.name" localSheetId="1">[29]Settings!$C$185</definedName>
    <definedName name="bcv.tn.sch1.name">#REF!</definedName>
    <definedName name="bcv.tn.sch2.check" localSheetId="1">[29]Settings!$M$187</definedName>
    <definedName name="bcv.tn.sch2.check">#REF!</definedName>
    <definedName name="bcv.tn.sch2.indef.check" localSheetId="1">[29]Settings!$O$187</definedName>
    <definedName name="bcv.tn.sch2.indef.check">#REF!</definedName>
    <definedName name="bcv.tn.sch2.length" localSheetId="1">[29]Settings!$N$187</definedName>
    <definedName name="bcv.tn.sch2.length">#REF!</definedName>
    <definedName name="bcv.tn.sch2.name" localSheetId="1">[29]Settings!$C$187</definedName>
    <definedName name="bcv.tn.sch2.name">#REF!</definedName>
    <definedName name="Beg_Accrual_Period" localSheetId="1">[20]Inputs!$B$13</definedName>
    <definedName name="Beg_Accrual_Period">#REF!</definedName>
    <definedName name="Beg_of_Collctn_Prd" localSheetId="1">[20]Inputs!$B$11</definedName>
    <definedName name="Beg_of_Collctn_Prd">#REF!</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[30]Dynamic!$H$5</definedName>
    <definedName name="BLPH1" hidden="1">#REF!</definedName>
    <definedName name="BLPH10" localSheetId="1" hidden="1">[30]Dynamic!#REF!</definedName>
    <definedName name="BLPH10" hidden="1">#REF!</definedName>
    <definedName name="BLPH11" localSheetId="1" hidden="1">[30]Dynamic!#REF!</definedName>
    <definedName name="BLPH11" hidden="1">#REF!</definedName>
    <definedName name="BLPH12" localSheetId="1" hidden="1">[30]Dynamic!#REF!</definedName>
    <definedName name="BLPH12" hidden="1">#REF!</definedName>
    <definedName name="BLPH13" localSheetId="1" hidden="1">[30]Dynamic!#REF!</definedName>
    <definedName name="BLPH13" hidden="1">#REF!</definedName>
    <definedName name="BLPH14" localSheetId="1" hidden="1">[30]Dynamic!#REF!</definedName>
    <definedName name="BLPH14" hidden="1">#REF!</definedName>
    <definedName name="BLPH15" localSheetId="1" hidden="1">[30]Dynamic!#REF!</definedName>
    <definedName name="BLPH15" hidden="1">#REF!</definedName>
    <definedName name="BLPH16" localSheetId="1" hidden="1">[30]Dynamic!#REF!</definedName>
    <definedName name="BLPH16" hidden="1">#REF!</definedName>
    <definedName name="BLPH17" localSheetId="1" hidden="1">[30]Dynamic!#REF!</definedName>
    <definedName name="BLPH17" hidden="1">#REF!</definedName>
    <definedName name="BLPH18" localSheetId="1" hidden="1">[30]Dynamic!#REF!</definedName>
    <definedName name="BLPH18" hidden="1">#REF!</definedName>
    <definedName name="BLPH19" localSheetId="1" hidden="1">[30]Dynamic!#REF!</definedName>
    <definedName name="BLPH19" hidden="1">#REF!</definedName>
    <definedName name="BLPH2" localSheetId="1" hidden="1">[30]Dynamic!$D$10</definedName>
    <definedName name="BLPH2" hidden="1">#REF!</definedName>
    <definedName name="BLPH20" localSheetId="1" hidden="1">[30]Dynamic!#REF!</definedName>
    <definedName name="BLPH20" hidden="1">#REF!</definedName>
    <definedName name="BLPH200001" localSheetId="1" hidden="1">'[31]Stock Chart'!$B$5</definedName>
    <definedName name="BLPH200001" hidden="1">#REF!</definedName>
    <definedName name="BLPH21" localSheetId="1" hidden="1">[30]Dynamic!#REF!</definedName>
    <definedName name="BLPH21" hidden="1">#REF!</definedName>
    <definedName name="BLPH22" localSheetId="1" hidden="1">[30]Dynamic!#REF!</definedName>
    <definedName name="BLPH22" hidden="1">#REF!</definedName>
    <definedName name="BLPH23" localSheetId="1" hidden="1">[30]Dynamic!#REF!</definedName>
    <definedName name="BLPH23" hidden="1">#REF!</definedName>
    <definedName name="BLPH24" localSheetId="1" hidden="1">[30]Dynamic!#REF!</definedName>
    <definedName name="BLPH24" hidden="1">#REF!</definedName>
    <definedName name="BLPH25" localSheetId="1" hidden="1">[30]Dynamic!#REF!</definedName>
    <definedName name="BLPH25" hidden="1">#REF!</definedName>
    <definedName name="BLPH26" localSheetId="1" hidden="1">[30]Dynamic!#REF!</definedName>
    <definedName name="BLPH26" hidden="1">#REF!</definedName>
    <definedName name="BLPH27" localSheetId="1" hidden="1">[30]Dynamic!#REF!</definedName>
    <definedName name="BLPH27" hidden="1">#REF!</definedName>
    <definedName name="BLPH28" localSheetId="1" hidden="1">[30]Dynamic!#REF!</definedName>
    <definedName name="BLPH28" hidden="1">#REF!</definedName>
    <definedName name="BLPH29" localSheetId="1" hidden="1">[30]Dynamic!#REF!</definedName>
    <definedName name="BLPH29" hidden="1">#REF!</definedName>
    <definedName name="BLPH3" localSheetId="1" hidden="1">[30]Dynamic!$D$5</definedName>
    <definedName name="BLPH3" hidden="1">#REF!</definedName>
    <definedName name="BLPH30" localSheetId="1" hidden="1">[30]Dynamic!#REF!</definedName>
    <definedName name="BLPH30" hidden="1">#REF!</definedName>
    <definedName name="BLPH4" localSheetId="1" hidden="1">[30]Dynamic!$G$5</definedName>
    <definedName name="BLPH4" hidden="1">#REF!</definedName>
    <definedName name="BLPH5" localSheetId="1" hidden="1">[30]Dynamic!$J$5</definedName>
    <definedName name="BLPH5" hidden="1">#REF!</definedName>
    <definedName name="BLPH6" localSheetId="1" hidden="1">[30]Dynamic!#REF!</definedName>
    <definedName name="BLPH6" hidden="1">#REF!</definedName>
    <definedName name="BLPH7" localSheetId="1" hidden="1">[30]Dynamic!#REF!</definedName>
    <definedName name="BLPH7" hidden="1">#REF!</definedName>
    <definedName name="BLPH8" localSheetId="1" hidden="1">[30]Dynamic!#REF!</definedName>
    <definedName name="BLPH8" hidden="1">#REF!</definedName>
    <definedName name="BLPH9" localSheetId="1" hidden="1">[30]Dynamic!#REF!</definedName>
    <definedName name="BLPH9" hidden="1">#REF!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[32]Start!$C$33</definedName>
    <definedName name="BrazilManufacturing">#REF!</definedName>
    <definedName name="BrazilMarketing" localSheetId="1">[32]Start!$C$20</definedName>
    <definedName name="BrazilMarketing">#REF!</definedName>
    <definedName name="BSMO" localSheetId="1">'[14]BS by month '!$J$1:$V$77</definedName>
    <definedName name="BSMO">#REF!</definedName>
    <definedName name="BSMonth" localSheetId="1">[32]Start!$C$10</definedName>
    <definedName name="BSMonth">#REF!</definedName>
    <definedName name="BSMONTHLY" localSheetId="1">[14]hh!$H$102:$U$135</definedName>
    <definedName name="BSMONTHLY">#REF!</definedName>
    <definedName name="BSRF" localSheetId="1">'[14]BS by month '!$J$174:$CY$248</definedName>
    <definedName name="BSRF">#REF!</definedName>
    <definedName name="BSWK" localSheetId="1">'[14]BS by month '!$K$98:$CX$171</definedName>
    <definedName name="BSWK">#REF!</definedName>
    <definedName name="BUSCLX001PUSD" hidden="1">#REF!</definedName>
    <definedName name="c.LTMYear" hidden="1">#REF!</definedName>
    <definedName name="CAD_FX_rate" localSheetId="1">[20]Inputs!$E$12</definedName>
    <definedName name="CAD_FX_rate">#REF!</definedName>
    <definedName name="CAD_Int_Acct_Int" localSheetId="1">[20]Inputs!$E$38</definedName>
    <definedName name="CAD_Int_Acct_Int">#REF!</definedName>
    <definedName name="CAD_Prin_Coll_Acct_Prin" localSheetId="1">[20]Inputs!$D$39</definedName>
    <definedName name="CAD_Prin_Coll_Acct_Prin">#REF!</definedName>
    <definedName name="CAD_Unfund_Exp_acct" localSheetId="1">[20]Inputs!$D$40:$E$40</definedName>
    <definedName name="CAD_Unfund_Exp_acct">#REF!</definedName>
    <definedName name="Call_If" localSheetId="1">'[25]Model Inputs'!$C$16</definedName>
    <definedName name="Call_If">#REF!</definedName>
    <definedName name="Call_Period" localSheetId="1">'[25]Model Inputs'!$C$17</definedName>
    <definedName name="Call_Period">#REF!</definedName>
    <definedName name="Call_Price" localSheetId="1">'[33]Model Inputs'!$C$16</definedName>
    <definedName name="Call_Price">#REF!</definedName>
    <definedName name="Cap" localSheetId="1">'[34]OID Adder'!$C$5</definedName>
    <definedName name="Cap">#REF!</definedName>
    <definedName name="CapInterest" localSheetId="1">'[35]33101CapInt'!$A$1:$P$44</definedName>
    <definedName name="CapInterest">#REF!</definedName>
    <definedName name="capital" localSheetId="3" hidden="1">{#N/A,#N/A,FALSE,"Balance Sheet";#N/A,#N/A,FALSE,"Income Statement";#N/A,#N/A,FALSE,"Partners Capital";#N/A,#N/A,FALSE,"Cash Flows";#N/A,#N/A,FALSE,"Support"}</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3" hidden="1">{#N/A,#N/A,FALSE,"Title Page";#N/A,#N/A,FALSE,"Conclusions";#N/A,#N/A,FALSE,"Assum.";#N/A,#N/A,FALSE,"Sun  DCF-WC-Dep";#N/A,#N/A,FALSE,"MarketValue";#N/A,#N/A,FALSE,"BalSheet";#N/A,#N/A,FALSE,"WACC";#N/A,#N/A,FALSE,"PC+ Info.";#N/A,#N/A,FALSE,"PC+Info_2"}</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'[25]Model Inputs'!$C$26</definedName>
    <definedName name="Carry_Int">#REF!</definedName>
    <definedName name="Carry_Spread" localSheetId="1">'[25]Model Inputs'!$C$28</definedName>
    <definedName name="Carry_Spread">#REF!</definedName>
    <definedName name="Cash_Capital" localSheetId="1">'[36]3500A - Partner''s Capital'!$D$28</definedName>
    <definedName name="Cash_Capital">#REF!</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[37]Add_Callout!#REF!</definedName>
    <definedName name="cb_Chart_23" hidden="1">#REF!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[38]Stacked_Column_w_labels!$B$5:$E$12</definedName>
    <definedName name="cb_Chart_29" hidden="1">#REF!</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[38]Stacked_Column_w_labels!$B$5:$E$12</definedName>
    <definedName name="cb_Chart_30" hidden="1">#REF!</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'[39]1997 IPO'!#REF!</definedName>
    <definedName name="cb_Chart_43" hidden="1">#REF!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[37]Scatter!#REF!</definedName>
    <definedName name="cb_Chart_5" hidden="1">#REF!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[19]Library!$B$26</definedName>
    <definedName name="CCInteger">#REF!</definedName>
    <definedName name="CCMO" localSheetId="1">'[14] '!$I$1:$U$39</definedName>
    <definedName name="CCMO">#REF!</definedName>
    <definedName name="CCMOEXT" localSheetId="1">'[14] '!$H$87:$U$120</definedName>
    <definedName name="CCMOEXT">#REF!</definedName>
    <definedName name="CCName01" localSheetId="1">[19]Library!$C$27</definedName>
    <definedName name="CCName01">#REF!</definedName>
    <definedName name="CCName02" localSheetId="1">[19]Library!$C$28</definedName>
    <definedName name="CCName02">#REF!</definedName>
    <definedName name="CCName03" localSheetId="1">[19]Library!$C$29</definedName>
    <definedName name="CCName03">#REF!</definedName>
    <definedName name="CCName04" localSheetId="1">[19]Library!$C$30</definedName>
    <definedName name="CCName04">#REF!</definedName>
    <definedName name="CCName05" localSheetId="1">[19]Library!$C$31</definedName>
    <definedName name="CCName05">#REF!</definedName>
    <definedName name="CCName06" localSheetId="1">[19]Library!$C$32</definedName>
    <definedName name="CCName06">#REF!</definedName>
    <definedName name="CCName07" localSheetId="1">[19]Library!$C$33</definedName>
    <definedName name="CCName07">#REF!</definedName>
    <definedName name="CCName08" localSheetId="1">[19]Library!$C$34</definedName>
    <definedName name="CCName08">#REF!</definedName>
    <definedName name="CCName09" localSheetId="1">[19]Library!$C$35</definedName>
    <definedName name="CCName09">#REF!</definedName>
    <definedName name="CCName10" localSheetId="1">[19]Library!$C$36</definedName>
    <definedName name="CCName10">#REF!</definedName>
    <definedName name="CCName11" localSheetId="1">[19]Library!$C$37</definedName>
    <definedName name="CCName11">#REF!</definedName>
    <definedName name="CCName12" localSheetId="1">[19]Library!$C$38</definedName>
    <definedName name="CCName12">#REF!</definedName>
    <definedName name="CCName13" localSheetId="1">[19]Library!$C$39</definedName>
    <definedName name="CCName13">#REF!</definedName>
    <definedName name="CCName14" localSheetId="1">[19]Library!$C$40</definedName>
    <definedName name="CCName14">#REF!</definedName>
    <definedName name="CCName15" localSheetId="1">[19]Library!$C$41</definedName>
    <definedName name="CCName15">#REF!</definedName>
    <definedName name="CCName16" localSheetId="1">[19]Library!$C$42</definedName>
    <definedName name="CCName16">#REF!</definedName>
    <definedName name="CCName17" localSheetId="1">[19]Library!$C$43</definedName>
    <definedName name="CCName17">#REF!</definedName>
    <definedName name="CCName18" localSheetId="1">[19]Library!$C$44</definedName>
    <definedName name="CCName18">#REF!</definedName>
    <definedName name="CCName19" localSheetId="1">[19]Library!$C$45</definedName>
    <definedName name="CCName19">#REF!</definedName>
    <definedName name="CCName20" localSheetId="1">[19]Library!$C$46</definedName>
    <definedName name="CCName20">#REF!</definedName>
    <definedName name="CCName21" localSheetId="1">[19]Library!$C$47</definedName>
    <definedName name="CCName21">#REF!</definedName>
    <definedName name="CCName22" localSheetId="1">[19]Library!$C$48</definedName>
    <definedName name="CCName22">#REF!</definedName>
    <definedName name="CCName23" localSheetId="1">[19]Library!$C$49</definedName>
    <definedName name="CCName23">#REF!</definedName>
    <definedName name="CCName24" localSheetId="1">[19]Library!$C$50</definedName>
    <definedName name="CCName24">#REF!</definedName>
    <definedName name="CCName25" localSheetId="1">[19]Library!$C$51</definedName>
    <definedName name="CCName25">#REF!</definedName>
    <definedName name="CCName26" localSheetId="1">[19]Library!$C$52</definedName>
    <definedName name="CCName26">#REF!</definedName>
    <definedName name="CCName27" localSheetId="1">[19]Library!$C$53</definedName>
    <definedName name="CCName27">#REF!</definedName>
    <definedName name="CCName28" localSheetId="1">[19]Library!$C$54</definedName>
    <definedName name="CCName28">#REF!</definedName>
    <definedName name="CCName29" localSheetId="1">[19]Library!$C$55</definedName>
    <definedName name="CCName29">#REF!</definedName>
    <definedName name="CCName30" localSheetId="1">[19]Library!$C$56</definedName>
    <definedName name="CCName30">#REF!</definedName>
    <definedName name="CCName31" localSheetId="1">[19]Library!$C$57</definedName>
    <definedName name="CCName31">#REF!</definedName>
    <definedName name="CCName32" localSheetId="1">[19]Library!$C$58</definedName>
    <definedName name="CCName32">#REF!</definedName>
    <definedName name="CCName33" localSheetId="1">[19]Library!$C$59</definedName>
    <definedName name="CCName33">#REF!</definedName>
    <definedName name="CCName34" localSheetId="1">[19]Library!$C$60</definedName>
    <definedName name="CCName34">#REF!</definedName>
    <definedName name="CCName35" localSheetId="1">[19]Library!$C$61</definedName>
    <definedName name="CCName35">#REF!</definedName>
    <definedName name="CCName36" localSheetId="1">[19]Library!$C$62</definedName>
    <definedName name="CCName36">#REF!</definedName>
    <definedName name="CCName37" localSheetId="1">[19]Library!$C$63</definedName>
    <definedName name="CCName37">#REF!</definedName>
    <definedName name="CCName38" localSheetId="1">[19]Library!$C$64</definedName>
    <definedName name="CCName38">#REF!</definedName>
    <definedName name="CCName39" localSheetId="1">[19]Library!$C$65</definedName>
    <definedName name="CCName39">#REF!</definedName>
    <definedName name="CCName40" localSheetId="1">[19]Library!$C$66</definedName>
    <definedName name="CCName40">#REF!</definedName>
    <definedName name="CCName41" localSheetId="1">[19]Library!$C$67</definedName>
    <definedName name="CCName41">#REF!</definedName>
    <definedName name="CCName42" localSheetId="1">[19]Library!$C$68</definedName>
    <definedName name="CCName42">#REF!</definedName>
    <definedName name="CCName43" localSheetId="1">[19]Library!$C$69</definedName>
    <definedName name="CCName43">#REF!</definedName>
    <definedName name="CCName44" localSheetId="1">[19]Library!$C$70</definedName>
    <definedName name="CCName44">#REF!</definedName>
    <definedName name="CCName45" localSheetId="1">[19]Library!$C$71</definedName>
    <definedName name="CCName45">#REF!</definedName>
    <definedName name="CCName46" localSheetId="1">[19]Library!$C$72</definedName>
    <definedName name="CCName46">#REF!</definedName>
    <definedName name="CCName47" localSheetId="1">[19]Library!$C$73</definedName>
    <definedName name="CCName47">#REF!</definedName>
    <definedName name="CCName48" localSheetId="1">[19]Library!$C$74</definedName>
    <definedName name="CCName48">#REF!</definedName>
    <definedName name="CCName49" localSheetId="1">[19]Library!$C$75</definedName>
    <definedName name="CCName49">#REF!</definedName>
    <definedName name="CCName50" localSheetId="1">[19]Library!$C$76</definedName>
    <definedName name="CCName50">#REF!</definedName>
    <definedName name="CCName51" localSheetId="1">[19]Library!$C$77</definedName>
    <definedName name="CCName51">#REF!</definedName>
    <definedName name="CCName52" localSheetId="1">[19]Library!$C$78</definedName>
    <definedName name="CCName52">#REF!</definedName>
    <definedName name="CCName53" localSheetId="1">[19]Library!$C$79</definedName>
    <definedName name="CCName53">#REF!</definedName>
    <definedName name="CCName54" localSheetId="1">[19]Library!$C$80</definedName>
    <definedName name="CCName54">#REF!</definedName>
    <definedName name="CCName55" localSheetId="1">[19]Library!$C$81</definedName>
    <definedName name="CCName55">#REF!</definedName>
    <definedName name="CCName56" localSheetId="1">[19]Library!$C$82</definedName>
    <definedName name="CCName56">#REF!</definedName>
    <definedName name="CCName57" localSheetId="1">[19]Library!$C$83</definedName>
    <definedName name="CCName57">#REF!</definedName>
    <definedName name="CCName58" localSheetId="1">[19]Library!$C$84</definedName>
    <definedName name="CCName58">#REF!</definedName>
    <definedName name="CCName59" localSheetId="1">[19]Library!$C$85</definedName>
    <definedName name="CCName59">#REF!</definedName>
    <definedName name="CCName60" localSheetId="1">[19]Library!$C$86</definedName>
    <definedName name="CCName60">#REF!</definedName>
    <definedName name="CCName61" localSheetId="1">[19]Library!$C$87</definedName>
    <definedName name="CCName61">#REF!</definedName>
    <definedName name="CCName62" localSheetId="1">[19]Library!$C$88</definedName>
    <definedName name="CCName62">#REF!</definedName>
    <definedName name="CCName63" localSheetId="1">[19]Library!$C$89</definedName>
    <definedName name="CCName63">#REF!</definedName>
    <definedName name="CCName64" localSheetId="1">[19]Library!$C$90</definedName>
    <definedName name="CCName64">#REF!</definedName>
    <definedName name="CCName65" localSheetId="1">[19]Library!$C$91</definedName>
    <definedName name="CCName65">#REF!</definedName>
    <definedName name="CCName66" localSheetId="1">[19]Library!$C$92</definedName>
    <definedName name="CCName66">#REF!</definedName>
    <definedName name="CCName67" localSheetId="1">[19]Library!$C$93</definedName>
    <definedName name="CCName67">#REF!</definedName>
    <definedName name="CCName68" localSheetId="1">[19]Library!$C$94</definedName>
    <definedName name="CCName68">#REF!</definedName>
    <definedName name="CCName69" localSheetId="1">[19]Library!$C$95</definedName>
    <definedName name="CCName69">#REF!</definedName>
    <definedName name="CCName70" localSheetId="1">[19]Library!$C$96</definedName>
    <definedName name="CCName70">#REF!</definedName>
    <definedName name="cd" localSheetId="1" hidden="1">[40]Deals!#REF!</definedName>
    <definedName name="cd" hidden="1">#REF!</definedName>
    <definedName name="CDR" localSheetId="1">'[25]Model Inputs'!$H$19</definedName>
    <definedName name="CDR">#REF!</definedName>
    <definedName name="cdsc" localSheetId="3" hidden="1">{#N/A,#N/A,FALSE,"FFCXOUT3"}</definedName>
    <definedName name="cdsc" localSheetId="1" hidden="1">{#N/A,#N/A,FALSE,"FFCXOUT3"}</definedName>
    <definedName name="cdsc" hidden="1">{#N/A,#N/A,FALSE,"FFCXOUT3"}</definedName>
    <definedName name="cdswdw" localSheetId="1" hidden="1">[40]Deals!#REF!</definedName>
    <definedName name="cdswdw" hidden="1">#REF!</definedName>
    <definedName name="CertaintyE" localSheetId="1">'[13]MDY Model'!$C$71</definedName>
    <definedName name="CertaintyE">#REF!</definedName>
    <definedName name="CFMO" localSheetId="1">'[14]CF by month'!$I$1:$W$66</definedName>
    <definedName name="CFMO">#REF!</definedName>
    <definedName name="CFWK" localSheetId="1">'[14]CF by month'!$H$88:$BS$152</definedName>
    <definedName name="CFWK">#REF!</definedName>
    <definedName name="chao" hidden="1">255</definedName>
    <definedName name="ChooseTitle" localSheetId="1">'[41]Base Data'!$AY$1</definedName>
    <definedName name="ChooseTitle">#REF!</definedName>
    <definedName name="CIQWBGuid" hidden="1">"Antares Debt Activity Tracker_Updated_2.xlsx"</definedName>
    <definedName name="ClientMultiple" localSheetId="1">'[42]PBC Data'!$J$3:$J$196</definedName>
    <definedName name="ClientMultiple">#REF!</definedName>
    <definedName name="ClientValue" localSheetId="1">'[42]PBC Data'!$K$3:$K$196</definedName>
    <definedName name="ClientValue">#REF!</definedName>
    <definedName name="clo"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'[20]Collateral Obligation Amount'!$A$9:$T$1730</definedName>
    <definedName name="Coll_Obl_Amount_TBL">#REF!</definedName>
    <definedName name="Collater_Cust_fee_cap" localSheetId="1">[20]Inputs!$D$67</definedName>
    <definedName name="Collater_Cust_fee_cap">#REF!</definedName>
    <definedName name="ComboCoupon" localSheetId="1">'[13]Cash Flow Summary'!$AS$99</definedName>
    <definedName name="ComboCoupon">#REF!</definedName>
    <definedName name="ComboCouponType" localSheetId="1">'[13]Cash Flow Summary'!$AU$99</definedName>
    <definedName name="ComboCouponType">#REF!</definedName>
    <definedName name="ComboEqHaircut" localSheetId="1">'[13]Cash Flow Summary'!$AU$92</definedName>
    <definedName name="ComboEqHaircut">#REF!</definedName>
    <definedName name="ComboTargetRating" localSheetId="1">'[13]Cash Flow Summary'!$AS$91</definedName>
    <definedName name="ComboTargetRating">#REF!</definedName>
    <definedName name="ComboTrancheBal" localSheetId="1">'[13]Cash Flow Summary'!$AS$101</definedName>
    <definedName name="ComboTrancheBal">#REF!</definedName>
    <definedName name="CompACR_asof_Reinvest_Prd_clause_i" localSheetId="1">[20]Inputs!$E$13</definedName>
    <definedName name="CompACR_asof_Reinvest_Prd_clause_i">#REF!</definedName>
    <definedName name="CompanyDescription" localSheetId="1">'[42]PBC Data'!$CV$3:$CV$196</definedName>
    <definedName name="CompanyDescription">#REF!</definedName>
    <definedName name="CompanyName" hidden="1">#REF!</definedName>
    <definedName name="CompanyType" localSheetId="1">'[42]PBC Data'!$FV$3:$FV$196</definedName>
    <definedName name="CompanyType">#REF!</definedName>
    <definedName name="Compliance_ACR" localSheetId="1">[20]Ratios!$J$30</definedName>
    <definedName name="Compliance_ACR">#REF!</definedName>
    <definedName name="compnam" localSheetId="1" hidden="1">[43]KeyMultInputs!#REF!</definedName>
    <definedName name="compnam" hidden="1">#REF!</definedName>
    <definedName name="CostCenterSelectionRange" localSheetId="1">[19]Library!$C$27:$C$96</definedName>
    <definedName name="CostCenterSelectionRange">#REF!</definedName>
    <definedName name="Counterparty_Excess" localSheetId="1">'[20]Hedge Counterparty'!$M$4:$R$54</definedName>
    <definedName name="Counterparty_Excess">#REF!</definedName>
    <definedName name="Counterparty_Excess_Facility_Level" localSheetId="1">'[20]Hedge Counterparty'!$A$4:$J$1504</definedName>
    <definedName name="Counterparty_Excess_Facility_Level">#REF!</definedName>
    <definedName name="Cov_Lite__YN" localSheetId="1">'[27]CCLP Portfolio'!$AT$4:$AT$113</definedName>
    <definedName name="Cov_Lite__YN">#REF!</definedName>
    <definedName name="Cube" localSheetId="1">[32]Start!$C$7</definedName>
    <definedName name="Cube">#REF!</definedName>
    <definedName name="cur_CDOR" localSheetId="1">[20]Inputs!$E$6</definedName>
    <definedName name="cur_CDOR">#REF!</definedName>
    <definedName name="cur_LIBOR" localSheetId="1">[20]Inputs!$E$7</definedName>
    <definedName name="cur_LIBOR">#REF!</definedName>
    <definedName name="current_Batch" localSheetId="1">'[25]Orig Collateral'!$E$7</definedName>
    <definedName name="current_Batch">#REF!</definedName>
    <definedName name="current_Group" localSheetId="1">'[25]Orig Collateral'!$E$9</definedName>
    <definedName name="current_Group">#REF!</definedName>
    <definedName name="CurrentEmployeeRange" localSheetId="1">'[19]C&amp;B - Current FTE'!$A$20:$P$516</definedName>
    <definedName name="CurrentEmployeeRange">#REF!</definedName>
    <definedName name="CurrentYearRetrRange" localSheetId="1">[19]Library!$C$8:$D$19</definedName>
    <definedName name="CurrentYearRetrRange">#REF!</definedName>
    <definedName name="CURRpd" localSheetId="1">[44]DATABASE!$A$2</definedName>
    <definedName name="CURRpd">#REF!</definedName>
    <definedName name="curse" localSheetId="1" hidden="1">[45]Inputs!$G$8</definedName>
    <definedName name="curse" hidden="1">#REF!</definedName>
    <definedName name="Cwvu.GREY_ALL." localSheetId="1" hidden="1">[46]Sheet2!#REF!</definedName>
    <definedName name="Cwvu.GREY_ALL." hidden="1">#REF!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'[20]External Spreadsheet Layout'!$A$2:$CJ$1502</definedName>
    <definedName name="Data_query">#REF!</definedName>
    <definedName name="DATA1A" localSheetId="1">'[47]Switches for Returns Summary'!$J$8:$M$14</definedName>
    <definedName name="DATA1A">#REF!</definedName>
    <definedName name="DATA1B" localSheetId="1">'[47]Switches for Returns Summary'!$K$9:$M$14</definedName>
    <definedName name="DATA1B">#REF!</definedName>
    <definedName name="DATA3A" localSheetId="1">'[47]Switches for Returns Summary'!$J$17:$M$23</definedName>
    <definedName name="DATA3A">#REF!</definedName>
    <definedName name="DATA3B" localSheetId="1">'[47]Switches for Returns Summary'!$K$18:$M$23</definedName>
    <definedName name="DATA3B">#REF!</definedName>
    <definedName name="DATA4A" localSheetId="1">'[47]Switches for Returns Summary'!$J$28:$M$34</definedName>
    <definedName name="DATA4A">#REF!</definedName>
    <definedName name="DATA4B" localSheetId="1">'[47]Switches for Returns Summary'!$K$29:$M$34</definedName>
    <definedName name="DATA4B">#REF!</definedName>
    <definedName name="_xlnm.Database" localSheetId="1">[32]Start!$C$1</definedName>
    <definedName name="_xlnm.Database">#REF!</definedName>
    <definedName name="datadownfour" localSheetId="1" hidden="1">'[48]WP_Hist ABC'!#REF!</definedName>
    <definedName name="datadownfour" hidden="1">#REF!</definedName>
    <definedName name="datadownone" localSheetId="1" hidden="1">'[48]WP_Hist ABC'!#REF!</definedName>
    <definedName name="datadownone" hidden="1">#REF!</definedName>
    <definedName name="datadownthree" localSheetId="1" hidden="1">'[48]WP_Hist ABC'!#REF!</definedName>
    <definedName name="datadownthree" hidden="1">#REF!</definedName>
    <definedName name="datadowntwo" localSheetId="1" hidden="1">'[48]WP_Hist ABC'!#REF!</definedName>
    <definedName name="datadowntwo" hidden="1">#REF!</definedName>
    <definedName name="datatoggle" localSheetId="1" hidden="1">'[48]WP_Hist ABC'!#REF!</definedName>
    <definedName name="datatoggle" hidden="1">#REF!</definedName>
    <definedName name="datatoggletwo" localSheetId="1" hidden="1">'[48]WP_Hist ABC'!#REF!</definedName>
    <definedName name="datatoggletwo" hidden="1">#REF!</definedName>
    <definedName name="DataValDate" localSheetId="1" hidden="1">'[48]WP_Hist ABC'!#REF!</definedName>
    <definedName name="DataValDate" hidden="1">#REF!</definedName>
    <definedName name="datavaldate2" localSheetId="1" hidden="1">'[48]WP_Hist ABC'!#REF!</definedName>
    <definedName name="datavaldate2" hidden="1">#REF!</definedName>
    <definedName name="datavaldate3" localSheetId="1" hidden="1">'[48]WP_Hist ABC'!#REF!</definedName>
    <definedName name="datavaldate3" hidden="1">#REF!</definedName>
    <definedName name="date" localSheetId="1">[49]Assumptions!$H$6</definedName>
    <definedName name="date">#REF!</definedName>
    <definedName name="DateHY">OFFSET(#REF!,COUNTA(#REF!)-1,0,-254,1)</definedName>
    <definedName name="DateLoans">OFFSET(#REF!,COUNTA(#REF!)-3,0,-60,1)</definedName>
    <definedName name="Dates" localSheetId="1">[50]Dates!$A$3:$K$99</definedName>
    <definedName name="Dates">#REF!</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3" hidden="1">{"LIBOR",#N/A,TRUE,"Model";"Caps",#N/A,TRUE,"Model";"Assets",#N/A,TRUE,"Model";"Liabilities",#N/A,TRUE,"Model";"Tests",#N/A,TRUE,"Model";"Results",#N/A,TRUE,"Model"}</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3"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3"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3"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3"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3"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3"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3"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3"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3"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3"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3"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3"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3"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3"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3"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3"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3"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3"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3"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3"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3"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3"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3"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3"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3"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3"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3"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3"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3"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3"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3"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3"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[51]DBBUD95!$A$9:$AR$124</definedName>
    <definedName name="dbbud95">#REF!</definedName>
    <definedName name="dcf.depre.ads.sl" localSheetId="1">[29]Settings!$U$157</definedName>
    <definedName name="dcf.depre.ads.sl">#REF!</definedName>
    <definedName name="dcf.depre.gds.150db" localSheetId="1">[29]Settings!$U$158</definedName>
    <definedName name="dcf.depre.gds.150db">#REF!</definedName>
    <definedName name="dcf.depre.gds.ddb" localSheetId="1">[29]Settings!$U$159</definedName>
    <definedName name="dcf.depre.gds.ddb">#REF!</definedName>
    <definedName name="dcf.depre.gds.sl" localSheetId="1">[29]Settings!$U$156</definedName>
    <definedName name="dcf.depre.gds.sl">#REF!</definedName>
    <definedName name="dcf.depre.kpmg" localSheetId="1">[29]Settings!$U$44</definedName>
    <definedName name="dcf.depre.kpmg">#REF!</definedName>
    <definedName name="dcf.depre.pbc" localSheetId="1">[29]Settings!$U$43</definedName>
    <definedName name="dcf.depre.pbc">#REF!</definedName>
    <definedName name="dcf.depre.ru1.select" localSheetId="1">[29]Settings!$H$47</definedName>
    <definedName name="dcf.depre.ru1.select">#REF!</definedName>
    <definedName name="dcf.depre.ru2.select" localSheetId="1">[29]Settings!$J$125</definedName>
    <definedName name="dcf.depre.ru2.select">#REF!</definedName>
    <definedName name="dcf.depre.ru3.select" localSheetId="1">[29]Settings!$M$125</definedName>
    <definedName name="dcf.depre.ru3.select">#REF!</definedName>
    <definedName name="dcf.discount.ru2" localSheetId="1">[29]DCF.RU2!$L$76</definedName>
    <definedName name="dcf.discount.ru2">#REF!</definedName>
    <definedName name="dcf.discount.ru3" localSheetId="1">[29]DCF.RU3!$L$76</definedName>
    <definedName name="dcf.discount.ru3">#REF!</definedName>
    <definedName name="dcf.gs.change.ru2" localSheetId="1">[29]DCF.RU2!$L$77</definedName>
    <definedName name="dcf.gs.change.ru2">#REF!</definedName>
    <definedName name="dcf.gs.change.ru3" localSheetId="1">[29]DCF.RU3!$L$77</definedName>
    <definedName name="dcf.gs.change.ru3">#REF!</definedName>
    <definedName name="dcf.length" localSheetId="1">[29]Settings!$I$35</definedName>
    <definedName name="dcf.length">#REF!</definedName>
    <definedName name="dcf.nol.kpmg" localSheetId="1">[29]Settings!$U$61</definedName>
    <definedName name="dcf.nol.kpmg">#REF!</definedName>
    <definedName name="dcf.nol.ru1.select" localSheetId="1">[29]Settings!$H$57</definedName>
    <definedName name="dcf.nol.ru1.select">#REF!</definedName>
    <definedName name="dcf.nol.ru2.select" localSheetId="1">[29]Settings!$J$135</definedName>
    <definedName name="dcf.nol.ru2.select">#REF!</definedName>
    <definedName name="dcf.nol.ru3.select" localSheetId="1">[29]Settings!$M$135</definedName>
    <definedName name="dcf.nol.ru3.select">#REF!</definedName>
    <definedName name="dcf.nwc.cashfree" localSheetId="1">[29]Settings!$U$40</definedName>
    <definedName name="dcf.nwc.cashfree">#REF!</definedName>
    <definedName name="dcf.nwc.select" localSheetId="1">[29]Settings!$H$43</definedName>
    <definedName name="dcf.nwc.select">#REF!</definedName>
    <definedName name="dcf.tax.select" localSheetId="1">[29]Settings!$H$41</definedName>
    <definedName name="dcf.tax.select">#REF!</definedName>
    <definedName name="dcf.tax.statutory" localSheetId="1">[29]Settings!$U$38</definedName>
    <definedName name="dcf.tax.statutory">#REF!</definedName>
    <definedName name="dcf.tax.year" localSheetId="1">[29]Statutory!$B$8</definedName>
    <definedName name="dcf.tax.year">#REF!</definedName>
    <definedName name="dcf.tv.capex.ru1" localSheetId="1">[29]Settings!$I$51</definedName>
    <definedName name="dcf.tv.capex.ru1">#REF!</definedName>
    <definedName name="dcf.tv.capex.ru2" localSheetId="1">[29]Settings!$K$129</definedName>
    <definedName name="dcf.tv.capex.ru2">#REF!</definedName>
    <definedName name="dcf.tv.capex.ru3" localSheetId="1">[29]Settings!$N$129</definedName>
    <definedName name="dcf.tv.capex.ru3">#REF!</definedName>
    <definedName name="dcf.tv.ebitda.x.ru1" localSheetId="1">[29]Settings!$I$55</definedName>
    <definedName name="dcf.tv.ebitda.x.ru1">#REF!</definedName>
    <definedName name="dcf.tv.hm.g.ru1" localSheetId="1">[29]Settings!$I$53</definedName>
    <definedName name="dcf.tv.hm.g.ru1">#REF!</definedName>
    <definedName name="dcf.tv.hm.years.ru1" localSheetId="1">[29]Settings!$H$53</definedName>
    <definedName name="dcf.tv.hm.years.ru1">#REF!</definedName>
    <definedName name="dcf.tv.method.gordon" localSheetId="1">[29]Settings!$U$45</definedName>
    <definedName name="dcf.tv.method.gordon">#REF!</definedName>
    <definedName name="dcf.tv.method.hm" localSheetId="1">[29]Settings!$U$46</definedName>
    <definedName name="dcf.tv.method.hm">#REF!</definedName>
    <definedName name="dcf.tv.method.rev" localSheetId="1">[29]Settings!$U$47</definedName>
    <definedName name="dcf.tv.method.rev">#REF!</definedName>
    <definedName name="dcf.tv.rev.x.ru1" localSheetId="1">[29]Settings!$H$55</definedName>
    <definedName name="dcf.tv.rev.x.ru1">#REF!</definedName>
    <definedName name="dcf.tv.ru1.select" localSheetId="1">[29]Settings!$H$49</definedName>
    <definedName name="dcf.tv.ru1.select">#REF!</definedName>
    <definedName name="dd" localSheetId="3" hidden="1">{"by departments",#N/A,TRUE,"FORECAST";"cap_headcount",#N/A,TRUE,"FORECAST";"summary",#N/A,TRUE,"FORECAST"}</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3"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[52]Main!$C$4</definedName>
    <definedName name="DealName">#REF!</definedName>
    <definedName name="debtpref" localSheetId="1" hidden="1">'[48]WP_Hist ABC'!#REF!</definedName>
    <definedName name="debtpref" hidden="1">#REF!</definedName>
    <definedName name="Def_Loan_Cost" localSheetId="1">'[36]1180 - Deferred Loan Costs'!$H$27</definedName>
    <definedName name="Def_Loan_Cost">#REF!</definedName>
    <definedName name="Def_Loan_Cost_Amort" localSheetId="1">'[36]1180 - Deferred Loan Costs'!$H$28</definedName>
    <definedName name="Def_Loan_Cost_Amort">#REF!</definedName>
    <definedName name="Def_Struc_Cost" localSheetId="1">'[36]1500 - Cap Structure Fees'!$H$17</definedName>
    <definedName name="Def_Struc_Cost">#REF!</definedName>
    <definedName name="Def_Struc_Cost_Amort" localSheetId="1">'[36]1500 - Cap Structure Fees'!$H$18</definedName>
    <definedName name="Def_Struc_Cost_Amort">#REF!</definedName>
    <definedName name="Default_ACR" localSheetId="1">[20]Ratios!$J$31</definedName>
    <definedName name="Default_ACR">#REF!</definedName>
    <definedName name="del" localSheetId="3" hidden="1">{"Reset Data",#N/A,FALSE,"Reset Notice";"Reset Notice",#N/A,FALSE,"Reset Notice"}</definedName>
    <definedName name="del" localSheetId="1" hidden="1">{"Reset Data",#N/A,FALSE,"Reset Notice";"Reset Notice",#N/A,FALSE,"Reset Notice"}</definedName>
    <definedName name="del" hidden="1">{"Reset Data",#N/A,FALSE,"Reset Notice";"Reset Notice",#N/A,FALSE,"Reset Notice"}</definedName>
    <definedName name="del_1" localSheetId="3"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3"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3"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3"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3"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3"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3"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3"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3"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3"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3"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3"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3"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3"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3"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3"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3"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3"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3"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3"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3"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3"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3"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3"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3"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3"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3"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3"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3"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3"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3"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3"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3"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3"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3"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3"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3"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3"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3"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3"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3"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3"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3"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3"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3"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3"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3"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3"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3"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3"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3"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3"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3"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3"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3"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3"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3"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3"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3"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3"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3"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3"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3"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3"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[24]Portfolio!#REF!</definedName>
    <definedName name="dfghdfgjdj" hidden="1">#REF!</definedName>
    <definedName name="dfgjdfgjdfgjd" localSheetId="1" hidden="1">[22]Industry!#REF!</definedName>
    <definedName name="dfgjdfgjdfgjd" hidden="1">#REF!</definedName>
    <definedName name="dfgjdfjyd6" localSheetId="1" hidden="1">[22]Industry!#REF!</definedName>
    <definedName name="dfgjdfjyd6" hidden="1">#REF!</definedName>
    <definedName name="dfh" hidden="1">#REF!</definedName>
    <definedName name="dhfghdfhdfgh" localSheetId="1" hidden="1">[24]Portfolio!#REF!</definedName>
    <definedName name="dhfghdfhdfgh" hidden="1">#REF!</definedName>
    <definedName name="Diversity_Table" localSheetId="1">[27]Tables!$H$7:$I$209</definedName>
    <definedName name="Diversity_Table">#REF!</definedName>
    <definedName name="Dow" hidden="1">41414.6390972222</definedName>
    <definedName name="E"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[32]Start!$C$23</definedName>
    <definedName name="EastEurope">#REF!</definedName>
    <definedName name="ECNOFIBRAS" localSheetId="3" hidden="1">{"'PXR_6500'!$A$1:$I$124"}</definedName>
    <definedName name="ECNOFIBRAS" localSheetId="1" hidden="1">{"'PXR_6500'!$A$1:$I$124"}</definedName>
    <definedName name="ECNOFIBRAS" hidden="1">{"'PXR_6500'!$A$1:$I$124"}</definedName>
    <definedName name="ECNOFIBRAS2" localSheetId="3" hidden="1">{"'PXR_6500'!$A$1:$I$124"}</definedName>
    <definedName name="ECNOFIBRAS2" localSheetId="1" hidden="1">{"'PXR_6500'!$A$1:$I$124"}</definedName>
    <definedName name="ECNOFIBRAS2" hidden="1">{"'PXR_6500'!$A$1:$I$124"}</definedName>
    <definedName name="Effective_date" localSheetId="1">[20]Inputs!$B$16</definedName>
    <definedName name="Effective_date">#REF!</definedName>
    <definedName name="Effective_Spread" localSheetId="1">'[27]CCLP Portfolio'!$T$4:$T$113</definedName>
    <definedName name="Effective_Spread">#REF!</definedName>
    <definedName name="elementary2" localSheetId="1">'[53]Market Data(I)'!$C$33:$P$5151</definedName>
    <definedName name="elementary2">#REF!</definedName>
    <definedName name="Elimination" localSheetId="1">[32]Start!$C$36</definedName>
    <definedName name="Elimination">#REF!</definedName>
    <definedName name="End_Accrual_Period" localSheetId="1">[20]Inputs!$B$14</definedName>
    <definedName name="End_Accrual_Period">#REF!</definedName>
    <definedName name="End_Accrual_Period_CAD" localSheetId="1">[54]Inputs!$C$14</definedName>
    <definedName name="End_Accrual_Period_CAD">#REF!</definedName>
    <definedName name="End_of_Collction_Prd" localSheetId="1">[20]Inputs!$B$12</definedName>
    <definedName name="End_of_Collction_Prd">#REF!</definedName>
    <definedName name="enrollments" localSheetId="1">'[53]Market Data(I)'!$C$33:$M$51</definedName>
    <definedName name="enrollments">#REF!</definedName>
    <definedName name="EntryDate" localSheetId="1">'[42]PBC Data'!$EA$3:$EA$196</definedName>
    <definedName name="EntryDate">#REF!</definedName>
    <definedName name="EntryMultiple" localSheetId="1">'[42]PBC Data'!$EB$3:$EB$196</definedName>
    <definedName name="EntryMultiple">#REF!</definedName>
    <definedName name="EOD_Begin" localSheetId="1">[20]Inputs!$E$10</definedName>
    <definedName name="EOD_Begin">#REF!</definedName>
    <definedName name="EOD_End" localSheetId="1">[20]Inputs!$E$11</definedName>
    <definedName name="EOD_End">#REF!</definedName>
    <definedName name="epsltm" localSheetId="1" hidden="1">'[48]WP_Hist ABC'!#REF!</definedName>
    <definedName name="epsltm" hidden="1">#REF!</definedName>
    <definedName name="Equity" localSheetId="1">'[42]PBC Data'!$FX$3:$FX$196</definedName>
    <definedName name="Equity">#REF!</definedName>
    <definedName name="EquityType" localSheetId="1">'[42]PBC Data'!$F$3:$F$196</definedName>
    <definedName name="EquityType">#REF!</definedName>
    <definedName name="EqValue2" localSheetId="1">'[33]Cash Flow Summary'!$BY$11</definedName>
    <definedName name="EqValue2">#REF!</definedName>
    <definedName name="ev.Calculation" hidden="1">-4105</definedName>
    <definedName name="ev.dcf.ru1.check" localSheetId="1">[29]Settings!$G$119</definedName>
    <definedName name="ev.dcf.ru1.check">#REF!</definedName>
    <definedName name="ev.dcf.ru2.check" localSheetId="1">[29]Settings!$J$119</definedName>
    <definedName name="ev.dcf.ru2.check">#REF!</definedName>
    <definedName name="ev.dcf.ru3.check" localSheetId="1">[29]Settings!$M$119</definedName>
    <definedName name="ev.dcf.ru3.check">#REF!</definedName>
    <definedName name="ev.gmac.ru1.check" localSheetId="1">[29]Settings!$G$147</definedName>
    <definedName name="ev.gmac.ru1.check">#REF!</definedName>
    <definedName name="ev.gmac.ru2.check" localSheetId="1">[29]Settings!$J$147</definedName>
    <definedName name="ev.gmac.ru2.check">#REF!</definedName>
    <definedName name="ev.gmac.ru3.check" localSheetId="1">[29]Settings!$M$147</definedName>
    <definedName name="ev.gmac.ru3.check">#REF!</definedName>
    <definedName name="ev.gmac.xmetric.ru1.select" localSheetId="1">[29]Settings!$G$149</definedName>
    <definedName name="ev.gmac.xmetric.ru1.select">#REF!</definedName>
    <definedName name="ev.gmac.xmetric.ru2.select" localSheetId="1">[29]Settings!$J$149</definedName>
    <definedName name="ev.gmac.xmetric.ru2.select">#REF!</definedName>
    <definedName name="ev.gmac.xmetric.ru3.select" localSheetId="1">[29]Settings!$M$149</definedName>
    <definedName name="ev.gmac.xmetric.ru3.select">#REF!</definedName>
    <definedName name="ev.gpc.ru1.check" localSheetId="1">[29]Settings!$G$137</definedName>
    <definedName name="ev.gpc.ru1.check">#REF!</definedName>
    <definedName name="ev.gpc.ru2.check" localSheetId="1">[29]Settings!$J$137</definedName>
    <definedName name="ev.gpc.ru2.check">#REF!</definedName>
    <definedName name="ev.gpc.ru3.check" localSheetId="1">[29]Settings!$M$137</definedName>
    <definedName name="ev.gpc.ru3.check">#REF!</definedName>
    <definedName name="ev.gpc.x.lcy" localSheetId="1">[29]Settings!$U$89</definedName>
    <definedName name="ev.gpc.x.lcy">#REF!</definedName>
    <definedName name="ev.gpc.x.lfy" localSheetId="1">[29]Settings!$U$88</definedName>
    <definedName name="ev.gpc.x.lfy">#REF!</definedName>
    <definedName name="ev.gpc.x.ncy" localSheetId="1">[29]Settings!$U$91</definedName>
    <definedName name="ev.gpc.x.ncy">#REF!</definedName>
    <definedName name="ev.gpc.x.nfy" localSheetId="1">[29]Settings!$U$90</definedName>
    <definedName name="ev.gpc.x.nfy">#REF!</definedName>
    <definedName name="ev.gpc.x.ttm" localSheetId="1">[29]Settings!$U$87</definedName>
    <definedName name="ev.gpc.x.ttm">#REF!</definedName>
    <definedName name="ev.gpc.x1.ru1.select" localSheetId="1">[29]Settings!$G$141</definedName>
    <definedName name="ev.gpc.x1.ru1.select">#REF!</definedName>
    <definedName name="ev.gpc.x1.ru2.select" localSheetId="1">[29]Settings!$J$141</definedName>
    <definedName name="ev.gpc.x1.ru2.select">#REF!</definedName>
    <definedName name="ev.gpc.x1.ru3.select" localSheetId="1">[29]Settings!$M$141</definedName>
    <definedName name="ev.gpc.x1.ru3.select">#REF!</definedName>
    <definedName name="ev.gpc.x1.year.ru1.select" localSheetId="1">[29]Settings!$G$143</definedName>
    <definedName name="ev.gpc.x1.year.ru1.select">#REF!</definedName>
    <definedName name="ev.gpc.x1.year.ru2.select" localSheetId="1">[29]Settings!$J$143</definedName>
    <definedName name="ev.gpc.x1.year.ru2.select">#REF!</definedName>
    <definedName name="ev.gpc.x1.year.ru3.select" localSheetId="1">[29]Settings!$M$143</definedName>
    <definedName name="ev.gpc.x1.year.ru3.select">#REF!</definedName>
    <definedName name="ev.gpc.x2.ru1.select" localSheetId="1">[29]Settings!$H$141</definedName>
    <definedName name="ev.gpc.x2.ru1.select">#REF!</definedName>
    <definedName name="ev.gpc.x2.ru2.select" localSheetId="1">[29]Settings!$K$141</definedName>
    <definedName name="ev.gpc.x2.ru2.select">#REF!</definedName>
    <definedName name="ev.gpc.x2.ru3.select" localSheetId="1">[29]Settings!$N$141</definedName>
    <definedName name="ev.gpc.x2.ru3.select">#REF!</definedName>
    <definedName name="ev.gpc.x2.year.ru2.select" localSheetId="1">[29]Settings!$K$143</definedName>
    <definedName name="ev.gpc.x2.year.ru2.select">#REF!</definedName>
    <definedName name="ev.gpc.x2.year.ru3.select" localSheetId="1">[29]Settings!$N$143</definedName>
    <definedName name="ev.gpc.x2.year.ru3.select">#REF!</definedName>
    <definedName name="ev.gpc.xmetric.ru1.select" localSheetId="1">[29]Settings!$G$139</definedName>
    <definedName name="ev.gpc.xmetric.ru1.select">#REF!</definedName>
    <definedName name="ev.gpc.xmetric.ru2.select" localSheetId="1">[29]Settings!$J$139</definedName>
    <definedName name="ev.gpc.xmetric.ru2.select">#REF!</definedName>
    <definedName name="ev.gpc.xmetric.ru3.select" localSheetId="1">[29]Settings!$M$139</definedName>
    <definedName name="ev.gpc.xmetric.ru3.select">#REF!</definedName>
    <definedName name="ev.gpc.year.current" localSheetId="1">[29]Settings!$U$93</definedName>
    <definedName name="ev.gpc.year.current">#REF!</definedName>
    <definedName name="ev.gpc.year.next" localSheetId="1">[29]Settings!$U$94</definedName>
    <definedName name="ev.gpc.year.next">#REF!</definedName>
    <definedName name="ev.Initialized" hidden="1">FALSE</definedName>
    <definedName name="ev.metric.bev" localSheetId="1">[29]Settings!$U$16</definedName>
    <definedName name="ev.metric.bev">#REF!</definedName>
    <definedName name="ev.metric.select" localSheetId="1">[29]Settings!$G$113</definedName>
    <definedName name="ev.metric.select">#REF!</definedName>
    <definedName name="ev.metric.tic" localSheetId="1">[29]Settings!$U$15</definedName>
    <definedName name="ev.metric.tic">#REF!</definedName>
    <definedName name="ev.nci.ru1.check" localSheetId="1">[29]Settings!$G$151</definedName>
    <definedName name="ev.nci.ru1.check">#REF!</definedName>
    <definedName name="ev.nci.ru2.check" localSheetId="1">[29]Settings!$J$151</definedName>
    <definedName name="ev.nci.ru2.check">#REF!</definedName>
    <definedName name="ev.nci.ru3.check" localSheetId="1">[29]Settings!$M$151</definedName>
    <definedName name="ev.nci.ru3.check">#REF!</definedName>
    <definedName name="EV__LASTREFTIME__" hidden="1">38686.6321875</definedName>
    <definedName name="ExbMult_Total" hidden="1">#REF!</definedName>
    <definedName name="exbnumlist" localSheetId="1" hidden="1">[55]Inputs!$A$70:$B$88</definedName>
    <definedName name="exbnumlist" hidden="1">#REF!</definedName>
    <definedName name="Excess_Concentration_Measure" localSheetId="1">'[20]Excess Concentration'!$K$9</definedName>
    <definedName name="Excess_Concentration_Measure">#REF!</definedName>
    <definedName name="Expired" hidden="1">FALSE</definedName>
    <definedName name="EXPMO" localSheetId="1">[14]ii!$I$1:$U$39</definedName>
    <definedName name="EXPMO">#REF!</definedName>
    <definedName name="EXPMOEXT" localSheetId="1">[14]ii!$H$114:$U$156</definedName>
    <definedName name="EXPMOEXT">#REF!</definedName>
    <definedName name="fdgadfgavrag" localSheetId="1" hidden="1">[56]Industry!#REF!</definedName>
    <definedName name="fdgadfgavrag" hidden="1">#REF!</definedName>
    <definedName name="fdsfs" hidden="1">#REF!</definedName>
    <definedName name="ff" hidden="1">#REF!</definedName>
    <definedName name="fff" localSheetId="3" hidden="1">{"e_Target Assumptions",#N/A,FALSE,"Financials";"f_Target Income Statement",#N/A,FALSE,"Financials";"g_Target Balance Sheet",#N/A,FALSE,"Financials";"h_Target Cashflow Statement",#N/A,FALSE,"Financials"}</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3" hidden="1">{#N/A,#N/A,FALSE,"Balance Sheet";#N/A,#N/A,FALSE,"Income Statement";#N/A,#N/A,FALSE,"Partners Capital";#N/A,#N/A,FALSE,"Cash Flows";#N/A,#N/A,FALSE,"Support"}</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'[42]Final Equity Tags'!$M$3:$M$199</definedName>
    <definedName name="FinalClientValue">#REF!</definedName>
    <definedName name="financing_label" localSheetId="1">[29]Dashboard!$Q$11</definedName>
    <definedName name="financing_label">#REF!</definedName>
    <definedName name="financing_toggle" localSheetId="1">[29]Dashboard!$D$6</definedName>
    <definedName name="financing_toggle">#REF!</definedName>
    <definedName name="finres" hidden="1">#REF!</definedName>
    <definedName name="Fitch_BE" localSheetId="1">'[25]Fitch Model'!$O$48</definedName>
    <definedName name="Fitch_BE">#REF!</definedName>
    <definedName name="Fitch_Matrix_TranchetoRun" localSheetId="1">'[25]Fitch Matrix'!$D$30</definedName>
    <definedName name="Fitch_Matrix_TranchetoRun">#REF!</definedName>
    <definedName name="Fitch_tranche" localSheetId="1">'[25]Fitch Model'!$O$45</definedName>
    <definedName name="Fitch_tranche">#REF!</definedName>
    <definedName name="Fitch_Tranche_Rating" localSheetId="1">'[25]Fitch curves'!$B$2</definedName>
    <definedName name="Fitch_Tranche_Rating">#REF!</definedName>
    <definedName name="Fix_Floating_Indicator" localSheetId="1">'[27]CCLP Portfolio'!$U$4:$U$113</definedName>
    <definedName name="Fix_Floating_Indicator">#REF!</definedName>
    <definedName name="FixedBucketPercent" localSheetId="1">'[13]Model Inputs'!$H$9</definedName>
    <definedName name="FixedBucketPercent">#REF!</definedName>
    <definedName name="ForecastPeriod" localSheetId="1" hidden="1">[57]Reference!$C$26:$F$40</definedName>
    <definedName name="ForecastPeriod" hidden="1">#REF!</definedName>
    <definedName name="Frequency" localSheetId="1">'[25]Model Inputs'!$C$9</definedName>
    <definedName name="Frequency">#REF!</definedName>
    <definedName name="FullyFunded" localSheetId="1">'[25]Model Inputs'!$C$4</definedName>
    <definedName name="FullyFunded">#REF!</definedName>
    <definedName name="g" hidden="1">#REF!</definedName>
    <definedName name="gdsgfg" hidden="1">#REF!</definedName>
    <definedName name="general.bs.length" localSheetId="1">[29]Settings!$H$35</definedName>
    <definedName name="general.bs.length">#REF!</definedName>
    <definedName name="general.country.ru1" localSheetId="1">[29]Settings!$H$37</definedName>
    <definedName name="general.country.ru1">#REF!</definedName>
    <definedName name="general.country.ru2" localSheetId="1">[29]Settings!$J$111</definedName>
    <definedName name="general.country.ru2">#REF!</definedName>
    <definedName name="general.country.ru3" localSheetId="1">[29]Settings!$M$111</definedName>
    <definedName name="general.country.ru3">#REF!</definedName>
    <definedName name="general.currency.select" localSheetId="1">[29]Settings!$H$25</definedName>
    <definedName name="general.currency.select">#REF!</definedName>
    <definedName name="general.date.fye" localSheetId="1">[29]Settings!$H$33</definedName>
    <definedName name="general.date.fye">#REF!</definedName>
    <definedName name="general.date.valuation" localSheetId="1">[29]Settings!$O$20</definedName>
    <definedName name="general.date.valuation">#REF!</definedName>
    <definedName name="general.decimal.select" localSheetId="1">[29]Settings!$P$25</definedName>
    <definedName name="general.decimal.select">#REF!</definedName>
    <definedName name="general.excess.ru1.select" localSheetId="1">[29]Settings!$H$45</definedName>
    <definedName name="general.excess.ru1.select">#REF!</definedName>
    <definedName name="general.excess.ru2.select" localSheetId="1">[29]Settings!$J$123</definedName>
    <definedName name="general.excess.ru2.select">#REF!</definedName>
    <definedName name="general.excess.ru3.select" localSheetId="1">[29]Settings!$M$123</definedName>
    <definedName name="general.excess.ru3.select">#REF!</definedName>
    <definedName name="general.excess.yes" localSheetId="1">[29]Settings!$U$41</definedName>
    <definedName name="general.excess.yes">#REF!</definedName>
    <definedName name="general.gpc.ru1.select" localSheetId="1">[29]Settings!$H$61</definedName>
    <definedName name="general.gpc.ru1.select">#REF!</definedName>
    <definedName name="general.gpc.ru2.select" localSheetId="1">[29]Settings!$J$121</definedName>
    <definedName name="general.gpc.ru2.select">#REF!</definedName>
    <definedName name="general.gpc.ru3.select" localSheetId="1">[29]Settings!$M$121</definedName>
    <definedName name="general.gpc.ru3.select">#REF!</definedName>
    <definedName name="general.header.asof" localSheetId="1">[29]Settings!$B$5</definedName>
    <definedName name="general.header.asof">#REF!</definedName>
    <definedName name="general.header.currency.unit" localSheetId="1">[29]Settings!$S$5</definedName>
    <definedName name="general.header.currency.unit">#REF!</definedName>
    <definedName name="general.header.draft" localSheetId="1">[29]Settings!$S$2</definedName>
    <definedName name="general.header.draft">#REF!</definedName>
    <definedName name="general.header.title" localSheetId="1">[29]Settings!$H$22</definedName>
    <definedName name="general.header.title">#REF!</definedName>
    <definedName name="general.header.workpaper" localSheetId="1">[29]Settings!$S$3</definedName>
    <definedName name="general.header.workpaper">#REF!</definedName>
    <definedName name="general.mc.select" localSheetId="1">[29]Settings!$K$63</definedName>
    <definedName name="general.mc.select">#REF!</definedName>
    <definedName name="general.mc.undiluted" localSheetId="1">[29]Settings!$U$67</definedName>
    <definedName name="general.mc.undiluted">#REF!</definedName>
    <definedName name="general.name.client" localSheetId="1">[29]Settings!$L$16</definedName>
    <definedName name="general.name.client">#REF!</definedName>
    <definedName name="general.name.ru1" localSheetId="1">[29]Settings!$G$109</definedName>
    <definedName name="general.name.ru1">#REF!</definedName>
    <definedName name="general.name.ru2" localSheetId="1">[29]Settings!$J$109</definedName>
    <definedName name="general.name.ru2">#REF!</definedName>
    <definedName name="general.name.ru3" localSheetId="1">[29]Settings!$M$109</definedName>
    <definedName name="general.name.ru3">#REF!</definedName>
    <definedName name="general.name.target" localSheetId="1">[29]Settings!$L$18</definedName>
    <definedName name="general.name.target">#REF!</definedName>
    <definedName name="general.purpose.bcv" localSheetId="1">[29]Settings!$U$11</definedName>
    <definedName name="general.purpose.bcv">#REF!</definedName>
    <definedName name="general.purpose.ev" localSheetId="1">[29]Settings!$U$10</definedName>
    <definedName name="general.purpose.ev">#REF!</definedName>
    <definedName name="general.purpose.select" localSheetId="1">[29]Settings!$H$20</definedName>
    <definedName name="general.purpose.select">#REF!</definedName>
    <definedName name="general.round.conclusion.100k" localSheetId="1">[29]Settings!$U$27</definedName>
    <definedName name="general.round.conclusion.100k">#REF!</definedName>
    <definedName name="general.round.conclusion.10k" localSheetId="1">[29]Settings!$U$26</definedName>
    <definedName name="general.round.conclusion.10k">#REF!</definedName>
    <definedName name="general.round.conclusion.h" localSheetId="1">[29]Settings!$U$24</definedName>
    <definedName name="general.round.conclusion.h">#REF!</definedName>
    <definedName name="general.round.conclusion.k" localSheetId="1">[29]Settings!$U$25</definedName>
    <definedName name="general.round.conclusion.k">#REF!</definedName>
    <definedName name="general.round.conclusion.none" localSheetId="1">[29]Settings!$U$22</definedName>
    <definedName name="general.round.conclusion.none">#REF!</definedName>
    <definedName name="general.round.conclusion.select" localSheetId="1">[29]Settings!$H$27</definedName>
    <definedName name="general.round.conclusion.select">#REF!</definedName>
    <definedName name="general.round.multiple.none" localSheetId="1">[29]Settings!$U$28</definedName>
    <definedName name="general.round.multiple.none">#REF!</definedName>
    <definedName name="general.round.multiple.select" localSheetId="1">[29]Settings!$M$27</definedName>
    <definedName name="general.round.multiple.select">#REF!</definedName>
    <definedName name="general.standard.fv" localSheetId="1">[29]Settings!$U$12</definedName>
    <definedName name="general.standard.fv">#REF!</definedName>
    <definedName name="general.standard.select" localSheetId="1">[29]Settings!$L$20</definedName>
    <definedName name="general.standard.select">#REF!</definedName>
    <definedName name="general.status.draft" localSheetId="1">[29]Settings!$U$30</definedName>
    <definedName name="general.status.draft">#REF!</definedName>
    <definedName name="general.status.final" localSheetId="1">[29]Settings!$U$31</definedName>
    <definedName name="general.status.final">#REF!</definedName>
    <definedName name="general.tab.cec" localSheetId="1">[29]Settings!$U$154</definedName>
    <definedName name="general.tab.cec">#REF!</definedName>
    <definedName name="general.tab.formula" localSheetId="1">[29]Settings!$U$35</definedName>
    <definedName name="general.tab.formula">#REF!</definedName>
    <definedName name="general.tab.ru1.select" localSheetId="1">[29]Settings!$K$39</definedName>
    <definedName name="general.tab.ru1.select">#REF!</definedName>
    <definedName name="general.tab.ru2.select" localSheetId="1">[29]Settings!$J$117</definedName>
    <definedName name="general.tab.ru2.select">#REF!</definedName>
    <definedName name="general.tab.ru3.select" localSheetId="1">[29]Settings!$M$117</definedName>
    <definedName name="general.tab.ru3.select">#REF!</definedName>
    <definedName name="general.tab.schedule" localSheetId="1">[29]Settings!$U$36</definedName>
    <definedName name="general.tab.schedule">#REF!</definedName>
    <definedName name="general.tab.ucc" localSheetId="1">[29]Settings!$U$155</definedName>
    <definedName name="general.tab.ucc">#REF!</definedName>
    <definedName name="general.ticker.client" localSheetId="1">[29]Settings!$I$16</definedName>
    <definedName name="general.ticker.client">#REF!</definedName>
    <definedName name="general.ticker.target" localSheetId="1">[29]Settings!$I$18</definedName>
    <definedName name="general.ticker.target">#REF!</definedName>
    <definedName name="general.transaction.ru1.select" localSheetId="1">[29]Settings!$H$39</definedName>
    <definedName name="general.transaction.ru1.select">#REF!</definedName>
    <definedName name="general.transaction.ru2.select" localSheetId="1">[29]Settings!$J$115</definedName>
    <definedName name="general.transaction.ru2.select">#REF!</definedName>
    <definedName name="general.transaction.ru3.select" localSheetId="1">[29]Settings!$M$115</definedName>
    <definedName name="general.transaction.ru3.select">#REF!</definedName>
    <definedName name="general.transaction.taxable" localSheetId="1" hidden="1">[58]Settings1!$T$32</definedName>
    <definedName name="general.transaction.taxable" hidden="1">#REF!</definedName>
    <definedName name="general.transaction.taxable.asset" localSheetId="1">[29]Settings!$U$33</definedName>
    <definedName name="general.transaction.taxable.asset">#REF!</definedName>
    <definedName name="general.transaction.taxable.stock" localSheetId="1">[29]Settings!$U$34</definedName>
    <definedName name="general.transaction.taxable.stock">#REF!</definedName>
    <definedName name="general.unit.1k" localSheetId="1">[29]Settings!$U$19</definedName>
    <definedName name="general.unit.1k">#REF!</definedName>
    <definedName name="general.unit.1m" localSheetId="1">[29]Settings!$U$20</definedName>
    <definedName name="general.unit.1m">#REF!</definedName>
    <definedName name="general.unit.millions" localSheetId="1">[29]Settings!$U$18</definedName>
    <definedName name="general.unit.millions">#REF!</definedName>
    <definedName name="general.unit.number" localSheetId="1">[29]Settings!$N$25</definedName>
    <definedName name="general.unit.number">#REF!</definedName>
    <definedName name="general.unit.select" localSheetId="1">[29]Settings!$M$25</definedName>
    <definedName name="general.unit.select">#REF!</definedName>
    <definedName name="general.unit.thousands" localSheetId="1">[29]Settings!$U$17</definedName>
    <definedName name="general.unit.thousands">#REF!</definedName>
    <definedName name="ggg" hidden="1">#REF!</definedName>
    <definedName name="GIC_Spread" localSheetId="1">'[25]Model Inputs'!$C$47</definedName>
    <definedName name="GIC_Spread">#REF!</definedName>
    <definedName name="GL" hidden="1">#REF!</definedName>
    <definedName name="gmac.set1.ticker01" localSheetId="1">[29]Settings!$L$86</definedName>
    <definedName name="gmac.set1.ticker01">#REF!</definedName>
    <definedName name="gmac.set1.ticker02" localSheetId="1">[29]Settings!$L$87</definedName>
    <definedName name="gmac.set1.ticker02">#REF!</definedName>
    <definedName name="gmac.set1.ticker03" localSheetId="1">[29]Settings!$L$88</definedName>
    <definedName name="gmac.set1.ticker03">#REF!</definedName>
    <definedName name="gmac.set1.ticker04" localSheetId="1">[29]Settings!$L$89</definedName>
    <definedName name="gmac.set1.ticker04">#REF!</definedName>
    <definedName name="gmac.set1.ticker05" localSheetId="1">[29]Settings!$L$90</definedName>
    <definedName name="gmac.set1.ticker05">#REF!</definedName>
    <definedName name="gmac.set1.ticker06" localSheetId="1">[29]Settings!$L$91</definedName>
    <definedName name="gmac.set1.ticker06">#REF!</definedName>
    <definedName name="gmac.set1.ticker07" localSheetId="1">[29]Settings!$L$92</definedName>
    <definedName name="gmac.set1.ticker07">#REF!</definedName>
    <definedName name="gmac.set1.ticker08" localSheetId="1">[29]Settings!$L$93</definedName>
    <definedName name="gmac.set1.ticker08">#REF!</definedName>
    <definedName name="gmac.set1.ticker09" localSheetId="1">[29]Settings!$L$94</definedName>
    <definedName name="gmac.set1.ticker09">#REF!</definedName>
    <definedName name="gmac.set1.ticker10" localSheetId="1">[29]Settings!$L$95</definedName>
    <definedName name="gmac.set1.ticker10">#REF!</definedName>
    <definedName name="gmac.set1.ticker11" localSheetId="1">[29]Settings!$L$96</definedName>
    <definedName name="gmac.set1.ticker11">#REF!</definedName>
    <definedName name="gmac.set1.ticker12" localSheetId="1">[29]Settings!$L$97</definedName>
    <definedName name="gmac.set1.ticker12">#REF!</definedName>
    <definedName name="gmac.set1.ticker13" localSheetId="1">[29]Settings!$L$98</definedName>
    <definedName name="gmac.set1.ticker13">#REF!</definedName>
    <definedName name="gmac.set1.ticker14" localSheetId="1">[29]Settings!$L$99</definedName>
    <definedName name="gmac.set1.ticker14">#REF!</definedName>
    <definedName name="gmac.set1.ticker15" localSheetId="1">[29]Settings!$L$100</definedName>
    <definedName name="gmac.set1.ticker15">#REF!</definedName>
    <definedName name="gmac.set1.ticker16" localSheetId="1">[29]Settings!$L$101</definedName>
    <definedName name="gmac.set1.ticker16">#REF!</definedName>
    <definedName name="gmac.set1.ticker17" localSheetId="1">[29]Settings!$L$102</definedName>
    <definedName name="gmac.set1.ticker17">#REF!</definedName>
    <definedName name="gmac.set1.ticker18" localSheetId="1">[29]Settings!$L$103</definedName>
    <definedName name="gmac.set1.ticker18">#REF!</definedName>
    <definedName name="gmac.set1.ticker19" localSheetId="1">[29]Settings!$L$104</definedName>
    <definedName name="gmac.set1.ticker19">#REF!</definedName>
    <definedName name="gmac.set1.ticker20" localSheetId="1">[29]Settings!$L$105</definedName>
    <definedName name="gmac.set1.ticker20">#REF!</definedName>
    <definedName name="gmcol" hidden="1">#REF!</definedName>
    <definedName name="gpc.set1.name" localSheetId="1">[29]Settings!$D$85</definedName>
    <definedName name="gpc.set1.name">#REF!</definedName>
    <definedName name="gpc.set1.ticker01" localSheetId="1">[29]Settings!$D$86</definedName>
    <definedName name="gpc.set1.ticker01">#REF!</definedName>
    <definedName name="gpc.set1.ticker02" localSheetId="1">[29]Settings!$D$87</definedName>
    <definedName name="gpc.set1.ticker02">#REF!</definedName>
    <definedName name="gpc.set1.ticker03" localSheetId="1">[29]Settings!$D$88</definedName>
    <definedName name="gpc.set1.ticker03">#REF!</definedName>
    <definedName name="gpc.set1.ticker04" localSheetId="1">[29]Settings!$D$89</definedName>
    <definedName name="gpc.set1.ticker04">#REF!</definedName>
    <definedName name="gpc.set1.ticker05" localSheetId="1">[29]Settings!$D$90</definedName>
    <definedName name="gpc.set1.ticker05">#REF!</definedName>
    <definedName name="gpc.set1.ticker06" localSheetId="1">[29]Settings!$D$91</definedName>
    <definedName name="gpc.set1.ticker06">#REF!</definedName>
    <definedName name="gpc.set1.ticker07" localSheetId="1">[29]Settings!$D$92</definedName>
    <definedName name="gpc.set1.ticker07">#REF!</definedName>
    <definedName name="gpc.set1.ticker08" localSheetId="1">[29]Settings!$D$93</definedName>
    <definedName name="gpc.set1.ticker08">#REF!</definedName>
    <definedName name="gpc.set1.ticker09" localSheetId="1">[29]Settings!$D$94</definedName>
    <definedName name="gpc.set1.ticker09">#REF!</definedName>
    <definedName name="gpc.set1.ticker10" localSheetId="1">[29]Settings!$D$95</definedName>
    <definedName name="gpc.set1.ticker10">#REF!</definedName>
    <definedName name="gpc.set1.ticker11" localSheetId="1">[29]Settings!$D$96</definedName>
    <definedName name="gpc.set1.ticker11">#REF!</definedName>
    <definedName name="gpc.set1.ticker12" localSheetId="1">[29]Settings!$D$97</definedName>
    <definedName name="gpc.set1.ticker12">#REF!</definedName>
    <definedName name="gpc.set1.ticker13" localSheetId="1">[29]Settings!$D$98</definedName>
    <definedName name="gpc.set1.ticker13">#REF!</definedName>
    <definedName name="gpc.set1.ticker14" localSheetId="1">[29]Settings!$D$99</definedName>
    <definedName name="gpc.set1.ticker14">#REF!</definedName>
    <definedName name="gpc.set1.ticker15" localSheetId="1">[29]Settings!$D$100</definedName>
    <definedName name="gpc.set1.ticker15">#REF!</definedName>
    <definedName name="gpc.set1.ticker16" localSheetId="1">[29]Settings!$D$101</definedName>
    <definedName name="gpc.set1.ticker16">#REF!</definedName>
    <definedName name="gpc.set1.ticker17" localSheetId="1">[29]Settings!$D$102</definedName>
    <definedName name="gpc.set1.ticker17">#REF!</definedName>
    <definedName name="gpc.set1.ticker18" localSheetId="1">[29]Settings!$D$103</definedName>
    <definedName name="gpc.set1.ticker18">#REF!</definedName>
    <definedName name="gpc.set1.ticker19" localSheetId="1">[29]Settings!$D$104</definedName>
    <definedName name="gpc.set1.ticker19">#REF!</definedName>
    <definedName name="gpc.set1.ticker20" localSheetId="1">[29]Settings!$D$105</definedName>
    <definedName name="gpc.set1.ticker20">#REF!</definedName>
    <definedName name="gpc.set2.name" localSheetId="1">[29]Settings!$H$85</definedName>
    <definedName name="gpc.set2.name">#REF!</definedName>
    <definedName name="gpc.set2.ticker01" localSheetId="1">[29]Settings!$H$86</definedName>
    <definedName name="gpc.set2.ticker01">#REF!</definedName>
    <definedName name="gpc.set2.ticker02" localSheetId="1">[29]Settings!$H$87</definedName>
    <definedName name="gpc.set2.ticker02">#REF!</definedName>
    <definedName name="gpc.set2.ticker03" localSheetId="1">[29]Settings!$H$88</definedName>
    <definedName name="gpc.set2.ticker03">#REF!</definedName>
    <definedName name="gpc.set2.ticker04" localSheetId="1">[29]Settings!$H$89</definedName>
    <definedName name="gpc.set2.ticker04">#REF!</definedName>
    <definedName name="gpc.set2.ticker05" localSheetId="1">[29]Settings!$H$90</definedName>
    <definedName name="gpc.set2.ticker05">#REF!</definedName>
    <definedName name="gpc.set2.ticker06" localSheetId="1">[29]Settings!$H$91</definedName>
    <definedName name="gpc.set2.ticker06">#REF!</definedName>
    <definedName name="gpc.set2.ticker07" localSheetId="1">[29]Settings!$H$92</definedName>
    <definedName name="gpc.set2.ticker07">#REF!</definedName>
    <definedName name="gpc.set2.ticker08" localSheetId="1">[29]Settings!$H$93</definedName>
    <definedName name="gpc.set2.ticker08">#REF!</definedName>
    <definedName name="gpc.set2.ticker09" localSheetId="1">[29]Settings!$H$94</definedName>
    <definedName name="gpc.set2.ticker09">#REF!</definedName>
    <definedName name="gpc.set2.ticker10" localSheetId="1">[29]Settings!$H$95</definedName>
    <definedName name="gpc.set2.ticker10">#REF!</definedName>
    <definedName name="gpc.set2.ticker11" localSheetId="1">[29]Settings!$H$96</definedName>
    <definedName name="gpc.set2.ticker11">#REF!</definedName>
    <definedName name="gpc.set2.ticker12" localSheetId="1">[29]Settings!$H$97</definedName>
    <definedName name="gpc.set2.ticker12">#REF!</definedName>
    <definedName name="gpc.set2.ticker13" localSheetId="1">[29]Settings!$H$98</definedName>
    <definedName name="gpc.set2.ticker13">#REF!</definedName>
    <definedName name="gpc.set2.ticker14" localSheetId="1">[29]Settings!$H$99</definedName>
    <definedName name="gpc.set2.ticker14">#REF!</definedName>
    <definedName name="gpc.set2.ticker15" localSheetId="1">[29]Settings!$H$100</definedName>
    <definedName name="gpc.set2.ticker15">#REF!</definedName>
    <definedName name="gpc.set2.ticker16" localSheetId="1">[29]Settings!$H$101</definedName>
    <definedName name="gpc.set2.ticker16">#REF!</definedName>
    <definedName name="gpc.set2.ticker17" localSheetId="1">[29]Settings!$H$102</definedName>
    <definedName name="gpc.set2.ticker17">#REF!</definedName>
    <definedName name="gpc.set2.ticker18" localSheetId="1">[29]Settings!$H$103</definedName>
    <definedName name="gpc.set2.ticker18">#REF!</definedName>
    <definedName name="gpc.set2.ticker19" localSheetId="1">[29]Settings!$H$104</definedName>
    <definedName name="gpc.set2.ticker19">#REF!</definedName>
    <definedName name="gpc.set2.ticker20" localSheetId="1">[29]Settings!$H$105</definedName>
    <definedName name="gpc.set2.ticker20">#REF!</definedName>
    <definedName name="GreaterChina" localSheetId="1">[32]Start!$C$22</definedName>
    <definedName name="GreaterChina">#REF!</definedName>
    <definedName name="grossnetdebt" localSheetId="1" hidden="1">[59]KeyMultInputs!$AB$1</definedName>
    <definedName name="grossnetdebt" hidden="1">#REF!</definedName>
    <definedName name="GrpAcct1" hidden="1">"Blank (325)"</definedName>
    <definedName name="GrpLevel" hidden="1">2</definedName>
    <definedName name="gui"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[60]Hf!#REF!</definedName>
    <definedName name="Guideline" hidden="1">#REF!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3" hidden="1">{#N/A,#N/A,FALSE,"PortfolioStats";#N/A,#N/A,FALSE,"Graphs";#N/A,#N/A,FALSE,"Binomial Expansion";#N/A,#N/A,FALSE,"SP Analysis"}</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3"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[32]Start!$C$35</definedName>
    <definedName name="HoldingCompanies">#REF!</definedName>
    <definedName name="HTML" localSheetId="3" hidden="1">{"'PXR_6500'!$A$1:$I$124"}</definedName>
    <definedName name="HTML" localSheetId="1" hidden="1">{"'PXR_6500'!$A$1:$I$124"}</definedName>
    <definedName name="HTML" hidden="1">{"'PXR_6500'!$A$1:$I$124"}</definedName>
    <definedName name="HTML_CodePage" hidden="1">1252</definedName>
    <definedName name="HTML_Control" localSheetId="3" hidden="1">{"'FY98 BP2'!$A$1:$K$27","'FY98 BP2'!$A$3:$K$27"}</definedName>
    <definedName name="HTML_Control" localSheetId="1" hidden="1">{"'FY98 BP2'!$A$1:$K$27","'FY98 BP2'!$A$3:$K$27"}</definedName>
    <definedName name="HTML_Control" hidden="1">{"'FY98 BP2'!$A$1:$K$27","'FY98 BP2'!$A$3:$K$27"}</definedName>
    <definedName name="HTML_Control2" localSheetId="3" hidden="1">{"'Sheet8'!$B$1:$K$44","'Sheet8'!$B$50:$K$97"}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[19]Library!$D$27</definedName>
    <definedName name="HyperionName01">#REF!</definedName>
    <definedName name="HyperionName02" localSheetId="1">[19]Library!$D$28</definedName>
    <definedName name="HyperionName02">#REF!</definedName>
    <definedName name="HyperionName03" localSheetId="1">[19]Library!$D$29</definedName>
    <definedName name="HyperionName03">#REF!</definedName>
    <definedName name="HyperionName04" localSheetId="1">[19]Library!$D$30</definedName>
    <definedName name="HyperionName04">#REF!</definedName>
    <definedName name="HyperionName05" localSheetId="1">[19]Library!$D$31</definedName>
    <definedName name="HyperionName05">#REF!</definedName>
    <definedName name="HyperionName06" localSheetId="1">[19]Library!$D$32</definedName>
    <definedName name="HyperionName06">#REF!</definedName>
    <definedName name="HyperionName07" localSheetId="1">[19]Library!$D$33</definedName>
    <definedName name="HyperionName07">#REF!</definedName>
    <definedName name="HyperionName08" localSheetId="1">[19]Library!$D$34</definedName>
    <definedName name="HyperionName08">#REF!</definedName>
    <definedName name="HyperionName09" localSheetId="1">[19]Library!$D$35</definedName>
    <definedName name="HyperionName09">#REF!</definedName>
    <definedName name="HyperionName10" localSheetId="1">[19]Library!$D$36</definedName>
    <definedName name="HyperionName10">#REF!</definedName>
    <definedName name="HyperionName11" localSheetId="1">[19]Library!$D$37</definedName>
    <definedName name="HyperionName11">#REF!</definedName>
    <definedName name="HyperionName12" localSheetId="1">[19]Library!$D$38</definedName>
    <definedName name="HyperionName12">#REF!</definedName>
    <definedName name="HyperionName13" localSheetId="1">[19]Library!$D$39</definedName>
    <definedName name="HyperionName13">#REF!</definedName>
    <definedName name="HyperionName14" localSheetId="1">[19]Library!$D$40</definedName>
    <definedName name="HyperionName14">#REF!</definedName>
    <definedName name="HyperionName15" localSheetId="1">[19]Library!$D$41</definedName>
    <definedName name="HyperionName15">#REF!</definedName>
    <definedName name="HyperionName16" localSheetId="1">[19]Library!$D$42</definedName>
    <definedName name="HyperionName16">#REF!</definedName>
    <definedName name="HyperionName17" localSheetId="1">[19]Library!$D$43</definedName>
    <definedName name="HyperionName17">#REF!</definedName>
    <definedName name="HyperionName18" localSheetId="1">[19]Library!$D$44</definedName>
    <definedName name="HyperionName18">#REF!</definedName>
    <definedName name="HyperionName19" localSheetId="1">[19]Library!$D$45</definedName>
    <definedName name="HyperionName19">#REF!</definedName>
    <definedName name="HyperionName20" localSheetId="1">[19]Library!$D$46</definedName>
    <definedName name="HyperionName20">#REF!</definedName>
    <definedName name="HyperionName21" localSheetId="1">[19]Library!$D$47</definedName>
    <definedName name="HyperionName21">#REF!</definedName>
    <definedName name="HyperionName22" localSheetId="1">[19]Library!$D$48</definedName>
    <definedName name="HyperionName22">#REF!</definedName>
    <definedName name="HyperionName23" localSheetId="1">[19]Library!$D$49</definedName>
    <definedName name="HyperionName23">#REF!</definedName>
    <definedName name="HyperionName24" localSheetId="1">[19]Library!$D$50</definedName>
    <definedName name="HyperionName24">#REF!</definedName>
    <definedName name="HyperionName25" localSheetId="1">[19]Library!$D$51</definedName>
    <definedName name="HyperionName25">#REF!</definedName>
    <definedName name="HyperionName26" localSheetId="1">[19]Library!$D$52</definedName>
    <definedName name="HyperionName26">#REF!</definedName>
    <definedName name="HyperionName27" localSheetId="1">[19]Library!$D$53</definedName>
    <definedName name="HyperionName27">#REF!</definedName>
    <definedName name="HyperionName28" localSheetId="1">[19]Library!$D$54</definedName>
    <definedName name="HyperionName28">#REF!</definedName>
    <definedName name="HyperionName29" localSheetId="1">[19]Library!$D$55</definedName>
    <definedName name="HyperionName29">#REF!</definedName>
    <definedName name="HyperionName30" localSheetId="1">[19]Library!$D$56</definedName>
    <definedName name="HyperionName30">#REF!</definedName>
    <definedName name="HyperionName31" localSheetId="1">[19]Library!$D$57</definedName>
    <definedName name="HyperionName31">#REF!</definedName>
    <definedName name="HyperionName32" localSheetId="1">[19]Library!$D$58</definedName>
    <definedName name="HyperionName32">#REF!</definedName>
    <definedName name="HyperionName33" localSheetId="1">[19]Library!$D$59</definedName>
    <definedName name="HyperionName33">#REF!</definedName>
    <definedName name="HyperionName34" localSheetId="1">[19]Library!$D$60</definedName>
    <definedName name="HyperionName34">#REF!</definedName>
    <definedName name="HyperionName35" localSheetId="1">[19]Library!$D$61</definedName>
    <definedName name="HyperionName35">#REF!</definedName>
    <definedName name="HyperionName36" localSheetId="1">[19]Library!$D$62</definedName>
    <definedName name="HyperionName36">#REF!</definedName>
    <definedName name="HyperionName37" localSheetId="1">[19]Library!$D$63</definedName>
    <definedName name="HyperionName37">#REF!</definedName>
    <definedName name="HyperionName38" localSheetId="1">[19]Library!$D$64</definedName>
    <definedName name="HyperionName38">#REF!</definedName>
    <definedName name="HyperionName39" localSheetId="1">[19]Library!$D$65</definedName>
    <definedName name="HyperionName39">#REF!</definedName>
    <definedName name="HyperionName40" localSheetId="1">[19]Library!$D$66</definedName>
    <definedName name="HyperionName40">#REF!</definedName>
    <definedName name="HyperionName41" localSheetId="1">[19]Library!$D$67</definedName>
    <definedName name="HyperionName41">#REF!</definedName>
    <definedName name="HyperionName42" localSheetId="1">[19]Library!$D$68</definedName>
    <definedName name="HyperionName42">#REF!</definedName>
    <definedName name="HyperionName43" localSheetId="1">[19]Library!$D$69</definedName>
    <definedName name="HyperionName43">#REF!</definedName>
    <definedName name="HyperionName44" localSheetId="1">[19]Library!$D$70</definedName>
    <definedName name="HyperionName44">#REF!</definedName>
    <definedName name="HyperionName45" localSheetId="1">[19]Library!$D$71</definedName>
    <definedName name="HyperionName45">#REF!</definedName>
    <definedName name="HyperionName46" localSheetId="1">[19]Library!$D$72</definedName>
    <definedName name="HyperionName46">#REF!</definedName>
    <definedName name="HyperionName47" localSheetId="1">[19]Library!$D$73</definedName>
    <definedName name="HyperionName47">#REF!</definedName>
    <definedName name="HyperionName48" localSheetId="1">[19]Library!$D$74</definedName>
    <definedName name="HyperionName48">#REF!</definedName>
    <definedName name="HyperionName49" localSheetId="1">[19]Library!$D$75</definedName>
    <definedName name="HyperionName49">#REF!</definedName>
    <definedName name="HyperionName50" localSheetId="1">[19]Library!$D$76</definedName>
    <definedName name="HyperionName50">#REF!</definedName>
    <definedName name="HyperionName51" localSheetId="1">[19]Library!$D$77</definedName>
    <definedName name="HyperionName51">#REF!</definedName>
    <definedName name="HyperionName52" localSheetId="1">[19]Library!$D$78</definedName>
    <definedName name="HyperionName52">#REF!</definedName>
    <definedName name="HyperionName53" localSheetId="1">[19]Library!$D$79</definedName>
    <definedName name="HyperionName53">#REF!</definedName>
    <definedName name="HyperionName54" localSheetId="1">[19]Library!$D$80</definedName>
    <definedName name="HyperionName54">#REF!</definedName>
    <definedName name="HyperionName55" localSheetId="1">[19]Library!$D$81</definedName>
    <definedName name="HyperionName55">#REF!</definedName>
    <definedName name="HyperionName56" localSheetId="1">[19]Library!$D$82</definedName>
    <definedName name="HyperionName56">#REF!</definedName>
    <definedName name="HyperionName57" localSheetId="1">[19]Library!$D$83</definedName>
    <definedName name="HyperionName57">#REF!</definedName>
    <definedName name="HyperionName58" localSheetId="1">[19]Library!$D$84</definedName>
    <definedName name="HyperionName58">#REF!</definedName>
    <definedName name="HyperionName59" localSheetId="1">[19]Library!$D$85</definedName>
    <definedName name="HyperionName59">#REF!</definedName>
    <definedName name="HyperionName60" localSheetId="1">[19]Library!$D$86</definedName>
    <definedName name="HyperionName60">#REF!</definedName>
    <definedName name="HyperionName61" localSheetId="1">[19]Library!$D$87</definedName>
    <definedName name="HyperionName61">#REF!</definedName>
    <definedName name="HyperionName62" localSheetId="1">[19]Library!$D$88</definedName>
    <definedName name="HyperionName62">#REF!</definedName>
    <definedName name="HyperionName63" localSheetId="1">[19]Library!$D$89</definedName>
    <definedName name="HyperionName63">#REF!</definedName>
    <definedName name="HyperionName64" localSheetId="1">[19]Library!$D$90</definedName>
    <definedName name="HyperionName64">#REF!</definedName>
    <definedName name="HyperionName65" localSheetId="1">[19]Library!$D$91</definedName>
    <definedName name="HyperionName65">#REF!</definedName>
    <definedName name="HyperionName66" localSheetId="1">[19]Library!$D$92</definedName>
    <definedName name="HyperionName66">#REF!</definedName>
    <definedName name="HyperionName67" localSheetId="1">[19]Library!$D$93</definedName>
    <definedName name="HyperionName67">#REF!</definedName>
    <definedName name="HyperionName68" localSheetId="1">[19]Library!$D$94</definedName>
    <definedName name="HyperionName68">#REF!</definedName>
    <definedName name="HyperionName69" localSheetId="1">[19]Library!$D$95</definedName>
    <definedName name="HyperionName69">#REF!</definedName>
    <definedName name="HyperionName70" localSheetId="1">[19]Library!$D$96</definedName>
    <definedName name="HyperionName70">#REF!</definedName>
    <definedName name="HyperionRollUpParent" localSheetId="1">[19]Library!$D$22</definedName>
    <definedName name="HyperionRollUpParent">#REF!</definedName>
    <definedName name="Inc" localSheetId="1">[61]IncGAAP!$A$1:$G$60</definedName>
    <definedName name="Inc">#REF!</definedName>
    <definedName name="Incentive_Fee" localSheetId="1">'[25]Model Inputs'!$C$42</definedName>
    <definedName name="Incentive_Fee">#REF!</definedName>
    <definedName name="Incentive_IRR" localSheetId="1">'[25]Model Inputs'!$C$43</definedName>
    <definedName name="Incentive_IRR">#REF!</definedName>
    <definedName name="India" hidden="1">#REF!</definedName>
    <definedName name="IndMood2" localSheetId="1">[62]Inputs!$AJ$2:$AJ$35</definedName>
    <definedName name="IndMood2">#REF!</definedName>
    <definedName name="IndSP2" localSheetId="1">[62]Inputs!$AH$2:$AH$43</definedName>
    <definedName name="IndSP2">#REF!</definedName>
    <definedName name="Industry" localSheetId="1">'[42]PBC Data'!$AJ$3:$AJ$196</definedName>
    <definedName name="Industry">#REF!</definedName>
    <definedName name="Industry_Excess" localSheetId="1">'[20]Industry Concentration'!$M$4:$R$54</definedName>
    <definedName name="Industry_Excess">#REF!</definedName>
    <definedName name="Industry_Excess_Facility_Level" localSheetId="1">'[20]Industry Concentration'!$A$4:$J$1504</definedName>
    <definedName name="Industry_Excess_Facility_Level">#REF!</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'[25]S&amp;P curves'!$A$146</definedName>
    <definedName name="InputTrancheNo.">#REF!</definedName>
    <definedName name="IntroPrintArea" hidden="1">#REF!</definedName>
    <definedName name="Inv" localSheetId="1" hidden="1">[63]Accounts!#REF!</definedName>
    <definedName name="Inv" hidden="1">#REF!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[64]Companies!$I$12:$J$12</definedName>
    <definedName name="IQRCompaniesH12" hidden="1">#REF!</definedName>
    <definedName name="IQRCompaniesH13" localSheetId="1" hidden="1">[64]Companies!$I$13</definedName>
    <definedName name="IQRCompaniesH13" hidden="1">#REF!</definedName>
    <definedName name="IQRCompaniesH14" localSheetId="1" hidden="1">[64]Companies!$I$14:$M$14</definedName>
    <definedName name="IQRCompaniesH14" hidden="1">#REF!</definedName>
    <definedName name="IQRCompaniesH15" localSheetId="1" hidden="1">[64]Companies!$I$15:$M$15</definedName>
    <definedName name="IQRCompaniesH15" hidden="1">#REF!</definedName>
    <definedName name="IQRCompaniesH16" localSheetId="1" hidden="1">[64]Companies!$I$16:$M$16</definedName>
    <definedName name="IQRCompaniesH16" hidden="1">#REF!</definedName>
    <definedName name="IQRCompaniesH17" localSheetId="1" hidden="1">[64]Companies!$I$17:$J$17</definedName>
    <definedName name="IQRCompaniesH17" hidden="1">#REF!</definedName>
    <definedName name="IQRCompaniesH18" localSheetId="1" hidden="1">[64]Companies!$I$18:$M$18</definedName>
    <definedName name="IQRCompaniesH18" hidden="1">#REF!</definedName>
    <definedName name="IQRCompaniesH19" localSheetId="1" hidden="1">[64]Companies!$I$19</definedName>
    <definedName name="IQRCompaniesH19" hidden="1">#REF!</definedName>
    <definedName name="IQRCompaniesN12" localSheetId="1" hidden="1">[64]Companies!$O$12:$P$12</definedName>
    <definedName name="IQRCompaniesN12" hidden="1">#REF!</definedName>
    <definedName name="IQRCompaniesN13" localSheetId="1" hidden="1">[64]Companies!$O$13</definedName>
    <definedName name="IQRCompaniesN13" hidden="1">#REF!</definedName>
    <definedName name="IQRCompaniesN14" localSheetId="1" hidden="1">[64]Companies!$O$14:$S$14</definedName>
    <definedName name="IQRCompaniesN14" hidden="1">#REF!</definedName>
    <definedName name="IQRCompaniesN15" localSheetId="1" hidden="1">[64]Companies!$O$15:$S$15</definedName>
    <definedName name="IQRCompaniesN15" hidden="1">#REF!</definedName>
    <definedName name="IQRCompaniesN16" localSheetId="1" hidden="1">[64]Companies!$O$16:$S$16</definedName>
    <definedName name="IQRCompaniesN16" hidden="1">#REF!</definedName>
    <definedName name="IQRCompaniesN17" localSheetId="1" hidden="1">[64]Companies!$O$17:$P$17</definedName>
    <definedName name="IQRCompaniesN17" hidden="1">#REF!</definedName>
    <definedName name="IQRCompaniesN18" localSheetId="1" hidden="1">[64]Companies!$O$18:$S$18</definedName>
    <definedName name="IQRCompaniesN18" hidden="1">#REF!</definedName>
    <definedName name="IQRCompaniesN19" localSheetId="1" hidden="1">[64]Companies!$O$19</definedName>
    <definedName name="IQRCompaniesN19" hidden="1">#REF!</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'[27]CCLP Portfolio'!$D$4:$D$113</definedName>
    <definedName name="Issuer_Name">#REF!</definedName>
    <definedName name="iulyuilui" localSheetId="1" hidden="1">[22]Industry!#REF!</definedName>
    <definedName name="iulyuilui" hidden="1">#REF!</definedName>
    <definedName name="j" hidden="1">#REF!</definedName>
    <definedName name="jgfe" localSheetId="3" hidden="1">{#N/A,#N/A,FALSE,"Balance Sheet";#N/A,#N/A,FALSE,"Income Statement";#N/A,#N/A,FALSE,"Partners Capital";#N/A,#N/A,FALSE,"Cash Flows";#N/A,#N/A,FALSE,"Support"}</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'[42]PBC Data'!$C$3:$C$196</definedName>
    <definedName name="KPMGID">#REF!</definedName>
    <definedName name="l" hidden="1">#REF!</definedName>
    <definedName name="L1_YN" localSheetId="1">'[27]CCLP Portfolio'!$I$4:$I$113</definedName>
    <definedName name="L1_YN">#REF!</definedName>
    <definedName name="L2_YN" localSheetId="1">'[27]CCLP Portfolio'!$H$4:$H$113</definedName>
    <definedName name="L2_YN">#REF!</definedName>
    <definedName name="Legal_Final" localSheetId="1">'[25]Model Inputs'!$C$10</definedName>
    <definedName name="Legal_Final">#REF!</definedName>
    <definedName name="Leverage" localSheetId="1">'[42]PBC Data'!$P$3:$P$196</definedName>
    <definedName name="Leverage">#REF!</definedName>
    <definedName name="Libor_Floor" localSheetId="1">'[27]CCLP Portfolio'!$R$4:$R$113</definedName>
    <definedName name="Libor_Floor">#REF!</definedName>
    <definedName name="Libor_Floor_YN" localSheetId="1">'[27]CCLP Portfolio'!$S$4:$S$113</definedName>
    <definedName name="Libor_Floor_YN">#REF!</definedName>
    <definedName name="limcount" hidden="1">1</definedName>
    <definedName name="list1" localSheetId="1">[25]Service!$A$1:$A$3</definedName>
    <definedName name="list1">#REF!</definedName>
    <definedName name="list10" localSheetId="1">[25]Service!$G$31:$G$32</definedName>
    <definedName name="list10">#REF!</definedName>
    <definedName name="list2" localSheetId="1">[25]Service!$A$5:$A$6</definedName>
    <definedName name="list2">#REF!</definedName>
    <definedName name="list4" localSheetId="1">[25]Service!$A$12:$A$15</definedName>
    <definedName name="list4">#REF!</definedName>
    <definedName name="list5" localSheetId="1">[25]Service!$G$4:$G$22</definedName>
    <definedName name="list5">#REF!</definedName>
    <definedName name="list7" localSheetId="1">[25]Service!$E$4:$E$22</definedName>
    <definedName name="list7">#REF!</definedName>
    <definedName name="list8" localSheetId="1">[25]Service!$E$26:$E$28</definedName>
    <definedName name="list8">#REF!</definedName>
    <definedName name="list9" localSheetId="1">[25]Service!$E$31:$E$35</definedName>
    <definedName name="list9">#REF!</definedName>
    <definedName name="ListOffset" hidden="1">1</definedName>
    <definedName name="LN_Current_Margin" localSheetId="1">'[27]CCLP Portfolio'!$Q$4:$Q$113</definedName>
    <definedName name="LN_Current_Margin">#REF!</definedName>
    <definedName name="LoanYieldDaily">OFFSET(#REF!,COUNTA(#REF!)-1,0,-254,1)</definedName>
    <definedName name="LossCurveNo." localSheetId="1">'[25]Recovery Compression Schedule'!$E$4</definedName>
    <definedName name="LossCurveNo.">#REF!</definedName>
    <definedName name="LTMEBITDA" localSheetId="1">'[42]PBC Data'!$G$3:$G$196</definedName>
    <definedName name="LTMEBITDA">#REF!</definedName>
    <definedName name="ltmnonasset4" hidden="1">#REF!</definedName>
    <definedName name="ltmnonliab4" hidden="1">#REF!</definedName>
    <definedName name="m" localSheetId="3" hidden="1">{#N/A,#N/A,FALSE,"Balance Sheet";#N/A,#N/A,FALSE,"Income Statement";#N/A,#N/A,FALSE,"Partners Capital";#N/A,#N/A,FALSE,"Cash Flows";#N/A,#N/A,FALSE,"Support"}</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[65]!Macro2</definedName>
    <definedName name="Macro2" localSheetId="5">#REF!</definedName>
    <definedName name="Macro2">#REF!</definedName>
    <definedName name="Macro3" localSheetId="1">[65]!Macro3</definedName>
    <definedName name="Macro3" localSheetId="5">#REF!</definedName>
    <definedName name="Macro3">#REF!</definedName>
    <definedName name="maincbo" localSheetId="3" hidden="1">{"LIBOR",#N/A,TRUE,"Model";"Caps",#N/A,TRUE,"Model";"Assets",#N/A,TRUE,"Model";"Liabilities",#N/A,TRUE,"Model";"Tests",#N/A,TRUE,"Model";"Results",#N/A,TRUE,"Model"}</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3"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3"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3"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3"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3"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3"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3"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3"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3"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3"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3"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3"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3"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3"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3"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3"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3"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3"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3"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3"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3"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3"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3"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3"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3"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3"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3"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3"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3"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3"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3"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3"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3"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3"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3"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3"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3"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3"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3"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3"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3"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3"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3"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3"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3"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3"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3"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3"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3"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3"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3"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3"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3"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3"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3"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3"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3"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3"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3"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3"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3"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3"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3"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3"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'[34]OID Adder'!$C$3</definedName>
    <definedName name="Maturity_Date">#REF!</definedName>
    <definedName name="Maturity_of_Asset" localSheetId="1">'[27]CCLP Portfolio'!$V$4:$V$113</definedName>
    <definedName name="Maturity_of_Asset">#REF!</definedName>
    <definedName name="Max_Number_Assets">150</definedName>
    <definedName name="MDY_Combo_duration" localSheetId="1">[25]Results!$K$4</definedName>
    <definedName name="MDY_Combo_duration">#REF!</definedName>
    <definedName name="MDY_Pool_Single" localSheetId="1">'[25]MDY Model'!$P$6</definedName>
    <definedName name="MDY_Pool_Single">#REF!</definedName>
    <definedName name="medmult" hidden="1">#REF!</definedName>
    <definedName name="Mexico" localSheetId="1">[32]Start!$C$25</definedName>
    <definedName name="Mexico">#REF!</definedName>
    <definedName name="minorityintyes" localSheetId="1" hidden="1">[59]KeyMultInputs!$Z$1</definedName>
    <definedName name="minorityintyes" hidden="1">#REF!</definedName>
    <definedName name="Miras" localSheetId="1">'[66]Accruals - input_2_14_18'!$C$2</definedName>
    <definedName name="Miras">#REF!</definedName>
    <definedName name="mmm" localSheetId="3" hidden="1">{"LIBOR",#N/A,TRUE,"Model";"Caps",#N/A,TRUE,"Model";"Assets",#N/A,TRUE,"Model";"Liabilities",#N/A,TRUE,"Model";"Tests",#N/A,TRUE,"Model";"Results",#N/A,TRUE,"Model"}</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3"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3"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3"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3"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3"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3"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3"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3"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3"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3"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3"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3"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3"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3"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3"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3"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3"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3"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3"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3"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3"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3"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3"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3"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3"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3"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3"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3"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3"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3"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3"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3"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'[25]Model Inputs'!$C$5</definedName>
    <definedName name="mode">#REF!</definedName>
    <definedName name="Mode1RampedAtClosing" localSheetId="1">'[25]Model Inputs'!$I$50</definedName>
    <definedName name="Mode1RampedAtClosing">#REF!</definedName>
    <definedName name="MonitorCol">1</definedName>
    <definedName name="MonitorRow">1</definedName>
    <definedName name="Month" localSheetId="1">[19]Library!$C$7</definedName>
    <definedName name="Month">#REF!</definedName>
    <definedName name="MonthEnding" localSheetId="1">[32]Start!$C$9</definedName>
    <definedName name="MonthEnding">#REF!</definedName>
    <definedName name="MonthInteger" localSheetId="1">[19]Library!$B$7</definedName>
    <definedName name="MonthInteger">#REF!</definedName>
    <definedName name="MonthlyBS" localSheetId="1">'[14]CF by month'!$H$88:$BS$152</definedName>
    <definedName name="MonthlyBS">#REF!</definedName>
    <definedName name="MonthPick" localSheetId="1">[32]Start!$C$16</definedName>
    <definedName name="MonthPick">#REF!</definedName>
    <definedName name="MonthPickYtd" localSheetId="1">[32]Start!$C$17</definedName>
    <definedName name="MonthPickYtd">#REF!</definedName>
    <definedName name="Moodys_Industry" localSheetId="1">'[27]CCLP Portfolio'!$AP$4:$AP$113</definedName>
    <definedName name="Moodys_Industry">#REF!</definedName>
    <definedName name="Moodys_Notched_CF_Ratings" localSheetId="1">'[27]CCLP Portfolio'!$AK$4:$AK$113</definedName>
    <definedName name="Moodys_Notched_CF_Ratings">#REF!</definedName>
    <definedName name="MoodySpread" localSheetId="1">'[25]Model Inputs'!$O$6</definedName>
    <definedName name="MoodySpread">#REF!</definedName>
    <definedName name="mph" localSheetId="3" hidden="1">{#N/A,#N/A,FALSE,"Balance Sheet";#N/A,#N/A,FALSE,"Income Statement";#N/A,#N/A,FALSE,"Partners Capital";#N/A,#N/A,FALSE,"Cash Flows";#N/A,#N/A,FALSE,"Support"}</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'[67]Exb II.1_Summary Taira'!#REF!</definedName>
    <definedName name="multcash1" hidden="1">#REF!</definedName>
    <definedName name="multcash4" hidden="1">#REF!</definedName>
    <definedName name="multformrow4" hidden="1">#REF!</definedName>
    <definedName name="multtable" localSheetId="1" hidden="1">'[67]Exb II.1_Summary Taira'!#REF!</definedName>
    <definedName name="multtable" hidden="1">#REF!</definedName>
    <definedName name="mvicebit_col" localSheetId="1" hidden="1">'[67]Exb II.1_Summary Taira'!#REF!</definedName>
    <definedName name="mvicebit_col" hidden="1">#REF!</definedName>
    <definedName name="mvicprojebitda_col" localSheetId="1" hidden="1">'[67]Exb II.1_Summary Taira'!#REF!</definedName>
    <definedName name="mvicprojebitda_col" hidden="1">#REF!</definedName>
    <definedName name="ndfghn6745734" localSheetId="1" hidden="1">[22]Industry!#REF!</definedName>
    <definedName name="ndfghn6745734" hidden="1">#REF!</definedName>
    <definedName name="NetDebt" localSheetId="1">'[42]PBC Data'!$H$3:$H$196</definedName>
    <definedName name="NetDebt">#REF!</definedName>
    <definedName name="NEw" hidden="1">#REF!</definedName>
    <definedName name="newcurrent_Batch" localSheetId="1">'[25]Reinv Collateral'!$D$7</definedName>
    <definedName name="newcurrent_Batch">#REF!</definedName>
    <definedName name="newcurrent_Group" localSheetId="1">'[25]Reinv Collateral'!$D$9</definedName>
    <definedName name="newcurrent_Group">#REF!</definedName>
    <definedName name="newtab" hidden="1">#REF!</definedName>
    <definedName name="NEWWW" localSheetId="3" hidden="1">{"'PXR_6500'!$A$1:$I$124"}</definedName>
    <definedName name="NEWWW" localSheetId="1" hidden="1">{"'PXR_6500'!$A$1:$I$124"}</definedName>
    <definedName name="NEWWW" hidden="1">{"'PXR_6500'!$A$1:$I$124"}</definedName>
    <definedName name="nn" hidden="1">#REF!</definedName>
    <definedName name="nnnnnnnnnn1" localSheetId="3" hidden="1">{"LIBOR",#N/A,TRUE,"Model";"Caps",#N/A,TRUE,"Model";"Assets",#N/A,TRUE,"Model";"Liabilities",#N/A,TRUE,"Model";"Tests",#N/A,TRUE,"Model";"Results",#N/A,TRUE,"Model"}</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3"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3"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3"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3"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3"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3"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3"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3"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3"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3"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3"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3"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3"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3"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3"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3"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3"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3"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3"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3"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3"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3"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3"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3"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3"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3"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3"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3"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3"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3"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3"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3"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3"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3"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3"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3"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3"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3"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3"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3"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3"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3"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3"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3"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3"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3"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3"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3"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3"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3"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3"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3"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3"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3"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3"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3"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3"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3"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3"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3"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3"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3"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3"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3"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3"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3"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3"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3"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3"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3"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3"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3"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3"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3"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3"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3"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3"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3"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3"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3"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3"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3"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3"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3"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3"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3"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3"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3"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3"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3"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3"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3"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3"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3"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3"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3"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3" hidden="1">{#N/A,#N/A,FALSE,"New Depr Sch-150% DB";#N/A,#N/A,FALSE,"Cash Flows RLP";#N/A,#N/A,FALSE,"IRR";#N/A,#N/A,FALSE,"Proforma IS";#N/A,#N/A,FALSE,"Assumptions"}</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'[20]Obligor Concentration'!$K$3:$Q$503</definedName>
    <definedName name="Obligor_Excess">#REF!</definedName>
    <definedName name="Obligor_Excess_Facility_Level" localSheetId="1">'[20]Obligor Concentration'!$A$3:$I$1503</definedName>
    <definedName name="Obligor_Excess_Facility_Level">#REF!</definedName>
    <definedName name="op_label" localSheetId="1">[29]OpCase!$E$6</definedName>
    <definedName name="op_label">#REF!</definedName>
    <definedName name="op_toggle" localSheetId="1">[29]Dashboard!$D$5</definedName>
    <definedName name="op_toggle">#REF!</definedName>
    <definedName name="Org_Cost" localSheetId="1">'[36]1510 - Cap Org Fees'!$H$18</definedName>
    <definedName name="Org_Cost">#REF!</definedName>
    <definedName name="Org_Cost_Amort" localSheetId="1">'[36]1510 - Cap Org Fees'!$H$19</definedName>
    <definedName name="Org_Cost_Amort">#REF!</definedName>
    <definedName name="OutputChoose" localSheetId="1">'[19]Output - Expense'!$AY$8</definedName>
    <definedName name="OutputChoose">#REF!</definedName>
    <definedName name="OUTRO" localSheetId="3" hidden="1">{"'PXR_6500'!$A$1:$I$124"}</definedName>
    <definedName name="OUTRO" localSheetId="1" hidden="1">{"'PXR_6500'!$A$1:$I$124"}</definedName>
    <definedName name="OUTRO" hidden="1">{"'PXR_6500'!$A$1:$I$124"}</definedName>
    <definedName name="Override" localSheetId="1">'[42]PBC Data'!$U$3:$U$196</definedName>
    <definedName name="Override">#REF!</definedName>
    <definedName name="OwnershipPercentage" localSheetId="1">'[42]PBC Data'!$I$3:$I$196</definedName>
    <definedName name="OwnershipPercentage">#REF!</definedName>
    <definedName name="PMRNotes" localSheetId="1">'[42]PBC Data'!$EW$3:$EW$196</definedName>
    <definedName name="PMRNotes">#REF!</definedName>
    <definedName name="PopCache_GL_INTERFACE_REFERENCE7" localSheetId="1" hidden="1">[68]PopCache!$A$1:$A$2</definedName>
    <definedName name="PopCache_GL_INTERFACE_REFERENCE7" hidden="1">#REF!</definedName>
    <definedName name="POTMO" localSheetId="1">[14]hh!$I$1:$U$39</definedName>
    <definedName name="POTMO">#REF!</definedName>
    <definedName name="POTMOEXT" localSheetId="1">[14]hh!$H$102:$U$135</definedName>
    <definedName name="POTMOEXT">#REF!</definedName>
    <definedName name="PPOtherRange" localSheetId="1">'[19]Hyperion - Tie Out'!$G$83</definedName>
    <definedName name="PPOtherRange">#REF!</definedName>
    <definedName name="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'[47]Switches for Returns Summary'!$E$6</definedName>
    <definedName name="PPRICE">#REF!</definedName>
    <definedName name="prefyes" hidden="1">#REF!</definedName>
    <definedName name="Premissas" localSheetId="3" hidden="1">{"summary1",#N/A,TRUE,"Comps";"summary2",#N/A,TRUE,"Comps";"summary3",#N/A,TRUE,"Comps"}</definedName>
    <definedName name="Premissas" localSheetId="1" hidden="1">{"summary1",#N/A,TRUE,"Comps";"summary2",#N/A,TRUE,"Comps";"summary3",#N/A,TRUE,"Comps"}</definedName>
    <definedName name="Premissas" hidden="1">{"summary1",#N/A,TRUE,"Comps";"summary2",#N/A,TRUE,"Comps";"summary3",#N/A,TRUE,"Comps"}</definedName>
    <definedName name="prepaymentPattern" localSheetId="1">'[25]S&amp;P curves'!$BU$18</definedName>
    <definedName name="prepaymentPattern">#REF!</definedName>
    <definedName name="prev_unpaid_yield_USD" localSheetId="1">[20]Inputs!$E$8</definedName>
    <definedName name="prev_unpaid_yield_USD">#REF!</definedName>
    <definedName name="prev_unpaid_yld_CAD" localSheetId="1">[20]Inputs!$E$9</definedName>
    <definedName name="prev_unpaid_yld_CAD">#REF!</definedName>
    <definedName name="Price" localSheetId="3" hidden="1">{"a_Acquiror Assumptions",#N/A,FALSE,"Financials";"b_Acquiror Income Statement",#N/A,FALSE,"Financials";"c_Acquiror Balance Sheet",#N/A,FALSE,"Financials";"d_Acquiror Cashflow Statement",#N/A,FALSE,"Financials"}</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'[67]Exb II.1_Summary Taira'!#REF!</definedName>
    <definedName name="pricebook_col" hidden="1">#REF!</definedName>
    <definedName name="priceearnings_col" localSheetId="1" hidden="1">'[67]Exb II.1_Summary Taira'!#REF!</definedName>
    <definedName name="priceearnings_col" hidden="1">#REF!</definedName>
    <definedName name="PriorBP4" localSheetId="1">[19]Library!$L$15</definedName>
    <definedName name="PriorBP4">#REF!</definedName>
    <definedName name="PriorScenario" localSheetId="1">[19]Library!$K$15</definedName>
    <definedName name="PriorScenario">#REF!</definedName>
    <definedName name="PriorYear" localSheetId="1">[19]Library!$K$7</definedName>
    <definedName name="PriorYear">#REF!</definedName>
    <definedName name="Proforma_Purchase_Px" localSheetId="1">'[27]CCLP Portfolio'!$P$4:$P$113</definedName>
    <definedName name="Proforma_Purchase_Px">#REF!</definedName>
    <definedName name="ProjectName" localSheetId="3">{"Client Name or Project Name"}</definedName>
    <definedName name="ProjectName" localSheetId="1">{"Client Name or Project Name"}</definedName>
    <definedName name="ProjectName">{"Client Name or Project Name"}</definedName>
    <definedName name="PS" localSheetId="1" hidden="1">[69]Index!#REF!</definedName>
    <definedName name="PS" hidden="1">#REF!</definedName>
    <definedName name="Purchase_Price_Detail_TBL" localSheetId="1">'[20]Purc Price Detail'!$A$9:$N$1565</definedName>
    <definedName name="Purchase_Price_Detail_TBL">#REF!</definedName>
    <definedName name="PYOtherRange" localSheetId="1">'[19]Hyperion - Tie Out'!$F$83</definedName>
    <definedName name="PYOtherRange">#REF!</definedName>
    <definedName name="q" localSheetId="3" hidden="1">{#N/A,#N/A,FALSE,"Balance Sheet";#N/A,#N/A,FALSE,"Income Statement";#N/A,#N/A,FALSE,"Partners Capital";#N/A,#N/A,FALSE,"Cash Flows";#N/A,#N/A,FALSE,"Support"}</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3" hidden="1">{"'TG'!$A$1:$L$37"}</definedName>
    <definedName name="Ratios_2" localSheetId="1" hidden="1">{"'TG'!$A$1:$L$37"}</definedName>
    <definedName name="Ratios_2" hidden="1">{"'TG'!$A$1:$L$37"}</definedName>
    <definedName name="recov_swap_cost" localSheetId="1">'[25]Model Inputs'!$C$60</definedName>
    <definedName name="recov_swap_cost">#REF!</definedName>
    <definedName name="Recover" localSheetId="1">[70]Macro1!$A$54</definedName>
    <definedName name="Recover">#REF!</definedName>
    <definedName name="RecoveryProfileHorizVec" localSheetId="1">'[25]Recovery Compression Schedule'!$I$3:$BF$3</definedName>
    <definedName name="RecoveryProfileHorizVec">#REF!</definedName>
    <definedName name="Redemption" localSheetId="1">'[34]OID Adder'!$C$4</definedName>
    <definedName name="Redemption">#REF!</definedName>
    <definedName name="Refi" hidden="1">#REF!</definedName>
    <definedName name="regmult" hidden="1">#REF!</definedName>
    <definedName name="reinvest_end" localSheetId="1">[20]Inputs!$B$17</definedName>
    <definedName name="reinvest_end">#REF!</definedName>
    <definedName name="reinvest_end_date" localSheetId="1">[20]Inputs!$B$18</definedName>
    <definedName name="reinvest_end_date">#REF!</definedName>
    <definedName name="RemainingMonths" localSheetId="1">[19]Library!$A$7</definedName>
    <definedName name="RemainingMonths">#REF!</definedName>
    <definedName name="ReportGroup" hidden="1">0</definedName>
    <definedName name="ReserveAmount" localSheetId="1">'[25]Model Inputs'!$R$20</definedName>
    <definedName name="ReserveAmount">#REF!</definedName>
    <definedName name="resetdatnotic" localSheetId="3" hidden="1">{"Reset Data",#N/A,FALSE,"Reset Notice";"Reset Notice",#N/A,FALSE,"Reset Notice"}</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3"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3"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3"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3"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3"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3"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3"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3"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3"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3"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3"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3"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3"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3"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3"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3"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3"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3"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3"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3"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3"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3"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3"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3"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3"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3"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3"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3"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3"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3"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3"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3"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'[20]Advances &amp; Repayments'!$E$28</definedName>
    <definedName name="Revolv_Adv_Outstanding">#REF!</definedName>
    <definedName name="Revolv_PD" localSheetId="1">'[25]Model Inputs'!$C$11</definedName>
    <definedName name="Revolv_PD">#REF!</definedName>
    <definedName name="rf"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BlotterMain">#REF!,#REF!,#REF!,#REF!,#REF!,#REF!,#REF!,#REF!,#REF!,#REF!,#REF!,#REF!,#REF!,#REF!,#REF!,#REF!,#REF!,#REF!,#REF!,#REF!,#REF!,#REF!,#REF!,#REF!,#REF!,#REF!,#REF!</definedName>
    <definedName name="rngLock26">"$CB$65:$CC$129"</definedName>
    <definedName name="rngLock29">"$CO$65:$CP$129"</definedName>
    <definedName name="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'[13]Cash Flow Summary'!$AS$70</definedName>
    <definedName name="RunCombo">#REF!</definedName>
    <definedName name="Rwvu.Sumnpv." localSheetId="1" hidden="1">[23]List!$M$1:$M$65536</definedName>
    <definedName name="Rwvu.Sumnpv." hidden="1">#REF!</definedName>
    <definedName name="sadsadsa" localSheetId="3" hidden="1">{"e_Target Assumptions",#N/A,FALSE,"Financials";"f_Target Income Statement",#N/A,FALSE,"Financials";"g_Target Balance Sheet",#N/A,FALSE,"Financials";"h_Target Cashflow Statement",#N/A,FALSE,"Financials"}</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[19]Library!$J$15</definedName>
    <definedName name="Scenario">#REF!</definedName>
    <definedName name="sd" localSheetId="3" hidden="1">{"e_Target Assumptions",#N/A,FALSE,"Financials";"f_Target Income Statement",#N/A,FALSE,"Financials";"g_Target Balance Sheet",#N/A,FALSE,"Financials";"h_Target Cashflow Statement",#N/A,FALSE,"Financials"}</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3" hidden="1">{#N/A,#N/A,FALSE,"Balance Sheet";#N/A,#N/A,FALSE,"Income Statement";#N/A,#N/A,FALSE,"Partners Capital";#N/A,#N/A,FALSE,"Cash Flows";#N/A,#N/A,FALSE,"Support"}</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3" hidden="1">{"e_Target Assumptions",#N/A,FALSE,"Financials";"f_Target Income Statement",#N/A,FALSE,"Financials";"g_Target Balance Sheet",#N/A,FALSE,"Financials";"h_Target Cashflow Statement",#N/A,FALSE,"Financials"}</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[56]Industry!#REF!</definedName>
    <definedName name="sdfasdf" hidden="1">#REF!</definedName>
    <definedName name="sdfr" localSheetId="3" hidden="1">{#N/A,#N/A,FALSE,"Balance Sheet";#N/A,#N/A,FALSE,"Income Statement";#N/A,#N/A,FALSE,"Partners Capital";#N/A,#N/A,FALSE,"Cash Flows";#N/A,#N/A,FALSE,"Support"}</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3" hidden="1">{#N/A,#N/A,FALSE,"PortfolioStats";#N/A,#N/A,FALSE,"Graphs";#N/A,#N/A,FALSE,"Binomial Expansion";#N/A,#N/A,FALSE,"SP Analysis"}</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3" hidden="1">{#N/A,#N/A,FALSE,"Balance Sheet";#N/A,#N/A,FALSE,"Income Statement";#N/A,#N/A,FALSE,"Partners Capital";#N/A,#N/A,FALSE,"Cash Flows";#N/A,#N/A,FALSE,"Support"}</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3" hidden="1">{"e_Target Assumptions",#N/A,FALSE,"Financials";"f_Target Income Statement",#N/A,FALSE,"Financials";"g_Target Balance Sheet",#N/A,FALSE,"Financials";"h_Target Cashflow Statement",#N/A,FALSE,"Financials"}</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'[53]Market Data(I)'!$C$59:$M$77</definedName>
    <definedName name="secondary">#REF!</definedName>
    <definedName name="secondary2" localSheetId="1">'[53]Market Data(I)'!$C$59:$P$77</definedName>
    <definedName name="secondary2">#REF!</definedName>
    <definedName name="SelectedMultiple" localSheetId="1">'[42]PBC Data'!$R$3:$R$196</definedName>
    <definedName name="SelectedMultiple">#REF!</definedName>
    <definedName name="selrange" localSheetId="1" hidden="1">'[67]Exb II.1_Summary Taira'!#REF!</definedName>
    <definedName name="selrange" hidden="1">#REF!</definedName>
    <definedName name="sencount" hidden="1">1</definedName>
    <definedName name="Servicing_Acct_Int" localSheetId="1">[20]Inputs!$E$42</definedName>
    <definedName name="Servicing_Acct_Int">#REF!</definedName>
    <definedName name="servicing_acct_prin" localSheetId="1">[20]Inputs!$D$42</definedName>
    <definedName name="servicing_acct_prin">#REF!</definedName>
    <definedName name="ShanghaiFactory" localSheetId="1">[32]Start!$C$34</definedName>
    <definedName name="ShanghaiFactory">#REF!</definedName>
    <definedName name="shareoutltm" localSheetId="1" hidden="1">'[48]WP_Hist ABC'!#REF!</definedName>
    <definedName name="shareoutltm" hidden="1">#REF!</definedName>
    <definedName name="sharepriceltm" localSheetId="1" hidden="1">'[48]WP_Hist ABC'!#REF!</definedName>
    <definedName name="sharepriceltm" hidden="1">#REF!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[32]Start!$C$26</definedName>
    <definedName name="SingerAfricaMiddleEast">#REF!</definedName>
    <definedName name="SingerCanada" localSheetId="1">[32]Start!$C$21</definedName>
    <definedName name="SingerCanada">#REF!</definedName>
    <definedName name="SingerDenmark" localSheetId="1">[32]Start!$C$28</definedName>
    <definedName name="SingerDenmark">#REF!</definedName>
    <definedName name="SingerItaly" localSheetId="1">[32]Start!$C$24</definedName>
    <definedName name="SingerItaly">#REF!</definedName>
    <definedName name="SingerSewingCompany" localSheetId="1">[32]Start!$C$31</definedName>
    <definedName name="SingerSewingCompany">#REF!</definedName>
    <definedName name="SnP_Industry" localSheetId="1">'[27]CCLP Portfolio'!$AN$4:$AN$113</definedName>
    <definedName name="SnP_Industry">#REF!</definedName>
    <definedName name="SnP_Notched_Ratings" localSheetId="1">'[27]CCLP Portfolio'!$Z$4:$Z$113</definedName>
    <definedName name="SnP_Notched_Ratings">#REF!</definedName>
    <definedName name="SnP_spread_compression" localSheetId="1">'[25]_Fitch Model'!$F$33</definedName>
    <definedName name="SnP_spread_compression">#REF!</definedName>
    <definedName name="solver_adj" hidden="1">#REF!</definedName>
    <definedName name="solver_drv" hidden="1">1</definedName>
    <definedName name="solver_est" hidden="1">1</definedName>
    <definedName name="solver_itr" hidden="1">100</definedName>
    <definedName name="solver_lhs1" localSheetId="1" hidden="1">[24]Portfolio!#REF!</definedName>
    <definedName name="solver_lhs1" hidden="1">#REF!</definedName>
    <definedName name="solver_lhs2" localSheetId="1" hidden="1">[24]Portfolio!#REF!</definedName>
    <definedName name="solver_lhs2" hidden="1">#REF!</definedName>
    <definedName name="solver_lhs4" localSheetId="1" hidden="1">[24]Portfolio!#REF!</definedName>
    <definedName name="solver_lhs4" hidden="1">#REF!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[32]Start!$C$32</definedName>
    <definedName name="Sourcing">#REF!</definedName>
    <definedName name="SouthAmericanTrading" localSheetId="1">[32]Start!$C$27</definedName>
    <definedName name="SouthAmericanTrading">#REF!</definedName>
    <definedName name="SP_Combo_BDR" localSheetId="1">'[25]_Fitch Model'!$H$40</definedName>
    <definedName name="SP_Combo_BDR">#REF!</definedName>
    <definedName name="SP_Combo_Rating" localSheetId="1">'[25]_Fitch Model'!$H$39</definedName>
    <definedName name="SP_Combo_Rating">#REF!</definedName>
    <definedName name="SPOT" localSheetId="1">'[72]Control Panel'!$D$6</definedName>
    <definedName name="SPOT">#REF!</definedName>
    <definedName name="sqdsad" localSheetId="1">[13]Service!$A$5:$A$6</definedName>
    <definedName name="sqdsad">#REF!</definedName>
    <definedName name="SrLoan" localSheetId="1">'[25]Model Inputs'!$C$33</definedName>
    <definedName name="SrLoan">#REF!</definedName>
    <definedName name="SrMgmt_Fee" localSheetId="1">'[25]Model Inputs'!$C$40</definedName>
    <definedName name="SrMgmt_Fee">#REF!</definedName>
    <definedName name="ssdfgsdgf" localSheetId="3" hidden="1">{#N/A,#N/A,FALSE,"Balance Sheet";#N/A,#N/A,FALSE,"Income Statement";#N/A,#N/A,FALSE,"Partners Capital";#N/A,#N/A,FALSE,"Cash Flows";#N/A,#N/A,FALSE,"Support"}</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[73]Inputs!$B$3</definedName>
    <definedName name="STAMP">#REF!</definedName>
    <definedName name="states" localSheetId="1">'[53]Market Data(I)'!$R$33:$W$51</definedName>
    <definedName name="states">#REF!</definedName>
    <definedName name="STITMO" localSheetId="1">'[14]Senior and Sub Notes'!$J$3:$X$62</definedName>
    <definedName name="STITMO">#REF!</definedName>
    <definedName name="STITMOEXT" localSheetId="1">'[14]Senior and Sub Notes'!$I$110:$X$143</definedName>
    <definedName name="STITMOEXT">#REF!</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'[25]Model Inputs'!$C$41</definedName>
    <definedName name="SubMgmt_Fee">#REF!</definedName>
    <definedName name="SubsAdjSelect" localSheetId="1">[19]Subscriptions!$F$6</definedName>
    <definedName name="SubsAdjSelect">#REF!</definedName>
    <definedName name="Sweep_AcR" localSheetId="1">[20]Ratios!$J$32</definedName>
    <definedName name="Sweep_AcR">#REF!</definedName>
    <definedName name="Swvu.BiPolar." localSheetId="1" hidden="1">'[21]BI-POLAR'!#REF!</definedName>
    <definedName name="Swvu.BiPolar." hidden="1">#REF!</definedName>
    <definedName name="Swvu.inputs._.raw._.data." hidden="1">#REF!</definedName>
    <definedName name="Swvu.sp2." localSheetId="1" hidden="1">[22]Industry!#REF!</definedName>
    <definedName name="Swvu.sp2." hidden="1">#REF!</definedName>
    <definedName name="Swvu.sum." localSheetId="1" hidden="1">[22]Industry!#REF!</definedName>
    <definedName name="Swvu.sum." hidden="1">#REF!</definedName>
    <definedName name="Swvu.summary1." hidden="1">#REF!</definedName>
    <definedName name="Swvu.summary2." hidden="1">#REF!</definedName>
    <definedName name="Swvu.summary3." hidden="1">#REF!</definedName>
    <definedName name="Swvu.Sumnpv." localSheetId="1" hidden="1">[23]List!$C$1:$L$34</definedName>
    <definedName name="Swvu.Sumnpv." hidden="1">#REF!</definedName>
    <definedName name="t" localSheetId="3" hidden="1">{"'TG'!$A$1:$L$37"}</definedName>
    <definedName name="t" localSheetId="1" hidden="1">{"'TG'!$A$1:$L$37"}</definedName>
    <definedName name="t" hidden="1">{"'TG'!$A$1:$L$37"}</definedName>
    <definedName name="TableName">"Dummy"</definedName>
    <definedName name="taiwanPurchasingOffice" localSheetId="1">[32]Start!$C$29</definedName>
    <definedName name="taiwanPurchasingOffice">#REF!</definedName>
    <definedName name="TAMPOCOSE" hidden="1">255</definedName>
    <definedName name="TAR" localSheetId="1">[73]Inputs!$F$7</definedName>
    <definedName name="TAR">#REF!</definedName>
    <definedName name="Target_Par_Amount" localSheetId="1">'[27]CCLP Portfolio'!$M$4:$M$113</definedName>
    <definedName name="Target_Par_Amount">#REF!</definedName>
    <definedName name="TAV_Excess_Concentration" localSheetId="1">'[20]Excess Concentration'!$BF$12</definedName>
    <definedName name="TAV_Excess_Concentration">#REF!</definedName>
    <definedName name="TECNOFIBRAS" localSheetId="3" hidden="1">{"'PXR_6500'!$A$1:$I$124"}</definedName>
    <definedName name="TECNOFIBRAS" localSheetId="1" hidden="1">{"'PXR_6500'!$A$1:$I$124"}</definedName>
    <definedName name="TECNOFIBRAS" hidden="1">{"'PXR_6500'!$A$1:$I$124"}</definedName>
    <definedName name="TECNOFIBRAS2" localSheetId="3" hidden="1">{"'PXR_6500'!$A$1:$I$124"}</definedName>
    <definedName name="TECNOFIBRAS2" localSheetId="1" hidden="1">{"'PXR_6500'!$A$1:$I$124"}</definedName>
    <definedName name="TECNOFIBRAS2" hidden="1">{"'PXR_6500'!$A$1:$I$124"}</definedName>
    <definedName name="TemplateVersion" localSheetId="1" hidden="1">[57]Reference!$C$4</definedName>
    <definedName name="TemplateVersion" hidden="1">#REF!</definedName>
    <definedName name="Term_Adv_Outstanding" localSheetId="1">'[20]Advances &amp; Repayments'!$D$28</definedName>
    <definedName name="Term_Adv_Outstanding">#REF!</definedName>
    <definedName name="test" localSheetId="3" hidden="1">{"'PXR_6500'!$A$1:$I$124"}</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'[48]WP_Hist ABC'!#REF!</definedName>
    <definedName name="tickname" hidden="1">#REF!</definedName>
    <definedName name="TITLE" localSheetId="1">[73]Inputs!$F$5</definedName>
    <definedName name="TITLE">#REF!</definedName>
    <definedName name="TotalLocation" localSheetId="1">[32]Start!$C$19</definedName>
    <definedName name="TotalLocation">#REF!</definedName>
    <definedName name="totcap" hidden="1">#REF!,#REF!,#REF!,#REF!</definedName>
    <definedName name="TravelAdjSelect" localSheetId="1">[19]Travel!$F$6</definedName>
    <definedName name="TravelAdjSelect">#REF!</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'[25]Model Inputs'!$C$38</definedName>
    <definedName name="Trustee_Fee">#REF!</definedName>
    <definedName name="Turkey" localSheetId="1">[32]Start!$C$30</definedName>
    <definedName name="Turkey">#REF!</definedName>
    <definedName name="tynonasset" localSheetId="1" hidden="1">'[55]Mult-3yr'!#REF!</definedName>
    <definedName name="tynonasset" hidden="1">#REF!</definedName>
    <definedName name="Unique_Issuer_Count" localSheetId="1">[27]Tables!$C$2</definedName>
    <definedName name="Unique_Issuer_Count">#REF!</definedName>
    <definedName name="Unique_Issuer_Par_Amout" localSheetId="1">'[27]CCLP Portfolio'!$AU$4:$AU$113</definedName>
    <definedName name="Unique_Issuer_Par_Amout">#REF!</definedName>
    <definedName name="Unsecured_YN" localSheetId="1">'[27]CCLP Portfolio'!$J$4:$J$113</definedName>
    <definedName name="Unsecured_YN">#REF!</definedName>
    <definedName name="UpdateLossCurveFitch" localSheetId="1">'[25]S&amp;P curves'!$AN$3</definedName>
    <definedName name="UpdateLossCurveFitch">#REF!</definedName>
    <definedName name="upload_range" localSheetId="1">OFFSET('[20]Data Upload'!$A$1,0,0,COUNTA('[20]Data Upload'!$A:$A),15)</definedName>
    <definedName name="upload_range">OFFSET(#REF!,0,0,COUNTA(#REF!),15)</definedName>
    <definedName name="UPSIDES" localSheetId="1">[14]Upsides!$I$1:$T$151</definedName>
    <definedName name="UPSIDES">#REF!</definedName>
    <definedName name="usd" hidden="1">#REF!</definedName>
    <definedName name="USD_Int_Acct_Int" localSheetId="1">[20]Inputs!$E$35</definedName>
    <definedName name="USD_Int_Acct_Int">#REF!</definedName>
    <definedName name="USD_Prin_Coll_Acct_Prin" localSheetId="1">[20]Inputs!$D$36</definedName>
    <definedName name="USD_Prin_Coll_Acct_Prin">#REF!</definedName>
    <definedName name="USD_Unfund_Exp_Acct" localSheetId="1">[20]Inputs!$D$37:$E$37</definedName>
    <definedName name="USD_Unfund_Exp_Acct">#REF!</definedName>
    <definedName name="Valuation_Agent_Fee_Cap" localSheetId="1">[20]Inputs!$D$68</definedName>
    <definedName name="Valuation_Agent_Fee_Cap">#REF!</definedName>
    <definedName name="Valuation_Date" localSheetId="1">'[34]OID Adder'!$C$2</definedName>
    <definedName name="Valuation_Date">#REF!</definedName>
    <definedName name="Vdates" localSheetId="1">'[44]CHANGE CONTROL'!$B:$B</definedName>
    <definedName name="Vdates">#REF!</definedName>
    <definedName name="VersionActual" localSheetId="1">[32]Start!$C$12</definedName>
    <definedName name="VersionActual">#REF!</definedName>
    <definedName name="VersionPlan" localSheetId="1">[32]Start!$D$12</definedName>
    <definedName name="VersionPlan">#REF!</definedName>
    <definedName name="vikash" hidden="1">#REF!</definedName>
    <definedName name="VTM_1" hidden="1">#REF!</definedName>
    <definedName name="VTM_2" hidden="1">#REF!</definedName>
    <definedName name="VTM_3" hidden="1">#REF!</definedName>
    <definedName name="vvv" localSheetId="3" hidden="1">{#N/A,#N/A,FALSE,"Balance Sheet";#N/A,#N/A,FALSE,"Income Statement";#N/A,#N/A,FALSE,"Partners Capital";#N/A,#N/A,FALSE,"Cash Flows";#N/A,#N/A,FALSE,"Support"}</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3" hidden="1">{"Assumptions",#N/A,FALSE,"Model"}</definedName>
    <definedName name="w" localSheetId="1" hidden="1">{"Assumptions",#N/A,FALSE,"Model"}</definedName>
    <definedName name="w" hidden="1">{"Assumptions",#N/A,FALSE,"Model"}</definedName>
    <definedName name="w_1" localSheetId="3" hidden="1">{"Assumptions",#N/A,FALSE,"Model"}</definedName>
    <definedName name="w_1" localSheetId="1" hidden="1">{"Assumptions",#N/A,FALSE,"Model"}</definedName>
    <definedName name="w_1" hidden="1">{"Assumptions",#N/A,FALSE,"Model"}</definedName>
    <definedName name="w_1_1" localSheetId="3" hidden="1">{"Assumptions",#N/A,FALSE,"Model"}</definedName>
    <definedName name="w_1_1" localSheetId="1" hidden="1">{"Assumptions",#N/A,FALSE,"Model"}</definedName>
    <definedName name="w_1_1" hidden="1">{"Assumptions",#N/A,FALSE,"Model"}</definedName>
    <definedName name="w_1_1_1" localSheetId="3" hidden="1">{"Assumptions",#N/A,FALSE,"Model"}</definedName>
    <definedName name="w_1_1_1" localSheetId="1" hidden="1">{"Assumptions",#N/A,FALSE,"Model"}</definedName>
    <definedName name="w_1_1_1" hidden="1">{"Assumptions",#N/A,FALSE,"Model"}</definedName>
    <definedName name="w_1_1_1_1" localSheetId="3" hidden="1">{"Assumptions",#N/A,FALSE,"Model"}</definedName>
    <definedName name="w_1_1_1_1" localSheetId="1" hidden="1">{"Assumptions",#N/A,FALSE,"Model"}</definedName>
    <definedName name="w_1_1_1_1" hidden="1">{"Assumptions",#N/A,FALSE,"Model"}</definedName>
    <definedName name="w_1_2" localSheetId="3" hidden="1">{"Assumptions",#N/A,FALSE,"Model"}</definedName>
    <definedName name="w_1_2" localSheetId="1" hidden="1">{"Assumptions",#N/A,FALSE,"Model"}</definedName>
    <definedName name="w_1_2" hidden="1">{"Assumptions",#N/A,FALSE,"Model"}</definedName>
    <definedName name="w_1_2_1" localSheetId="3" hidden="1">{"Assumptions",#N/A,FALSE,"Model"}</definedName>
    <definedName name="w_1_2_1" localSheetId="1" hidden="1">{"Assumptions",#N/A,FALSE,"Model"}</definedName>
    <definedName name="w_1_2_1" hidden="1">{"Assumptions",#N/A,FALSE,"Model"}</definedName>
    <definedName name="w_1_3" localSheetId="3" hidden="1">{"Assumptions",#N/A,FALSE,"Model"}</definedName>
    <definedName name="w_1_3" localSheetId="1" hidden="1">{"Assumptions",#N/A,FALSE,"Model"}</definedName>
    <definedName name="w_1_3" hidden="1">{"Assumptions",#N/A,FALSE,"Model"}</definedName>
    <definedName name="w_1_3_1" localSheetId="3" hidden="1">{"Assumptions",#N/A,FALSE,"Model"}</definedName>
    <definedName name="w_1_3_1" localSheetId="1" hidden="1">{"Assumptions",#N/A,FALSE,"Model"}</definedName>
    <definedName name="w_1_3_1" hidden="1">{"Assumptions",#N/A,FALSE,"Model"}</definedName>
    <definedName name="w_1_4" localSheetId="3" hidden="1">{"Assumptions",#N/A,FALSE,"Model"}</definedName>
    <definedName name="w_1_4" localSheetId="1" hidden="1">{"Assumptions",#N/A,FALSE,"Model"}</definedName>
    <definedName name="w_1_4" hidden="1">{"Assumptions",#N/A,FALSE,"Model"}</definedName>
    <definedName name="w_2" localSheetId="3" hidden="1">{"Assumptions",#N/A,FALSE,"Model"}</definedName>
    <definedName name="w_2" localSheetId="1" hidden="1">{"Assumptions",#N/A,FALSE,"Model"}</definedName>
    <definedName name="w_2" hidden="1">{"Assumptions",#N/A,FALSE,"Model"}</definedName>
    <definedName name="w_2_1" localSheetId="3" hidden="1">{"Assumptions",#N/A,FALSE,"Model"}</definedName>
    <definedName name="w_2_1" localSheetId="1" hidden="1">{"Assumptions",#N/A,FALSE,"Model"}</definedName>
    <definedName name="w_2_1" hidden="1">{"Assumptions",#N/A,FALSE,"Model"}</definedName>
    <definedName name="w_2_1_1" localSheetId="3" hidden="1">{"Assumptions",#N/A,FALSE,"Model"}</definedName>
    <definedName name="w_2_1_1" localSheetId="1" hidden="1">{"Assumptions",#N/A,FALSE,"Model"}</definedName>
    <definedName name="w_2_1_1" hidden="1">{"Assumptions",#N/A,FALSE,"Model"}</definedName>
    <definedName name="w_2_1_1_1" localSheetId="3" hidden="1">{"Assumptions",#N/A,FALSE,"Model"}</definedName>
    <definedName name="w_2_1_1_1" localSheetId="1" hidden="1">{"Assumptions",#N/A,FALSE,"Model"}</definedName>
    <definedName name="w_2_1_1_1" hidden="1">{"Assumptions",#N/A,FALSE,"Model"}</definedName>
    <definedName name="w_2_2" localSheetId="3" hidden="1">{"Assumptions",#N/A,FALSE,"Model"}</definedName>
    <definedName name="w_2_2" localSheetId="1" hidden="1">{"Assumptions",#N/A,FALSE,"Model"}</definedName>
    <definedName name="w_2_2" hidden="1">{"Assumptions",#N/A,FALSE,"Model"}</definedName>
    <definedName name="w_2_2_1" localSheetId="3" hidden="1">{"Assumptions",#N/A,FALSE,"Model"}</definedName>
    <definedName name="w_2_2_1" localSheetId="1" hidden="1">{"Assumptions",#N/A,FALSE,"Model"}</definedName>
    <definedName name="w_2_2_1" hidden="1">{"Assumptions",#N/A,FALSE,"Model"}</definedName>
    <definedName name="w_2_3" localSheetId="3" hidden="1">{"Assumptions",#N/A,FALSE,"Model"}</definedName>
    <definedName name="w_2_3" localSheetId="1" hidden="1">{"Assumptions",#N/A,FALSE,"Model"}</definedName>
    <definedName name="w_2_3" hidden="1">{"Assumptions",#N/A,FALSE,"Model"}</definedName>
    <definedName name="w_3" localSheetId="3" hidden="1">{"Assumptions",#N/A,FALSE,"Model"}</definedName>
    <definedName name="w_3" localSheetId="1" hidden="1">{"Assumptions",#N/A,FALSE,"Model"}</definedName>
    <definedName name="w_3" hidden="1">{"Assumptions",#N/A,FALSE,"Model"}</definedName>
    <definedName name="w_3_1" localSheetId="3" hidden="1">{"Assumptions",#N/A,FALSE,"Model"}</definedName>
    <definedName name="w_3_1" localSheetId="1" hidden="1">{"Assumptions",#N/A,FALSE,"Model"}</definedName>
    <definedName name="w_3_1" hidden="1">{"Assumptions",#N/A,FALSE,"Model"}</definedName>
    <definedName name="w_3_1_1" localSheetId="3" hidden="1">{"Assumptions",#N/A,FALSE,"Model"}</definedName>
    <definedName name="w_3_1_1" localSheetId="1" hidden="1">{"Assumptions",#N/A,FALSE,"Model"}</definedName>
    <definedName name="w_3_1_1" hidden="1">{"Assumptions",#N/A,FALSE,"Model"}</definedName>
    <definedName name="w_3_1_1_1" localSheetId="3" hidden="1">{"Assumptions",#N/A,FALSE,"Model"}</definedName>
    <definedName name="w_3_1_1_1" localSheetId="1" hidden="1">{"Assumptions",#N/A,FALSE,"Model"}</definedName>
    <definedName name="w_3_1_1_1" hidden="1">{"Assumptions",#N/A,FALSE,"Model"}</definedName>
    <definedName name="w_3_2" localSheetId="3" hidden="1">{"Assumptions",#N/A,FALSE,"Model"}</definedName>
    <definedName name="w_3_2" localSheetId="1" hidden="1">{"Assumptions",#N/A,FALSE,"Model"}</definedName>
    <definedName name="w_3_2" hidden="1">{"Assumptions",#N/A,FALSE,"Model"}</definedName>
    <definedName name="w_3_2_1" localSheetId="3" hidden="1">{"Assumptions",#N/A,FALSE,"Model"}</definedName>
    <definedName name="w_3_2_1" localSheetId="1" hidden="1">{"Assumptions",#N/A,FALSE,"Model"}</definedName>
    <definedName name="w_3_2_1" hidden="1">{"Assumptions",#N/A,FALSE,"Model"}</definedName>
    <definedName name="w_3_3" localSheetId="3" hidden="1">{"Assumptions",#N/A,FALSE,"Model"}</definedName>
    <definedName name="w_3_3" localSheetId="1" hidden="1">{"Assumptions",#N/A,FALSE,"Model"}</definedName>
    <definedName name="w_3_3" hidden="1">{"Assumptions",#N/A,FALSE,"Model"}</definedName>
    <definedName name="w_4" localSheetId="3" hidden="1">{"Assumptions",#N/A,FALSE,"Model"}</definedName>
    <definedName name="w_4" localSheetId="1" hidden="1">{"Assumptions",#N/A,FALSE,"Model"}</definedName>
    <definedName name="w_4" hidden="1">{"Assumptions",#N/A,FALSE,"Model"}</definedName>
    <definedName name="w_4_1" localSheetId="3" hidden="1">{"Assumptions",#N/A,FALSE,"Model"}</definedName>
    <definedName name="w_4_1" localSheetId="1" hidden="1">{"Assumptions",#N/A,FALSE,"Model"}</definedName>
    <definedName name="w_4_1" hidden="1">{"Assumptions",#N/A,FALSE,"Model"}</definedName>
    <definedName name="w_4_1_1" localSheetId="3" hidden="1">{"Assumptions",#N/A,FALSE,"Model"}</definedName>
    <definedName name="w_4_1_1" localSheetId="1" hidden="1">{"Assumptions",#N/A,FALSE,"Model"}</definedName>
    <definedName name="w_4_1_1" hidden="1">{"Assumptions",#N/A,FALSE,"Model"}</definedName>
    <definedName name="w_4_1_1_1" localSheetId="3" hidden="1">{"Assumptions",#N/A,FALSE,"Model"}</definedName>
    <definedName name="w_4_1_1_1" localSheetId="1" hidden="1">{"Assumptions",#N/A,FALSE,"Model"}</definedName>
    <definedName name="w_4_1_1_1" hidden="1">{"Assumptions",#N/A,FALSE,"Model"}</definedName>
    <definedName name="w_4_2" localSheetId="3" hidden="1">{"Assumptions",#N/A,FALSE,"Model"}</definedName>
    <definedName name="w_4_2" localSheetId="1" hidden="1">{"Assumptions",#N/A,FALSE,"Model"}</definedName>
    <definedName name="w_4_2" hidden="1">{"Assumptions",#N/A,FALSE,"Model"}</definedName>
    <definedName name="w_4_2_1" localSheetId="3" hidden="1">{"Assumptions",#N/A,FALSE,"Model"}</definedName>
    <definedName name="w_4_2_1" localSheetId="1" hidden="1">{"Assumptions",#N/A,FALSE,"Model"}</definedName>
    <definedName name="w_4_2_1" hidden="1">{"Assumptions",#N/A,FALSE,"Model"}</definedName>
    <definedName name="w_4_3" localSheetId="3" hidden="1">{"Assumptions",#N/A,FALSE,"Model"}</definedName>
    <definedName name="w_4_3" localSheetId="1" hidden="1">{"Assumptions",#N/A,FALSE,"Model"}</definedName>
    <definedName name="w_4_3" hidden="1">{"Assumptions",#N/A,FALSE,"Model"}</definedName>
    <definedName name="w_5" localSheetId="3" hidden="1">{"Assumptions",#N/A,FALSE,"Model"}</definedName>
    <definedName name="w_5" localSheetId="1" hidden="1">{"Assumptions",#N/A,FALSE,"Model"}</definedName>
    <definedName name="w_5" hidden="1">{"Assumptions",#N/A,FALSE,"Model"}</definedName>
    <definedName name="w_5_1" localSheetId="3" hidden="1">{"Assumptions",#N/A,FALSE,"Model"}</definedName>
    <definedName name="w_5_1" localSheetId="1" hidden="1">{"Assumptions",#N/A,FALSE,"Model"}</definedName>
    <definedName name="w_5_1" hidden="1">{"Assumptions",#N/A,FALSE,"Model"}</definedName>
    <definedName name="w_5_1_1" localSheetId="3" hidden="1">{"Assumptions",#N/A,FALSE,"Model"}</definedName>
    <definedName name="w_5_1_1" localSheetId="1" hidden="1">{"Assumptions",#N/A,FALSE,"Model"}</definedName>
    <definedName name="w_5_1_1" hidden="1">{"Assumptions",#N/A,FALSE,"Model"}</definedName>
    <definedName name="w_5_1_1_1" localSheetId="3" hidden="1">{"Assumptions",#N/A,FALSE,"Model"}</definedName>
    <definedName name="w_5_1_1_1" localSheetId="1" hidden="1">{"Assumptions",#N/A,FALSE,"Model"}</definedName>
    <definedName name="w_5_1_1_1" hidden="1">{"Assumptions",#N/A,FALSE,"Model"}</definedName>
    <definedName name="w_5_2" localSheetId="3" hidden="1">{"Assumptions",#N/A,FALSE,"Model"}</definedName>
    <definedName name="w_5_2" localSheetId="1" hidden="1">{"Assumptions",#N/A,FALSE,"Model"}</definedName>
    <definedName name="w_5_2" hidden="1">{"Assumptions",#N/A,FALSE,"Model"}</definedName>
    <definedName name="w_5_2_1" localSheetId="3" hidden="1">{"Assumptions",#N/A,FALSE,"Model"}</definedName>
    <definedName name="w_5_2_1" localSheetId="1" hidden="1">{"Assumptions",#N/A,FALSE,"Model"}</definedName>
    <definedName name="w_5_2_1" hidden="1">{"Assumptions",#N/A,FALSE,"Model"}</definedName>
    <definedName name="w_5_3" localSheetId="3" hidden="1">{"Assumptions",#N/A,FALSE,"Model"}</definedName>
    <definedName name="w_5_3" localSheetId="1" hidden="1">{"Assumptions",#N/A,FALSE,"Model"}</definedName>
    <definedName name="w_5_3" hidden="1">{"Assumptions",#N/A,FALSE,"Model"}</definedName>
    <definedName name="WA_Adv_Rate" localSheetId="1">'[20]Loan List'!$L$9</definedName>
    <definedName name="WA_Adv_Rate">#REF!</definedName>
    <definedName name="WA_Unfunded_Adv_Rate" localSheetId="1">'[20]Loan List'!$O$9</definedName>
    <definedName name="WA_Unfunded_Adv_Rate">#REF!</definedName>
    <definedName name="wacc.beta.2weekly" localSheetId="1">[29]Settings!$U$69</definedName>
    <definedName name="wacc.beta.2weekly">#REF!</definedName>
    <definedName name="wacc.beta.5weekly" localSheetId="1">[29]Settings!$U$68</definedName>
    <definedName name="wacc.beta.5weekly">#REF!</definedName>
    <definedName name="wacc.beta.backup" localSheetId="1">[29]Settings!$H$67</definedName>
    <definedName name="wacc.beta.backup">#REF!</definedName>
    <definedName name="wacc.beta.index" localSheetId="1">[29]Settings!$K$65</definedName>
    <definedName name="wacc.beta.index">#REF!</definedName>
    <definedName name="wacc.beta.raw" localSheetId="1">[29]Settings!$U$71</definedName>
    <definedName name="wacc.beta.raw">#REF!</definedName>
    <definedName name="wacc.beta.term" localSheetId="1">[29]Settings!$H$65</definedName>
    <definedName name="wacc.beta.term">#REF!</definedName>
    <definedName name="wacc.beta.type" localSheetId="1">[29]Settings!$I$65</definedName>
    <definedName name="wacc.beta.type">#REF!</definedName>
    <definedName name="wacc.bond.1a" localSheetId="1">[29]Settings!$U$80</definedName>
    <definedName name="wacc.bond.1a">#REF!</definedName>
    <definedName name="wacc.bond.2a" localSheetId="1">[29]Settings!$U$79</definedName>
    <definedName name="wacc.bond.2a">#REF!</definedName>
    <definedName name="wacc.bond.3a" localSheetId="1">[29]Settings!$U$78</definedName>
    <definedName name="wacc.bond.3a">#REF!</definedName>
    <definedName name="wacc.bond.baa" localSheetId="1">[29]Settings!$U$81</definedName>
    <definedName name="wacc.bond.baa">#REF!</definedName>
    <definedName name="wacc.bond.corporate" localSheetId="1">[29]Settings!$U$82</definedName>
    <definedName name="wacc.bond.corporate">#REF!</definedName>
    <definedName name="wacc.bond.rating" localSheetId="1">[29]Settings!$H$73</definedName>
    <definedName name="wacc.bond.rating">#REF!</definedName>
    <definedName name="wacc.bond.type" localSheetId="1">[29]Settings!$I$73</definedName>
    <definedName name="wacc.bond.type">#REF!</definedName>
    <definedName name="wacc.country.damodaran" localSheetId="1">[29]Settings!$U$77</definedName>
    <definedName name="wacc.country.damodaran">#REF!</definedName>
    <definedName name="wacc.country.morningstar" localSheetId="1">[29]Settings!$U$76</definedName>
    <definedName name="wacc.country.morningstar">#REF!</definedName>
    <definedName name="wacc.country.select" localSheetId="1">[29]Settings!$H$71</definedName>
    <definedName name="wacc.country.select">#REF!</definedName>
    <definedName name="wacc.country.year" localSheetId="1">[29]ICOC!$B$8</definedName>
    <definedName name="wacc.country.year">#REF!</definedName>
    <definedName name="wacc.rfr.10year" localSheetId="1">[29]Settings!$U$73</definedName>
    <definedName name="wacc.rfr.10year">#REF!</definedName>
    <definedName name="wacc.rfr.30year" localSheetId="1">[29]Settings!$U$75</definedName>
    <definedName name="wacc.rfr.30year">#REF!</definedName>
    <definedName name="wacc.rfr.select" localSheetId="1">[29]Settings!$H$69</definedName>
    <definedName name="wacc.rfr.select">#REF!</definedName>
    <definedName name="wacc.round.50bps" localSheetId="1">[29]Settings!$U$85</definedName>
    <definedName name="wacc.round.50bps">#REF!</definedName>
    <definedName name="wacc.round.none" localSheetId="1">[29]Settings!$U$84</definedName>
    <definedName name="wacc.round.none">#REF!</definedName>
    <definedName name="wacc.round.select" localSheetId="1">[29]Settings!$H$75</definedName>
    <definedName name="wacc.round.select">#REF!</definedName>
    <definedName name="wacc.ru2" localSheetId="1">[29]WACC.RU2!$H$58</definedName>
    <definedName name="wacc.ru2">#REF!</definedName>
    <definedName name="wacc.ru3" localSheetId="1">[29]WACC.RU3!$H$58</definedName>
    <definedName name="wacc.ru3">#REF!</definedName>
    <definedName name="wacc.spread.year" localSheetId="1">[29]Spread!$B$8</definedName>
    <definedName name="wacc.spread.year">#REF!</definedName>
    <definedName name="wacc.structure.5year" localSheetId="1">[29]Settings!$U$65</definedName>
    <definedName name="wacc.structure.5year">#REF!</definedName>
    <definedName name="wacc.structure.select" localSheetId="1">[29]Settings!$H$63</definedName>
    <definedName name="wacc.structure.select">#REF!</definedName>
    <definedName name="WAL_covenant" localSheetId="1">'[25]MDY Model'!$T$15</definedName>
    <definedName name="WAL_covenant">#REF!</definedName>
    <definedName name="WatchList" localSheetId="1">'[42]PBC Data'!$O$3:$O$196</definedName>
    <definedName name="WatchList">#REF!</definedName>
    <definedName name="WatchListValue" localSheetId="1">'[42]PBC Data'!$V$3:$V$196</definedName>
    <definedName name="WatchListValue">#REF!</definedName>
    <definedName name="weq" hidden="1">#REF!</definedName>
    <definedName name="wesarasfdfdfds" localSheetId="3" hidden="1">{"e_Target Assumptions",#N/A,FALSE,"Financials";"f_Target Income Statement",#N/A,FALSE,"Financials";"g_Target Balance Sheet",#N/A,FALSE,"Financials";"h_Target Cashflow Statement",#N/A,FALSE,"Financials"}</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3" hidden="1">{"'PXR_6500'!$A$1:$I$124"}</definedName>
    <definedName name="wq" localSheetId="1" hidden="1">{"'PXR_6500'!$A$1:$I$124"}</definedName>
    <definedName name="wq" hidden="1">{"'PXR_6500'!$A$1:$I$124"}</definedName>
    <definedName name="wrn" localSheetId="3" hidden="1">{#N/A,#N/A,FALSE,"Balance Sheet";#N/A,#N/A,FALSE,"Income Statement";#N/A,#N/A,FALSE,"Partners Capital";#N/A,#N/A,FALSE,"Cash Flows";#N/A,#N/A,FALSE,"Support"}</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3" hidden="1">{"cover",#N/A,TRUE,"Cover";"toc1",#N/A,TRUE,"TOC";"ts1",#N/A,TRUE,"Transaction Summary";"ei",#N/A,TRUE,"Earnings Impact";"ad",#N/A,TRUE,"accretion dilution"}</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3" hidden="1">{"cover",#N/A,TRUE,"Cover";"toc3",#N/A,TRUE,"TOC";"over",#N/A,TRUE,"Overview";"ts2",#N/A,TRUE,"Det_Trans_Sum";"ei1c",#N/A,TRUE,"Earnings Impact";"ad1",#N/A,TRUE,"accretion dilution";"pfis1",#N/A,TRUE,"Pro Forma Income Statement";"acq1c",#N/A,TRUE,"Acquirer";"tar1c",#N/A,TRUE,"Target"}</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3" hidden="1">{"cover",#N/A,TRUE,"Cover";"toc3",#N/A,TRUE,"TOC";"over",#N/A,TRUE,"Overview";"ts2",#N/A,TRUE,"Det_Trans_Sum";"ei2c",#N/A,TRUE,"Earnings Impact";"ad2",#N/A,TRUE,"accretion dilution";"pfis2",#N/A,TRUE,"Pro Forma Income Statement";"acq2c",#N/A,TRUE,"Acquirer";"tar2c",#N/A,TRUE,"Target"}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3" hidden="1">{"cover",#N/A,TRUE,"Cover";"toc3",#N/A,TRUE,"TOC";"over",#N/A,TRUE,"Overview";"ts2",#N/A,TRUE,"Det_Trans_Sum";"ei3c",#N/A,TRUE,"Earnings Impact";"ad3",#N/A,TRUE,"accretion dilution";"pfis3",#N/A,TRUE,"Pro Forma Income Statement";"acq3c",#N/A,TRUE,"Acquirer";"tar3c",#N/A,TRUE,"Target"}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3"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3"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3"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3" hidden="1">{"cover",#N/A,TRUE,"Cover";"toc5",#N/A,TRUE,"TOC";"over",#N/A,TRUE,"Overview";"ts2",#N/A,TRUE,"Det_Trans_Sum";"eic",#N/A,TRUE,"Earnings Impact";"ad",#N/A,TRUE,"accretion dilution";"pfis",#N/A,TRUE,"Pro Forma Income Statement";"ca",#N/A,TRUE,"Contribution_Analysis";"acqc",#N/A,TRUE,"Acquirer";"tarc",#N/A,TRUE,"Target"}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3" hidden="1">{"cover",#N/A,TRUE,"Cover";"toc5",#N/A,TRUE,"TOC";"over",#N/A,TRUE,"Overview";"ts2",#N/A,TRUE,"Det_Trans_Sum";"ei1c",#N/A,TRUE,"Earnings Impact";"ad1",#N/A,TRUE,"accretion dilution";"pfis1",#N/A,TRUE,"Pro Forma Income Statement";"ca1",#N/A,TRUE,"Contribution_Analysis";"acq1c",#N/A,TRUE,"Acquirer";"tar1c",#N/A,TRUE,"Target"}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3" hidden="1">{"cover",#N/A,TRUE,"Cover";"toc5",#N/A,TRUE,"TOC";"ts2",#N/A,TRUE,"Det_Trans_Sum";"over",#N/A,TRUE,"Overview";"ei2c",#N/A,TRUE,"Earnings Impact";"ad2",#N/A,TRUE,"accretion dilution";"pfis2",#N/A,TRUE,"Pro Forma Income Statement";"ca2",#N/A,TRUE,"Contribution_Analysis";"acq2c",#N/A,TRUE,"Acquirer";"tar2c",#N/A,TRUE,"Target"}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3" hidden="1">{"SUMMARY",#N/A,TRUE,"SUMMARY";"compare",#N/A,TRUE,"Vs. Bus Plan";"ratios",#N/A,TRUE,"Ratios";"REVENUE",#N/A,TRUE,"Revenue";"expenses",#N/A,TRUE,"1996 budget";"payroll",#N/A,TRUE,"Payroll"}</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3"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3" hidden="1">{"ten year ratios",#N/A,TRUE,"PROFIT_LOSS";"ten year ratios",#N/A,TRUE,"Ratios";"ten yr opex and capex",#N/A,TRUE,"1996 budget";"ten year revenues",#N/A,TRUE,"Revenue_1996-2004";"ten year 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3" hidden="1">{"cover",#N/A,TRUE,"Cover";"toc1",#N/A,TRUE,"TOC";"ts1",#N/A,TRUE,"Transaction Summary";"ei1",#N/A,TRUE,"Earnings Impact";"ad1",#N/A,TRUE,"accretion dilution"}</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3" hidden="1">{"Cover",#N/A,FALSE,"Cover";"Summary",#N/A,FALSE,"Summarpage"}</definedName>
    <definedName name="wrn.2._.pagers." localSheetId="1" hidden="1">{"Cover",#N/A,FALSE,"Cover";"Summary",#N/A,FALSE,"Summarpage"}</definedName>
    <definedName name="wrn.2._.pagers." hidden="1">{"Cover",#N/A,FALSE,"Cover";"Summary",#N/A,FALSE,"Summarpage"}</definedName>
    <definedName name="wrn.20." localSheetId="3" hidden="1">{"cover",#N/A,TRUE,"Cover";"toc5",#N/A,TRUE,"TOC";"over",#N/A,TRUE,"Overview";"ts2",#N/A,TRUE,"Det_Trans_Sum";"ei3c",#N/A,TRUE,"Earnings Impact";"ad3",#N/A,TRUE,"accretion dilution";"pfis3",#N/A,TRUE,"Pro Forma Income Statement";"ca3",#N/A,TRUE,"Contribution_Analysis";"acq3c",#N/A,TRUE,"Acquirer";"tar3c",#N/A,TRUE,"Target"}</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3" hidden="1">{"cover",#N/A,TRUE,"Cover";"toc6",#N/A,TRUE,"TOC";"over",#N/A,TRUE,"Overview";"ts2",#N/A,TRUE,"Det_Trans_Sum";"eic",#N/A,TRUE,"Earnings Impact";"ad",#N/A,TRUE,"accretion dilution";"hg",#N/A,TRUE,"Has-Gets";"pfis",#N/A,TRUE,"Pro Forma Income Statement";"ca",#N/A,TRUE,"Contribution_Analysis";"acqc",#N/A,TRUE,"Acquirer";"tarc",#N/A,TRUE,"Target"}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3"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3"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3" hidden="1">{"cover",#N/A,TRUE,"Cover";"toc3",#N/A,TRUE,"TOC";"over",#N/A,TRUE,"Overview";"ts2",#N/A,TRUE,"Det_Trans_Sum";"ei",#N/A,TRUE,"Earnings Impact";"ad",#N/A,TRUE,"accretion dilution";"pfis",#N/A,TRUE,"Pro Forma Income Statement";"acq",#N/A,TRUE,"Acquirer";"tar",#N/A,TRUE,"Target"}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3" hidden="1">{"cover",#N/A,TRUE,"Cover";"toc3",#N/A,TRUE,"TOC";"over",#N/A,TRUE,"Overview";"ts2",#N/A,TRUE,"Det_Trans_Sum";"ei1",#N/A,TRUE,"Earnings Impact";"ad1",#N/A,TRUE,"accretion dilution";"pfis1",#N/A,TRUE,"Pro Forma Income Statement";"acq1",#N/A,TRUE,"Acquirer";"tar1",#N/A,TRUE,"Target"}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3" hidden="1">{"cover",#N/A,TRUE,"Cover";"toc3",#N/A,TRUE,"TOC";"over",#N/A,TRUE,"Overview";"ts2",#N/A,TRUE,"Det_Trans_Sum";"ei2",#N/A,TRUE,"Earnings Impact";"ad2",#N/A,TRUE,"accretion dilution";"pfis2",#N/A,TRUE,"Pro Forma Income Statement";"acq2",#N/A,TRUE,"Acquirer";"tar2",#N/A,TRUE,"Target"}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3" hidden="1">{"cover",#N/A,TRUE,"Cover";"toc3",#N/A,TRUE,"TOC";"over",#N/A,TRUE,"Overview";"ts2",#N/A,TRUE,"Det_Trans_Sum";"ei3",#N/A,TRUE,"Earnings Impact";"ad3",#N/A,TRUE,"accretion dilution";"pfis3",#N/A,TRUE,"Pro Forma Income Statement";"acq3",#N/A,TRUE,"Acquirer";"tar3",#N/A,TRUE,"Target"}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3"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3" hidden="1">{"cover",#N/A,TRUE,"Cover";"toc1",#N/A,TRUE,"TOC";"ts1",#N/A,TRUE,"Transaction Summary";"ei2",#N/A,TRUE,"Earnings Impact";"ad2",#N/A,TRUE,"accretion dilution"}</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3"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3"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3"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3" hidden="1">{"cover",#N/A,TRUE,"Cover";"toc5",#N/A,TRUE,"TOC";"over",#N/A,TRUE,"Overview";"ts2",#N/A,TRUE,"Det_Trans_Sum";"ei",#N/A,TRUE,"Earnings Impact";"ad",#N/A,TRUE,"accretion dilution";"pfis",#N/A,TRUE,"Pro Forma Income Statement";"ca",#N/A,TRUE,"Contribution_Analysis";"acq",#N/A,TRUE,"Acquirer";"tar",#N/A,TRUE,"Target"}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3" hidden="1">{"cover",#N/A,TRUE,"Cover";"toc5",#N/A,TRUE,"TOC";"over",#N/A,TRUE,"Overview";"ts2",#N/A,TRUE,"Det_Trans_Sum";"ei1",#N/A,TRUE,"Earnings Impact";"ad1",#N/A,TRUE,"accretion dilution";"pfis1",#N/A,TRUE,"Pro Forma Income Statement";"ca1",#N/A,TRUE,"Contribution_Analysis";"acq1",#N/A,TRUE,"Acquirer";"tar1",#N/A,TRUE,"Target"}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3" hidden="1">{"cover",#N/A,TRUE,"Cover";"toc5",#N/A,TRUE,"TOC";"over",#N/A,TRUE,"Overview";"ts2",#N/A,TRUE,"Det_Trans_Sum";"ei2",#N/A,TRUE,"Earnings Impact";"ad2",#N/A,TRUE,"accretion dilution";"pfis2",#N/A,TRUE,"Pro Forma Income Statement";"ca2",#N/A,TRUE,"Contribution_Analysis";"acq2",#N/A,TRUE,"Acquirer";"tar2",#N/A,TRUE,"Target"}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3" hidden="1">{"cover",#N/A,TRUE,"Cover";"toc5",#N/A,TRUE,"TOC";"over",#N/A,TRUE,"Overview";"ts2",#N/A,TRUE,"Det_Trans_Sum";"ei3",#N/A,TRUE,"Earnings Impact";"ad3",#N/A,TRUE,"accretion dilution";"pfis3",#N/A,TRUE,"Pro Forma Income Statement";"ca3",#N/A,TRUE,"Contribution_Analysis";"acq3",#N/A,TRUE,"Acquirer";"tar3",#N/A,TRUE,"Target"}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3" hidden="1">{"cover",#N/A,TRUE,"Cover";"toc6",#N/A,TRUE,"TOC";"over",#N/A,TRUE,"Overview";"ts2",#N/A,TRUE,"Det_Trans_Sum";"ei",#N/A,TRUE,"Earnings Impact";"ad",#N/A,TRUE,"accretion dilution";"hg",#N/A,TRUE,"Has-Gets";"pfis",#N/A,TRUE,"Pro Forma Income Statement";"ca",#N/A,TRUE,"Contribution_Analysis";"acq",#N/A,TRUE,"Acquirer";"tar",#N/A,TRUE,"Target"}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3" hidden="1">{"cover",#N/A,TRUE,"Cover";"toc6",#N/A,TRUE,"TOC";"over",#N/A,TRUE,"Overview";"ts2",#N/A,TRUE,"Det_Trans_Sum";"ei1",#N/A,TRUE,"Earnings Impact";"ad1",#N/A,TRUE,"accretion dilution";"hg1",#N/A,TRUE,"Has-Gets";"pfis1",#N/A,TRUE,"Pro Forma Income Statement";"ca1",#N/A,TRUE,"Contribution_Analysis";"acq1",#N/A,TRUE,"Acquirer";"tar1",#N/A,TRUE,"Target"}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3" hidden="1">{"cover",#N/A,TRUE,"Cover";"toc6",#N/A,TRUE,"TOC";"over",#N/A,TRUE,"Overview";"ts2",#N/A,TRUE,"Det_Trans_Sum";"ei2",#N/A,TRUE,"Earnings Impact";"ad2",#N/A,TRUE,"accretion dilution";"hg2",#N/A,TRUE,"Has-Gets";"pfis2",#N/A,TRUE,"Pro Forma Income Statement";"ca2",#N/A,TRUE,"Contribution_Analysis";"acq2",#N/A,TRUE,"Acquirer";"tar2",#N/A,TRUE,"Target"}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3" hidden="1">{"toc1",#N/A,FALSE,"TOC";"cover",#N/A,FALSE,"Cover";"ts1",#N/A,FALSE,"Transaction Summary";"ei3",#N/A,FALSE,"Earnings Impact";"ad3",#N/A,FALSE,"accretion dilution"}</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3" hidden="1">{"cover",#N/A,TRUE,"Cover";"toc6",#N/A,TRUE,"TOC";"over",#N/A,TRUE,"Overview";"ts2",#N/A,TRUE,"Det_Trans_Sum";"ei3",#N/A,TRUE,"Earnings Impact";"ad3",#N/A,TRUE,"accretion dilution";"hg3",#N/A,TRUE,"Has-Gets";"pfis3",#N/A,TRUE,"Pro Forma Income Statement";"ca3",#N/A,TRUE,"Contribution_Analysis";"acq3",#N/A,TRUE,"Acquirer";"tar3",#N/A,TRUE,"Target"}</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3" hidden="1">{"cover",#N/A,TRUE,"Cover";"toc7",#N/A,TRUE,"TOC";"over",#N/A,TRUE,"Overview";"ts2",#N/A,TRUE,"Det_Trans_Sum";"eic",#N/A,TRUE,"Earnings Impact";"ad",#N/A,TRUE,"accretion dilution";"pfis",#N/A,TRUE,"Pro Forma Income Statement";"profba",#N/A,TRUE,"Pro Forma Balance Sheet";"acqc",#N/A,TRUE,"Acquirer";"tarc",#N/A,TRUE,"Target"}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3" hidden="1">{"cover",#N/A,TRUE,"Cover";"toc7",#N/A,TRUE,"TOC";"over",#N/A,TRUE,"Overview";"ts2",#N/A,TRUE,"Det_Trans_Sum";"ei1c",#N/A,TRUE,"Earnings Impact";"ad1",#N/A,TRUE,"accretion dilution";"pfis1",#N/A,TRUE,"Pro Forma Income Statement";"profba",#N/A,TRUE,"Pro Forma Balance Sheet";"acq1c",#N/A,TRUE,"Acquirer";"tar1c",#N/A,TRUE,"Target"}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3" hidden="1">{"cover",#N/A,TRUE,"Cover";"toc7",#N/A,TRUE,"TOC";"over",#N/A,TRUE,"Overview";"ts2",#N/A,TRUE,"Det_Trans_Sum";"ei2c",#N/A,TRUE,"Earnings Impact";"ad2",#N/A,TRUE,"accretion dilution";"pfis2",#N/A,TRUE,"Pro Forma Income Statement";"profba",#N/A,TRUE,"Pro Forma Balance Sheet";"acq2c",#N/A,TRUE,"Acquirer";"tar2c",#N/A,TRUE,"Target"}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3" hidden="1">{"cover",#N/A,TRUE,"Cover";"toc7",#N/A,TRUE,"TOC";"over",#N/A,TRUE,"Overview";"ts2",#N/A,TRUE,"Det_Trans_Sum";"ei3c",#N/A,TRUE,"Earnings Impact";"ad3",#N/A,TRUE,"accretion dilution";"pfis3",#N/A,TRUE,"Pro Forma Income Statement";"profba",#N/A,TRUE,"Pro Forma Balance Sheet";"acq3c",#N/A,TRUE,"Acquirer";"tar3c",#N/A,TRUE,"Target"}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3"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3"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3"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3"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3" hidden="1">{"cover",#N/A,TRUE,"Cover";"toc2",#N/A,TRUE,"TOC";"ts1",#N/A,TRUE,"Transaction Summary";"ei",#N/A,TRUE,"Earnings Impact";"ad",#N/A,TRUE,"accretion dilution";"hg",#N/A,TRUE,"Has-Gets"}</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3"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3"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3"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3"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3"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3"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3" hidden="1">{"cover",#N/A,TRUE,"Cover";"toc7",#N/A,TRUE,"TOC";"over",#N/A,TRUE,"Overview";"ts2",#N/A,TRUE,"Det_Trans_Sum";"ei",#N/A,TRUE,"Earnings Impact";"ad",#N/A,TRUE,"accretion dilution";"pfis",#N/A,TRUE,"Pro Forma Income Statement";"profba",#N/A,TRUE,"Pro Forma Balance Sheet";"acq",#N/A,TRUE,"Acquirer";"tar",#N/A,TRUE,"Target"}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3" hidden="1">{"cover",#N/A,TRUE,"Cover";"toc7",#N/A,TRUE,"TOC";"over",#N/A,TRUE,"Overview";"ts2",#N/A,TRUE,"Det_Trans_Sum";"ei1",#N/A,TRUE,"Earnings Impact";"ad1",#N/A,TRUE,"accretion dilution";"pfis1",#N/A,TRUE,"Pro Forma Income Statement";"profba",#N/A,TRUE,"Pro Forma Balance Sheet";"acq1",#N/A,TRUE,"Acquirer";"tar1",#N/A,TRUE,"Target"}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3" hidden="1">{"cover",#N/A,TRUE,"Cover";"toc7",#N/A,TRUE,"TOC";"over",#N/A,TRUE,"Overview";"ts2",#N/A,TRUE,"Det_Trans_Sum";"ei2",#N/A,TRUE,"Earnings Impact";"ad2",#N/A,TRUE,"accretion dilution";"pfis2",#N/A,TRUE,"Pro Forma Income Statement";"profba",#N/A,TRUE,"Pro Forma Balance Sheet";"acq2",#N/A,TRUE,"Acquirer";"tar2",#N/A,TRUE,"Target"}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3" hidden="1">{"cover",#N/A,TRUE,"Cover";"toc2",#N/A,TRUE,"TOC";"ts1",#N/A,TRUE,"Transaction Summary";"ei1",#N/A,TRUE,"Earnings Impact";"ad1",#N/A,TRUE,"accretion dilution";"hg1",#N/A,TRUE,"Has-Gets"}</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3" hidden="1">{"cover",#N/A,TRUE,"Cover";"toc7",#N/A,TRUE,"TOC";"over",#N/A,TRUE,"Overview";"ts2",#N/A,TRUE,"Det_Trans_Sum";"ei3",#N/A,TRUE,"Earnings Impact";"ad3",#N/A,TRUE,"accretion dilution";"pfis3",#N/A,TRUE,"Pro Forma Income Statement";"profba",#N/A,TRUE,"Pro Forma Balance Sheet";"acq3",#N/A,TRUE,"Acquirer";"tar3",#N/A,TRUE,"Target"}</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3"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3"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3"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3"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3"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3"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3"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3"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3" hidden="1">{"cover",#N/A,TRUE,"Cover";"toc2",#N/A,TRUE,"TOC";"ts1",#N/A,TRUE,"Transaction Summary";"ei2c",#N/A,TRUE,"Earnings Impact";"ad2",#N/A,TRUE,"accretion dilution";"hg2",#N/A,TRUE,"Has-Gets"}</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3"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3"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3"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3" hidden="1">{"cover",#N/A,TRUE,"Cover";"toc2",#N/A,TRUE,"TOC";"ts1",#N/A,TRUE,"Transaction Summary";"ei3",#N/A,TRUE,"Earnings Impact";"ad3",#N/A,TRUE,"accretion dilution";"hg3",#N/A,TRUE,"Has-Gets"}</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3" hidden="1">{"cover",#N/A,TRUE,"Cover";"toc3",#N/A,TRUE,"TOC";"over",#N/A,TRUE,"Overview";"ts2",#N/A,TRUE,"Det_Trans_Sum";"eic",#N/A,TRUE,"Earnings Impact";"ad",#N/A,TRUE,"accretion dilution";"pfis",#N/A,TRUE,"Pro Forma Income Statement";"acqc",#N/A,TRUE,"Acquirer";"tarc",#N/A,TRUE,"Target"}</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3" hidden="1">{"a_Acquiror Assumptions",#N/A,FALSE,"Financials";"b_Acquiror Income Statement",#N/A,FALSE,"Financials";"c_Acquiror Balance Sheet",#N/A,FALSE,"Financials";"d_Acquiror Cashflow Statement",#N/A,FALSE,"Financials"}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3" hidden="1">{#N/A,#N/A,FALSE,"CARATULA GENERAL";#N/A,#N/A,FALSE,"GSxDIRECCION";#N/A,#N/A,FALSE,"Caratula";#N/A,#N/A,FALSE,"GSxCTRO";#N/A,#N/A,FALSE,"GsAdm.Centr";#N/A,#N/A,FALSE,"Dir.Gral";#N/A,#N/A,FALSE,"AdmyFzas";#N/A,#N/A,FALSE,"Sistemas";#N/A,#N/A,FALSE,"RRHH"}</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3" hidden="1">{#N/A,#N/A,FALSE,"Aging Summary";#N/A,#N/A,FALSE,"Ratio Analysis";#N/A,#N/A,FALSE,"Test 120 Day Accts";#N/A,#N/A,FALSE,"Tickmarks"}</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3" hidden="1">{#N/A,#N/A,FALSE,"Balance Sheet";#N/A,#N/A,FALSE,"Income Statement";#N/A,#N/A,FALSE,"Partners Capital";#N/A,#N/A,FALSE,"Cash Flows";#N/A,#N/A,FALSE,"Support"}</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3" hidden="1">{"Data Entry",#N/A,FALSE,"COMPTEMP";"Ratios",#N/A,FALSE,"COMPTEMP";"Aggregate Values",#N/A,FALSE,"COMPTEMP";"Equity Multiples",#N/A,FALSE,"COMPTEMP";"Summary Overview",#N/A,FALSE,"COMPTEMP"}</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3" hidden="1">{#N/A,#N/A,TRUE,"buffalo";#N/A,#N/A,TRUE,"chatt";#N/A,#N/A,TRUE,"Griffith";#N/A,#N/A,TRUE,"Hammond";#N/A,#N/A,TRUE,"Harvey";#N/A,#N/A,TRUE,"texas";#N/A,#N/A,TRUE,"Combined"}</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3" hidden="1">{#N/A,#N/A,FALSE,"Balance Sheet";#N/A,#N/A,FALSE,"Income Statement";#N/A,#N/A,FALSE,"Partners Capital";#N/A,#N/A,FALSE,"Cash Flows";#N/A,#N/A,FALSE,"Support"}</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3" hidden="1">{#N/A,#N/A,FALSE,"BALANCE";#N/A,#N/A,FALSE,"CUENTA DE PYG";#N/A,#N/A,FALSE,"RATIOS"}</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3" hidden="1">{"Assumptions",#N/A,FALSE,"Model"}</definedName>
    <definedName name="wrn.ass" localSheetId="1" hidden="1">{"Assumptions",#N/A,FALSE,"Model"}</definedName>
    <definedName name="wrn.ass" hidden="1">{"Assumptions",#N/A,FALSE,"Model"}</definedName>
    <definedName name="wrn.ass_1" localSheetId="3" hidden="1">{"Assumptions",#N/A,FALSE,"Model"}</definedName>
    <definedName name="wrn.ass_1" localSheetId="1" hidden="1">{"Assumptions",#N/A,FALSE,"Model"}</definedName>
    <definedName name="wrn.ass_1" hidden="1">{"Assumptions",#N/A,FALSE,"Model"}</definedName>
    <definedName name="wrn.ass_1_1" localSheetId="3" hidden="1">{"Assumptions",#N/A,FALSE,"Model"}</definedName>
    <definedName name="wrn.ass_1_1" localSheetId="1" hidden="1">{"Assumptions",#N/A,FALSE,"Model"}</definedName>
    <definedName name="wrn.ass_1_1" hidden="1">{"Assumptions",#N/A,FALSE,"Model"}</definedName>
    <definedName name="wrn.ass_1_1_1" localSheetId="3" hidden="1">{"Assumptions",#N/A,FALSE,"Model"}</definedName>
    <definedName name="wrn.ass_1_1_1" localSheetId="1" hidden="1">{"Assumptions",#N/A,FALSE,"Model"}</definedName>
    <definedName name="wrn.ass_1_1_1" hidden="1">{"Assumptions",#N/A,FALSE,"Model"}</definedName>
    <definedName name="wrn.ass_1_1_1_1" localSheetId="3" hidden="1">{"Assumptions",#N/A,FALSE,"Model"}</definedName>
    <definedName name="wrn.ass_1_1_1_1" localSheetId="1" hidden="1">{"Assumptions",#N/A,FALSE,"Model"}</definedName>
    <definedName name="wrn.ass_1_1_1_1" hidden="1">{"Assumptions",#N/A,FALSE,"Model"}</definedName>
    <definedName name="wrn.ass_1_2" localSheetId="3" hidden="1">{"Assumptions",#N/A,FALSE,"Model"}</definedName>
    <definedName name="wrn.ass_1_2" localSheetId="1" hidden="1">{"Assumptions",#N/A,FALSE,"Model"}</definedName>
    <definedName name="wrn.ass_1_2" hidden="1">{"Assumptions",#N/A,FALSE,"Model"}</definedName>
    <definedName name="wrn.ass_1_2_1" localSheetId="3" hidden="1">{"Assumptions",#N/A,FALSE,"Model"}</definedName>
    <definedName name="wrn.ass_1_2_1" localSheetId="1" hidden="1">{"Assumptions",#N/A,FALSE,"Model"}</definedName>
    <definedName name="wrn.ass_1_2_1" hidden="1">{"Assumptions",#N/A,FALSE,"Model"}</definedName>
    <definedName name="wrn.ass_1_3" localSheetId="3" hidden="1">{"Assumptions",#N/A,FALSE,"Model"}</definedName>
    <definedName name="wrn.ass_1_3" localSheetId="1" hidden="1">{"Assumptions",#N/A,FALSE,"Model"}</definedName>
    <definedName name="wrn.ass_1_3" hidden="1">{"Assumptions",#N/A,FALSE,"Model"}</definedName>
    <definedName name="wrn.ass_1_3_1" localSheetId="3" hidden="1">{"Assumptions",#N/A,FALSE,"Model"}</definedName>
    <definedName name="wrn.ass_1_3_1" localSheetId="1" hidden="1">{"Assumptions",#N/A,FALSE,"Model"}</definedName>
    <definedName name="wrn.ass_1_3_1" hidden="1">{"Assumptions",#N/A,FALSE,"Model"}</definedName>
    <definedName name="wrn.ass_1_4" localSheetId="3" hidden="1">{"Assumptions",#N/A,FALSE,"Model"}</definedName>
    <definedName name="wrn.ass_1_4" localSheetId="1" hidden="1">{"Assumptions",#N/A,FALSE,"Model"}</definedName>
    <definedName name="wrn.ass_1_4" hidden="1">{"Assumptions",#N/A,FALSE,"Model"}</definedName>
    <definedName name="wrn.ass_2" localSheetId="3" hidden="1">{"Assumptions",#N/A,FALSE,"Model"}</definedName>
    <definedName name="wrn.ass_2" localSheetId="1" hidden="1">{"Assumptions",#N/A,FALSE,"Model"}</definedName>
    <definedName name="wrn.ass_2" hidden="1">{"Assumptions",#N/A,FALSE,"Model"}</definedName>
    <definedName name="wrn.ass_2_1" localSheetId="3" hidden="1">{"Assumptions",#N/A,FALSE,"Model"}</definedName>
    <definedName name="wrn.ass_2_1" localSheetId="1" hidden="1">{"Assumptions",#N/A,FALSE,"Model"}</definedName>
    <definedName name="wrn.ass_2_1" hidden="1">{"Assumptions",#N/A,FALSE,"Model"}</definedName>
    <definedName name="wrn.ass_2_1_1" localSheetId="3" hidden="1">{"Assumptions",#N/A,FALSE,"Model"}</definedName>
    <definedName name="wrn.ass_2_1_1" localSheetId="1" hidden="1">{"Assumptions",#N/A,FALSE,"Model"}</definedName>
    <definedName name="wrn.ass_2_1_1" hidden="1">{"Assumptions",#N/A,FALSE,"Model"}</definedName>
    <definedName name="wrn.ass_2_1_1_1" localSheetId="3" hidden="1">{"Assumptions",#N/A,FALSE,"Model"}</definedName>
    <definedName name="wrn.ass_2_1_1_1" localSheetId="1" hidden="1">{"Assumptions",#N/A,FALSE,"Model"}</definedName>
    <definedName name="wrn.ass_2_1_1_1" hidden="1">{"Assumptions",#N/A,FALSE,"Model"}</definedName>
    <definedName name="wrn.ass_2_2" localSheetId="3" hidden="1">{"Assumptions",#N/A,FALSE,"Model"}</definedName>
    <definedName name="wrn.ass_2_2" localSheetId="1" hidden="1">{"Assumptions",#N/A,FALSE,"Model"}</definedName>
    <definedName name="wrn.ass_2_2" hidden="1">{"Assumptions",#N/A,FALSE,"Model"}</definedName>
    <definedName name="wrn.ass_2_2_1" localSheetId="3" hidden="1">{"Assumptions",#N/A,FALSE,"Model"}</definedName>
    <definedName name="wrn.ass_2_2_1" localSheetId="1" hidden="1">{"Assumptions",#N/A,FALSE,"Model"}</definedName>
    <definedName name="wrn.ass_2_2_1" hidden="1">{"Assumptions",#N/A,FALSE,"Model"}</definedName>
    <definedName name="wrn.ass_2_3" localSheetId="3" hidden="1">{"Assumptions",#N/A,FALSE,"Model"}</definedName>
    <definedName name="wrn.ass_2_3" localSheetId="1" hidden="1">{"Assumptions",#N/A,FALSE,"Model"}</definedName>
    <definedName name="wrn.ass_2_3" hidden="1">{"Assumptions",#N/A,FALSE,"Model"}</definedName>
    <definedName name="wrn.ass_3" localSheetId="3" hidden="1">{"Assumptions",#N/A,FALSE,"Model"}</definedName>
    <definedName name="wrn.ass_3" localSheetId="1" hidden="1">{"Assumptions",#N/A,FALSE,"Model"}</definedName>
    <definedName name="wrn.ass_3" hidden="1">{"Assumptions",#N/A,FALSE,"Model"}</definedName>
    <definedName name="wrn.ass_3_1" localSheetId="3" hidden="1">{"Assumptions",#N/A,FALSE,"Model"}</definedName>
    <definedName name="wrn.ass_3_1" localSheetId="1" hidden="1">{"Assumptions",#N/A,FALSE,"Model"}</definedName>
    <definedName name="wrn.ass_3_1" hidden="1">{"Assumptions",#N/A,FALSE,"Model"}</definedName>
    <definedName name="wrn.ass_3_1_1" localSheetId="3" hidden="1">{"Assumptions",#N/A,FALSE,"Model"}</definedName>
    <definedName name="wrn.ass_3_1_1" localSheetId="1" hidden="1">{"Assumptions",#N/A,FALSE,"Model"}</definedName>
    <definedName name="wrn.ass_3_1_1" hidden="1">{"Assumptions",#N/A,FALSE,"Model"}</definedName>
    <definedName name="wrn.ass_3_1_1_1" localSheetId="3" hidden="1">{"Assumptions",#N/A,FALSE,"Model"}</definedName>
    <definedName name="wrn.ass_3_1_1_1" localSheetId="1" hidden="1">{"Assumptions",#N/A,FALSE,"Model"}</definedName>
    <definedName name="wrn.ass_3_1_1_1" hidden="1">{"Assumptions",#N/A,FALSE,"Model"}</definedName>
    <definedName name="wrn.ass_3_2" localSheetId="3" hidden="1">{"Assumptions",#N/A,FALSE,"Model"}</definedName>
    <definedName name="wrn.ass_3_2" localSheetId="1" hidden="1">{"Assumptions",#N/A,FALSE,"Model"}</definedName>
    <definedName name="wrn.ass_3_2" hidden="1">{"Assumptions",#N/A,FALSE,"Model"}</definedName>
    <definedName name="wrn.ass_3_2_1" localSheetId="3" hidden="1">{"Assumptions",#N/A,FALSE,"Model"}</definedName>
    <definedName name="wrn.ass_3_2_1" localSheetId="1" hidden="1">{"Assumptions",#N/A,FALSE,"Model"}</definedName>
    <definedName name="wrn.ass_3_2_1" hidden="1">{"Assumptions",#N/A,FALSE,"Model"}</definedName>
    <definedName name="wrn.ass_3_3" localSheetId="3" hidden="1">{"Assumptions",#N/A,FALSE,"Model"}</definedName>
    <definedName name="wrn.ass_3_3" localSheetId="1" hidden="1">{"Assumptions",#N/A,FALSE,"Model"}</definedName>
    <definedName name="wrn.ass_3_3" hidden="1">{"Assumptions",#N/A,FALSE,"Model"}</definedName>
    <definedName name="wrn.ass_4" localSheetId="3" hidden="1">{"Assumptions",#N/A,FALSE,"Model"}</definedName>
    <definedName name="wrn.ass_4" localSheetId="1" hidden="1">{"Assumptions",#N/A,FALSE,"Model"}</definedName>
    <definedName name="wrn.ass_4" hidden="1">{"Assumptions",#N/A,FALSE,"Model"}</definedName>
    <definedName name="wrn.ass_4_1" localSheetId="3" hidden="1">{"Assumptions",#N/A,FALSE,"Model"}</definedName>
    <definedName name="wrn.ass_4_1" localSheetId="1" hidden="1">{"Assumptions",#N/A,FALSE,"Model"}</definedName>
    <definedName name="wrn.ass_4_1" hidden="1">{"Assumptions",#N/A,FALSE,"Model"}</definedName>
    <definedName name="wrn.ass_4_1_1" localSheetId="3" hidden="1">{"Assumptions",#N/A,FALSE,"Model"}</definedName>
    <definedName name="wrn.ass_4_1_1" localSheetId="1" hidden="1">{"Assumptions",#N/A,FALSE,"Model"}</definedName>
    <definedName name="wrn.ass_4_1_1" hidden="1">{"Assumptions",#N/A,FALSE,"Model"}</definedName>
    <definedName name="wrn.ass_4_1_1_1" localSheetId="3" hidden="1">{"Assumptions",#N/A,FALSE,"Model"}</definedName>
    <definedName name="wrn.ass_4_1_1_1" localSheetId="1" hidden="1">{"Assumptions",#N/A,FALSE,"Model"}</definedName>
    <definedName name="wrn.ass_4_1_1_1" hidden="1">{"Assumptions",#N/A,FALSE,"Model"}</definedName>
    <definedName name="wrn.ass_4_2" localSheetId="3" hidden="1">{"Assumptions",#N/A,FALSE,"Model"}</definedName>
    <definedName name="wrn.ass_4_2" localSheetId="1" hidden="1">{"Assumptions",#N/A,FALSE,"Model"}</definedName>
    <definedName name="wrn.ass_4_2" hidden="1">{"Assumptions",#N/A,FALSE,"Model"}</definedName>
    <definedName name="wrn.ass_4_2_1" localSheetId="3" hidden="1">{"Assumptions",#N/A,FALSE,"Model"}</definedName>
    <definedName name="wrn.ass_4_2_1" localSheetId="1" hidden="1">{"Assumptions",#N/A,FALSE,"Model"}</definedName>
    <definedName name="wrn.ass_4_2_1" hidden="1">{"Assumptions",#N/A,FALSE,"Model"}</definedName>
    <definedName name="wrn.ass_4_3" localSheetId="3" hidden="1">{"Assumptions",#N/A,FALSE,"Model"}</definedName>
    <definedName name="wrn.ass_4_3" localSheetId="1" hidden="1">{"Assumptions",#N/A,FALSE,"Model"}</definedName>
    <definedName name="wrn.ass_4_3" hidden="1">{"Assumptions",#N/A,FALSE,"Model"}</definedName>
    <definedName name="wrn.ass_5" localSheetId="3" hidden="1">{"Assumptions",#N/A,FALSE,"Model"}</definedName>
    <definedName name="wrn.ass_5" localSheetId="1" hidden="1">{"Assumptions",#N/A,FALSE,"Model"}</definedName>
    <definedName name="wrn.ass_5" hidden="1">{"Assumptions",#N/A,FALSE,"Model"}</definedName>
    <definedName name="wrn.ass_5_1" localSheetId="3" hidden="1">{"Assumptions",#N/A,FALSE,"Model"}</definedName>
    <definedName name="wrn.ass_5_1" localSheetId="1" hidden="1">{"Assumptions",#N/A,FALSE,"Model"}</definedName>
    <definedName name="wrn.ass_5_1" hidden="1">{"Assumptions",#N/A,FALSE,"Model"}</definedName>
    <definedName name="wrn.ass_5_1_1" localSheetId="3" hidden="1">{"Assumptions",#N/A,FALSE,"Model"}</definedName>
    <definedName name="wrn.ass_5_1_1" localSheetId="1" hidden="1">{"Assumptions",#N/A,FALSE,"Model"}</definedName>
    <definedName name="wrn.ass_5_1_1" hidden="1">{"Assumptions",#N/A,FALSE,"Model"}</definedName>
    <definedName name="wrn.ass_5_1_1_1" localSheetId="3" hidden="1">{"Assumptions",#N/A,FALSE,"Model"}</definedName>
    <definedName name="wrn.ass_5_1_1_1" localSheetId="1" hidden="1">{"Assumptions",#N/A,FALSE,"Model"}</definedName>
    <definedName name="wrn.ass_5_1_1_1" hidden="1">{"Assumptions",#N/A,FALSE,"Model"}</definedName>
    <definedName name="wrn.ass_5_2" localSheetId="3" hidden="1">{"Assumptions",#N/A,FALSE,"Model"}</definedName>
    <definedName name="wrn.ass_5_2" localSheetId="1" hidden="1">{"Assumptions",#N/A,FALSE,"Model"}</definedName>
    <definedName name="wrn.ass_5_2" hidden="1">{"Assumptions",#N/A,FALSE,"Model"}</definedName>
    <definedName name="wrn.ass_5_2_1" localSheetId="3" hidden="1">{"Assumptions",#N/A,FALSE,"Model"}</definedName>
    <definedName name="wrn.ass_5_2_1" localSheetId="1" hidden="1">{"Assumptions",#N/A,FALSE,"Model"}</definedName>
    <definedName name="wrn.ass_5_2_1" hidden="1">{"Assumptions",#N/A,FALSE,"Model"}</definedName>
    <definedName name="wrn.ass_5_3" localSheetId="3" hidden="1">{"Assumptions",#N/A,FALSE,"Model"}</definedName>
    <definedName name="wrn.ass_5_3" localSheetId="1" hidden="1">{"Assumptions",#N/A,FALSE,"Model"}</definedName>
    <definedName name="wrn.ass_5_3" hidden="1">{"Assumptions",#N/A,FALSE,"Model"}</definedName>
    <definedName name="wrn.assumption" localSheetId="3" hidden="1">{"Assumptions",#N/A,FALSE,"Model"}</definedName>
    <definedName name="wrn.assumption" localSheetId="1" hidden="1">{"Assumptions",#N/A,FALSE,"Model"}</definedName>
    <definedName name="wrn.assumption" hidden="1">{"Assumptions",#N/A,FALSE,"Model"}</definedName>
    <definedName name="wrn.assumption_1" localSheetId="3" hidden="1">{"Assumptions",#N/A,FALSE,"Model"}</definedName>
    <definedName name="wrn.assumption_1" localSheetId="1" hidden="1">{"Assumptions",#N/A,FALSE,"Model"}</definedName>
    <definedName name="wrn.assumption_1" hidden="1">{"Assumptions",#N/A,FALSE,"Model"}</definedName>
    <definedName name="wrn.assumption_1_1" localSheetId="3" hidden="1">{"Assumptions",#N/A,FALSE,"Model"}</definedName>
    <definedName name="wrn.assumption_1_1" localSheetId="1" hidden="1">{"Assumptions",#N/A,FALSE,"Model"}</definedName>
    <definedName name="wrn.assumption_1_1" hidden="1">{"Assumptions",#N/A,FALSE,"Model"}</definedName>
    <definedName name="wrn.assumption_1_1_1" localSheetId="3" hidden="1">{"Assumptions",#N/A,FALSE,"Model"}</definedName>
    <definedName name="wrn.assumption_1_1_1" localSheetId="1" hidden="1">{"Assumptions",#N/A,FALSE,"Model"}</definedName>
    <definedName name="wrn.assumption_1_1_1" hidden="1">{"Assumptions",#N/A,FALSE,"Model"}</definedName>
    <definedName name="wrn.assumption_1_1_1_1" localSheetId="3" hidden="1">{"Assumptions",#N/A,FALSE,"Model"}</definedName>
    <definedName name="wrn.assumption_1_1_1_1" localSheetId="1" hidden="1">{"Assumptions",#N/A,FALSE,"Model"}</definedName>
    <definedName name="wrn.assumption_1_1_1_1" hidden="1">{"Assumptions",#N/A,FALSE,"Model"}</definedName>
    <definedName name="wrn.assumption_1_2" localSheetId="3" hidden="1">{"Assumptions",#N/A,FALSE,"Model"}</definedName>
    <definedName name="wrn.assumption_1_2" localSheetId="1" hidden="1">{"Assumptions",#N/A,FALSE,"Model"}</definedName>
    <definedName name="wrn.assumption_1_2" hidden="1">{"Assumptions",#N/A,FALSE,"Model"}</definedName>
    <definedName name="wrn.assumption_1_2_1" localSheetId="3" hidden="1">{"Assumptions",#N/A,FALSE,"Model"}</definedName>
    <definedName name="wrn.assumption_1_2_1" localSheetId="1" hidden="1">{"Assumptions",#N/A,FALSE,"Model"}</definedName>
    <definedName name="wrn.assumption_1_2_1" hidden="1">{"Assumptions",#N/A,FALSE,"Model"}</definedName>
    <definedName name="wrn.assumption_1_3" localSheetId="3" hidden="1">{"Assumptions",#N/A,FALSE,"Model"}</definedName>
    <definedName name="wrn.assumption_1_3" localSheetId="1" hidden="1">{"Assumptions",#N/A,FALSE,"Model"}</definedName>
    <definedName name="wrn.assumption_1_3" hidden="1">{"Assumptions",#N/A,FALSE,"Model"}</definedName>
    <definedName name="wrn.assumption_1_3_1" localSheetId="3" hidden="1">{"Assumptions",#N/A,FALSE,"Model"}</definedName>
    <definedName name="wrn.assumption_1_3_1" localSheetId="1" hidden="1">{"Assumptions",#N/A,FALSE,"Model"}</definedName>
    <definedName name="wrn.assumption_1_3_1" hidden="1">{"Assumptions",#N/A,FALSE,"Model"}</definedName>
    <definedName name="wrn.assumption_1_4" localSheetId="3" hidden="1">{"Assumptions",#N/A,FALSE,"Model"}</definedName>
    <definedName name="wrn.assumption_1_4" localSheetId="1" hidden="1">{"Assumptions",#N/A,FALSE,"Model"}</definedName>
    <definedName name="wrn.assumption_1_4" hidden="1">{"Assumptions",#N/A,FALSE,"Model"}</definedName>
    <definedName name="wrn.assumption_2" localSheetId="3" hidden="1">{"Assumptions",#N/A,FALSE,"Model"}</definedName>
    <definedName name="wrn.assumption_2" localSheetId="1" hidden="1">{"Assumptions",#N/A,FALSE,"Model"}</definedName>
    <definedName name="wrn.assumption_2" hidden="1">{"Assumptions",#N/A,FALSE,"Model"}</definedName>
    <definedName name="wrn.assumption_2_1" localSheetId="3" hidden="1">{"Assumptions",#N/A,FALSE,"Model"}</definedName>
    <definedName name="wrn.assumption_2_1" localSheetId="1" hidden="1">{"Assumptions",#N/A,FALSE,"Model"}</definedName>
    <definedName name="wrn.assumption_2_1" hidden="1">{"Assumptions",#N/A,FALSE,"Model"}</definedName>
    <definedName name="wrn.assumption_2_1_1" localSheetId="3" hidden="1">{"Assumptions",#N/A,FALSE,"Model"}</definedName>
    <definedName name="wrn.assumption_2_1_1" localSheetId="1" hidden="1">{"Assumptions",#N/A,FALSE,"Model"}</definedName>
    <definedName name="wrn.assumption_2_1_1" hidden="1">{"Assumptions",#N/A,FALSE,"Model"}</definedName>
    <definedName name="wrn.assumption_2_1_1_1" localSheetId="3" hidden="1">{"Assumptions",#N/A,FALSE,"Model"}</definedName>
    <definedName name="wrn.assumption_2_1_1_1" localSheetId="1" hidden="1">{"Assumptions",#N/A,FALSE,"Model"}</definedName>
    <definedName name="wrn.assumption_2_1_1_1" hidden="1">{"Assumptions",#N/A,FALSE,"Model"}</definedName>
    <definedName name="wrn.assumption_2_2" localSheetId="3" hidden="1">{"Assumptions",#N/A,FALSE,"Model"}</definedName>
    <definedName name="wrn.assumption_2_2" localSheetId="1" hidden="1">{"Assumptions",#N/A,FALSE,"Model"}</definedName>
    <definedName name="wrn.assumption_2_2" hidden="1">{"Assumptions",#N/A,FALSE,"Model"}</definedName>
    <definedName name="wrn.assumption_2_2_1" localSheetId="3" hidden="1">{"Assumptions",#N/A,FALSE,"Model"}</definedName>
    <definedName name="wrn.assumption_2_2_1" localSheetId="1" hidden="1">{"Assumptions",#N/A,FALSE,"Model"}</definedName>
    <definedName name="wrn.assumption_2_2_1" hidden="1">{"Assumptions",#N/A,FALSE,"Model"}</definedName>
    <definedName name="wrn.assumption_2_3" localSheetId="3" hidden="1">{"Assumptions",#N/A,FALSE,"Model"}</definedName>
    <definedName name="wrn.assumption_2_3" localSheetId="1" hidden="1">{"Assumptions",#N/A,FALSE,"Model"}</definedName>
    <definedName name="wrn.assumption_2_3" hidden="1">{"Assumptions",#N/A,FALSE,"Model"}</definedName>
    <definedName name="wrn.assumption_3" localSheetId="3" hidden="1">{"Assumptions",#N/A,FALSE,"Model"}</definedName>
    <definedName name="wrn.assumption_3" localSheetId="1" hidden="1">{"Assumptions",#N/A,FALSE,"Model"}</definedName>
    <definedName name="wrn.assumption_3" hidden="1">{"Assumptions",#N/A,FALSE,"Model"}</definedName>
    <definedName name="wrn.assumption_3_1" localSheetId="3" hidden="1">{"Assumptions",#N/A,FALSE,"Model"}</definedName>
    <definedName name="wrn.assumption_3_1" localSheetId="1" hidden="1">{"Assumptions",#N/A,FALSE,"Model"}</definedName>
    <definedName name="wrn.assumption_3_1" hidden="1">{"Assumptions",#N/A,FALSE,"Model"}</definedName>
    <definedName name="wrn.assumption_3_1_1" localSheetId="3" hidden="1">{"Assumptions",#N/A,FALSE,"Model"}</definedName>
    <definedName name="wrn.assumption_3_1_1" localSheetId="1" hidden="1">{"Assumptions",#N/A,FALSE,"Model"}</definedName>
    <definedName name="wrn.assumption_3_1_1" hidden="1">{"Assumptions",#N/A,FALSE,"Model"}</definedName>
    <definedName name="wrn.assumption_3_1_1_1" localSheetId="3" hidden="1">{"Assumptions",#N/A,FALSE,"Model"}</definedName>
    <definedName name="wrn.assumption_3_1_1_1" localSheetId="1" hidden="1">{"Assumptions",#N/A,FALSE,"Model"}</definedName>
    <definedName name="wrn.assumption_3_1_1_1" hidden="1">{"Assumptions",#N/A,FALSE,"Model"}</definedName>
    <definedName name="wrn.assumption_3_2" localSheetId="3" hidden="1">{"Assumptions",#N/A,FALSE,"Model"}</definedName>
    <definedName name="wrn.assumption_3_2" localSheetId="1" hidden="1">{"Assumptions",#N/A,FALSE,"Model"}</definedName>
    <definedName name="wrn.assumption_3_2" hidden="1">{"Assumptions",#N/A,FALSE,"Model"}</definedName>
    <definedName name="wrn.assumption_3_2_1" localSheetId="3" hidden="1">{"Assumptions",#N/A,FALSE,"Model"}</definedName>
    <definedName name="wrn.assumption_3_2_1" localSheetId="1" hidden="1">{"Assumptions",#N/A,FALSE,"Model"}</definedName>
    <definedName name="wrn.assumption_3_2_1" hidden="1">{"Assumptions",#N/A,FALSE,"Model"}</definedName>
    <definedName name="wrn.assumption_3_3" localSheetId="3" hidden="1">{"Assumptions",#N/A,FALSE,"Model"}</definedName>
    <definedName name="wrn.assumption_3_3" localSheetId="1" hidden="1">{"Assumptions",#N/A,FALSE,"Model"}</definedName>
    <definedName name="wrn.assumption_3_3" hidden="1">{"Assumptions",#N/A,FALSE,"Model"}</definedName>
    <definedName name="wrn.assumption_4" localSheetId="3" hidden="1">{"Assumptions",#N/A,FALSE,"Model"}</definedName>
    <definedName name="wrn.assumption_4" localSheetId="1" hidden="1">{"Assumptions",#N/A,FALSE,"Model"}</definedName>
    <definedName name="wrn.assumption_4" hidden="1">{"Assumptions",#N/A,FALSE,"Model"}</definedName>
    <definedName name="wrn.assumption_4_1" localSheetId="3" hidden="1">{"Assumptions",#N/A,FALSE,"Model"}</definedName>
    <definedName name="wrn.assumption_4_1" localSheetId="1" hidden="1">{"Assumptions",#N/A,FALSE,"Model"}</definedName>
    <definedName name="wrn.assumption_4_1" hidden="1">{"Assumptions",#N/A,FALSE,"Model"}</definedName>
    <definedName name="wrn.assumption_4_1_1" localSheetId="3" hidden="1">{"Assumptions",#N/A,FALSE,"Model"}</definedName>
    <definedName name="wrn.assumption_4_1_1" localSheetId="1" hidden="1">{"Assumptions",#N/A,FALSE,"Model"}</definedName>
    <definedName name="wrn.assumption_4_1_1" hidden="1">{"Assumptions",#N/A,FALSE,"Model"}</definedName>
    <definedName name="wrn.assumption_4_1_1_1" localSheetId="3" hidden="1">{"Assumptions",#N/A,FALSE,"Model"}</definedName>
    <definedName name="wrn.assumption_4_1_1_1" localSheetId="1" hidden="1">{"Assumptions",#N/A,FALSE,"Model"}</definedName>
    <definedName name="wrn.assumption_4_1_1_1" hidden="1">{"Assumptions",#N/A,FALSE,"Model"}</definedName>
    <definedName name="wrn.assumption_4_2" localSheetId="3" hidden="1">{"Assumptions",#N/A,FALSE,"Model"}</definedName>
    <definedName name="wrn.assumption_4_2" localSheetId="1" hidden="1">{"Assumptions",#N/A,FALSE,"Model"}</definedName>
    <definedName name="wrn.assumption_4_2" hidden="1">{"Assumptions",#N/A,FALSE,"Model"}</definedName>
    <definedName name="wrn.assumption_4_2_1" localSheetId="3" hidden="1">{"Assumptions",#N/A,FALSE,"Model"}</definedName>
    <definedName name="wrn.assumption_4_2_1" localSheetId="1" hidden="1">{"Assumptions",#N/A,FALSE,"Model"}</definedName>
    <definedName name="wrn.assumption_4_2_1" hidden="1">{"Assumptions",#N/A,FALSE,"Model"}</definedName>
    <definedName name="wrn.assumption_4_3" localSheetId="3" hidden="1">{"Assumptions",#N/A,FALSE,"Model"}</definedName>
    <definedName name="wrn.assumption_4_3" localSheetId="1" hidden="1">{"Assumptions",#N/A,FALSE,"Model"}</definedName>
    <definedName name="wrn.assumption_4_3" hidden="1">{"Assumptions",#N/A,FALSE,"Model"}</definedName>
    <definedName name="wrn.assumption_5" localSheetId="3" hidden="1">{"Assumptions",#N/A,FALSE,"Model"}</definedName>
    <definedName name="wrn.assumption_5" localSheetId="1" hidden="1">{"Assumptions",#N/A,FALSE,"Model"}</definedName>
    <definedName name="wrn.assumption_5" hidden="1">{"Assumptions",#N/A,FALSE,"Model"}</definedName>
    <definedName name="wrn.assumption_5_1" localSheetId="3" hidden="1">{"Assumptions",#N/A,FALSE,"Model"}</definedName>
    <definedName name="wrn.assumption_5_1" localSheetId="1" hidden="1">{"Assumptions",#N/A,FALSE,"Model"}</definedName>
    <definedName name="wrn.assumption_5_1" hidden="1">{"Assumptions",#N/A,FALSE,"Model"}</definedName>
    <definedName name="wrn.assumption_5_1_1" localSheetId="3" hidden="1">{"Assumptions",#N/A,FALSE,"Model"}</definedName>
    <definedName name="wrn.assumption_5_1_1" localSheetId="1" hidden="1">{"Assumptions",#N/A,FALSE,"Model"}</definedName>
    <definedName name="wrn.assumption_5_1_1" hidden="1">{"Assumptions",#N/A,FALSE,"Model"}</definedName>
    <definedName name="wrn.assumption_5_1_1_1" localSheetId="3" hidden="1">{"Assumptions",#N/A,FALSE,"Model"}</definedName>
    <definedName name="wrn.assumption_5_1_1_1" localSheetId="1" hidden="1">{"Assumptions",#N/A,FALSE,"Model"}</definedName>
    <definedName name="wrn.assumption_5_1_1_1" hidden="1">{"Assumptions",#N/A,FALSE,"Model"}</definedName>
    <definedName name="wrn.assumption_5_2" localSheetId="3" hidden="1">{"Assumptions",#N/A,FALSE,"Model"}</definedName>
    <definedName name="wrn.assumption_5_2" localSheetId="1" hidden="1">{"Assumptions",#N/A,FALSE,"Model"}</definedName>
    <definedName name="wrn.assumption_5_2" hidden="1">{"Assumptions",#N/A,FALSE,"Model"}</definedName>
    <definedName name="wrn.assumption_5_2_1" localSheetId="3" hidden="1">{"Assumptions",#N/A,FALSE,"Model"}</definedName>
    <definedName name="wrn.assumption_5_2_1" localSheetId="1" hidden="1">{"Assumptions",#N/A,FALSE,"Model"}</definedName>
    <definedName name="wrn.assumption_5_2_1" hidden="1">{"Assumptions",#N/A,FALSE,"Model"}</definedName>
    <definedName name="wrn.assumption_5_3" localSheetId="3" hidden="1">{"Assumptions",#N/A,FALSE,"Model"}</definedName>
    <definedName name="wrn.assumption_5_3" localSheetId="1" hidden="1">{"Assumptions",#N/A,FALSE,"Model"}</definedName>
    <definedName name="wrn.assumption_5_3" hidden="1">{"Assumptions",#N/A,FALSE,"Model"}</definedName>
    <definedName name="wrn.Assumptions." localSheetId="3" hidden="1">{"Assumptions",#N/A,FALSE,"Model"}</definedName>
    <definedName name="wrn.Assumptions." localSheetId="1" hidden="1">{"Assumptions",#N/A,FALSE,"Model"}</definedName>
    <definedName name="wrn.Assumptions." hidden="1">{"Assumptions",#N/A,FALSE,"Model"}</definedName>
    <definedName name="wrn.Assumptions._1" localSheetId="3" hidden="1">{"Assumptions",#N/A,FALSE,"Model"}</definedName>
    <definedName name="wrn.Assumptions._1" localSheetId="1" hidden="1">{"Assumptions",#N/A,FALSE,"Model"}</definedName>
    <definedName name="wrn.Assumptions._1" hidden="1">{"Assumptions",#N/A,FALSE,"Model"}</definedName>
    <definedName name="wrn.Assumptions._1_1" localSheetId="3" hidden="1">{"Assumptions",#N/A,FALSE,"Model"}</definedName>
    <definedName name="wrn.Assumptions._1_1" localSheetId="1" hidden="1">{"Assumptions",#N/A,FALSE,"Model"}</definedName>
    <definedName name="wrn.Assumptions._1_1" hidden="1">{"Assumptions",#N/A,FALSE,"Model"}</definedName>
    <definedName name="wrn.Assumptions._1_1_1" localSheetId="3" hidden="1">{"Assumptions",#N/A,FALSE,"Model"}</definedName>
    <definedName name="wrn.Assumptions._1_1_1" localSheetId="1" hidden="1">{"Assumptions",#N/A,FALSE,"Model"}</definedName>
    <definedName name="wrn.Assumptions._1_1_1" hidden="1">{"Assumptions",#N/A,FALSE,"Model"}</definedName>
    <definedName name="wrn.Assumptions._1_1_1_1" localSheetId="3" hidden="1">{"Assumptions",#N/A,FALSE,"Model"}</definedName>
    <definedName name="wrn.Assumptions._1_1_1_1" localSheetId="1" hidden="1">{"Assumptions",#N/A,FALSE,"Model"}</definedName>
    <definedName name="wrn.Assumptions._1_1_1_1" hidden="1">{"Assumptions",#N/A,FALSE,"Model"}</definedName>
    <definedName name="wrn.Assumptions._1_2" localSheetId="3" hidden="1">{"Assumptions",#N/A,FALSE,"Model"}</definedName>
    <definedName name="wrn.Assumptions._1_2" localSheetId="1" hidden="1">{"Assumptions",#N/A,FALSE,"Model"}</definedName>
    <definedName name="wrn.Assumptions._1_2" hidden="1">{"Assumptions",#N/A,FALSE,"Model"}</definedName>
    <definedName name="wrn.Assumptions._1_2_1" localSheetId="3" hidden="1">{"Assumptions",#N/A,FALSE,"Model"}</definedName>
    <definedName name="wrn.Assumptions._1_2_1" localSheetId="1" hidden="1">{"Assumptions",#N/A,FALSE,"Model"}</definedName>
    <definedName name="wrn.Assumptions._1_2_1" hidden="1">{"Assumptions",#N/A,FALSE,"Model"}</definedName>
    <definedName name="wrn.Assumptions._1_3" localSheetId="3" hidden="1">{"Assumptions",#N/A,FALSE,"Model"}</definedName>
    <definedName name="wrn.Assumptions._1_3" localSheetId="1" hidden="1">{"Assumptions",#N/A,FALSE,"Model"}</definedName>
    <definedName name="wrn.Assumptions._1_3" hidden="1">{"Assumptions",#N/A,FALSE,"Model"}</definedName>
    <definedName name="wrn.Assumptions._1_3_1" localSheetId="3" hidden="1">{"Assumptions",#N/A,FALSE,"Model"}</definedName>
    <definedName name="wrn.Assumptions._1_3_1" localSheetId="1" hidden="1">{"Assumptions",#N/A,FALSE,"Model"}</definedName>
    <definedName name="wrn.Assumptions._1_3_1" hidden="1">{"Assumptions",#N/A,FALSE,"Model"}</definedName>
    <definedName name="wrn.Assumptions._1_4" localSheetId="3" hidden="1">{"Assumptions",#N/A,FALSE,"Model"}</definedName>
    <definedName name="wrn.Assumptions._1_4" localSheetId="1" hidden="1">{"Assumptions",#N/A,FALSE,"Model"}</definedName>
    <definedName name="wrn.Assumptions._1_4" hidden="1">{"Assumptions",#N/A,FALSE,"Model"}</definedName>
    <definedName name="wrn.Assumptions._2" localSheetId="3" hidden="1">{"Assumptions",#N/A,FALSE,"Model"}</definedName>
    <definedName name="wrn.Assumptions._2" localSheetId="1" hidden="1">{"Assumptions",#N/A,FALSE,"Model"}</definedName>
    <definedName name="wrn.Assumptions._2" hidden="1">{"Assumptions",#N/A,FALSE,"Model"}</definedName>
    <definedName name="wrn.Assumptions._2_1" localSheetId="3" hidden="1">{"Assumptions",#N/A,FALSE,"Model"}</definedName>
    <definedName name="wrn.Assumptions._2_1" localSheetId="1" hidden="1">{"Assumptions",#N/A,FALSE,"Model"}</definedName>
    <definedName name="wrn.Assumptions._2_1" hidden="1">{"Assumptions",#N/A,FALSE,"Model"}</definedName>
    <definedName name="wrn.Assumptions._2_1_1" localSheetId="3" hidden="1">{"Assumptions",#N/A,FALSE,"Model"}</definedName>
    <definedName name="wrn.Assumptions._2_1_1" localSheetId="1" hidden="1">{"Assumptions",#N/A,FALSE,"Model"}</definedName>
    <definedName name="wrn.Assumptions._2_1_1" hidden="1">{"Assumptions",#N/A,FALSE,"Model"}</definedName>
    <definedName name="wrn.Assumptions._2_1_1_1" localSheetId="3" hidden="1">{"Assumptions",#N/A,FALSE,"Model"}</definedName>
    <definedName name="wrn.Assumptions._2_1_1_1" localSheetId="1" hidden="1">{"Assumptions",#N/A,FALSE,"Model"}</definedName>
    <definedName name="wrn.Assumptions._2_1_1_1" hidden="1">{"Assumptions",#N/A,FALSE,"Model"}</definedName>
    <definedName name="wrn.Assumptions._2_2" localSheetId="3" hidden="1">{"Assumptions",#N/A,FALSE,"Model"}</definedName>
    <definedName name="wrn.Assumptions._2_2" localSheetId="1" hidden="1">{"Assumptions",#N/A,FALSE,"Model"}</definedName>
    <definedName name="wrn.Assumptions._2_2" hidden="1">{"Assumptions",#N/A,FALSE,"Model"}</definedName>
    <definedName name="wrn.Assumptions._2_2_1" localSheetId="3" hidden="1">{"Assumptions",#N/A,FALSE,"Model"}</definedName>
    <definedName name="wrn.Assumptions._2_2_1" localSheetId="1" hidden="1">{"Assumptions",#N/A,FALSE,"Model"}</definedName>
    <definedName name="wrn.Assumptions._2_2_1" hidden="1">{"Assumptions",#N/A,FALSE,"Model"}</definedName>
    <definedName name="wrn.Assumptions._2_3" localSheetId="3" hidden="1">{"Assumptions",#N/A,FALSE,"Model"}</definedName>
    <definedName name="wrn.Assumptions._2_3" localSheetId="1" hidden="1">{"Assumptions",#N/A,FALSE,"Model"}</definedName>
    <definedName name="wrn.Assumptions._2_3" hidden="1">{"Assumptions",#N/A,FALSE,"Model"}</definedName>
    <definedName name="wrn.Assumptions._3" localSheetId="3" hidden="1">{"Assumptions",#N/A,FALSE,"Model"}</definedName>
    <definedName name="wrn.Assumptions._3" localSheetId="1" hidden="1">{"Assumptions",#N/A,FALSE,"Model"}</definedName>
    <definedName name="wrn.Assumptions._3" hidden="1">{"Assumptions",#N/A,FALSE,"Model"}</definedName>
    <definedName name="wrn.Assumptions._3_1" localSheetId="3" hidden="1">{"Assumptions",#N/A,FALSE,"Model"}</definedName>
    <definedName name="wrn.Assumptions._3_1" localSheetId="1" hidden="1">{"Assumptions",#N/A,FALSE,"Model"}</definedName>
    <definedName name="wrn.Assumptions._3_1" hidden="1">{"Assumptions",#N/A,FALSE,"Model"}</definedName>
    <definedName name="wrn.Assumptions._3_1_1" localSheetId="3" hidden="1">{"Assumptions",#N/A,FALSE,"Model"}</definedName>
    <definedName name="wrn.Assumptions._3_1_1" localSheetId="1" hidden="1">{"Assumptions",#N/A,FALSE,"Model"}</definedName>
    <definedName name="wrn.Assumptions._3_1_1" hidden="1">{"Assumptions",#N/A,FALSE,"Model"}</definedName>
    <definedName name="wrn.Assumptions._3_1_1_1" localSheetId="3" hidden="1">{"Assumptions",#N/A,FALSE,"Model"}</definedName>
    <definedName name="wrn.Assumptions._3_1_1_1" localSheetId="1" hidden="1">{"Assumptions",#N/A,FALSE,"Model"}</definedName>
    <definedName name="wrn.Assumptions._3_1_1_1" hidden="1">{"Assumptions",#N/A,FALSE,"Model"}</definedName>
    <definedName name="wrn.Assumptions._3_2" localSheetId="3" hidden="1">{"Assumptions",#N/A,FALSE,"Model"}</definedName>
    <definedName name="wrn.Assumptions._3_2" localSheetId="1" hidden="1">{"Assumptions",#N/A,FALSE,"Model"}</definedName>
    <definedName name="wrn.Assumptions._3_2" hidden="1">{"Assumptions",#N/A,FALSE,"Model"}</definedName>
    <definedName name="wrn.Assumptions._3_2_1" localSheetId="3" hidden="1">{"Assumptions",#N/A,FALSE,"Model"}</definedName>
    <definedName name="wrn.Assumptions._3_2_1" localSheetId="1" hidden="1">{"Assumptions",#N/A,FALSE,"Model"}</definedName>
    <definedName name="wrn.Assumptions._3_2_1" hidden="1">{"Assumptions",#N/A,FALSE,"Model"}</definedName>
    <definedName name="wrn.Assumptions._3_3" localSheetId="3" hidden="1">{"Assumptions",#N/A,FALSE,"Model"}</definedName>
    <definedName name="wrn.Assumptions._3_3" localSheetId="1" hidden="1">{"Assumptions",#N/A,FALSE,"Model"}</definedName>
    <definedName name="wrn.Assumptions._3_3" hidden="1">{"Assumptions",#N/A,FALSE,"Model"}</definedName>
    <definedName name="wrn.Assumptions._4" localSheetId="3" hidden="1">{"Assumptions",#N/A,FALSE,"Model"}</definedName>
    <definedName name="wrn.Assumptions._4" localSheetId="1" hidden="1">{"Assumptions",#N/A,FALSE,"Model"}</definedName>
    <definedName name="wrn.Assumptions._4" hidden="1">{"Assumptions",#N/A,FALSE,"Model"}</definedName>
    <definedName name="wrn.Assumptions._4_1" localSheetId="3" hidden="1">{"Assumptions",#N/A,FALSE,"Model"}</definedName>
    <definedName name="wrn.Assumptions._4_1" localSheetId="1" hidden="1">{"Assumptions",#N/A,FALSE,"Model"}</definedName>
    <definedName name="wrn.Assumptions._4_1" hidden="1">{"Assumptions",#N/A,FALSE,"Model"}</definedName>
    <definedName name="wrn.Assumptions._4_1_1" localSheetId="3" hidden="1">{"Assumptions",#N/A,FALSE,"Model"}</definedName>
    <definedName name="wrn.Assumptions._4_1_1" localSheetId="1" hidden="1">{"Assumptions",#N/A,FALSE,"Model"}</definedName>
    <definedName name="wrn.Assumptions._4_1_1" hidden="1">{"Assumptions",#N/A,FALSE,"Model"}</definedName>
    <definedName name="wrn.Assumptions._4_1_1_1" localSheetId="3" hidden="1">{"Assumptions",#N/A,FALSE,"Model"}</definedName>
    <definedName name="wrn.Assumptions._4_1_1_1" localSheetId="1" hidden="1">{"Assumptions",#N/A,FALSE,"Model"}</definedName>
    <definedName name="wrn.Assumptions._4_1_1_1" hidden="1">{"Assumptions",#N/A,FALSE,"Model"}</definedName>
    <definedName name="wrn.Assumptions._4_2" localSheetId="3" hidden="1">{"Assumptions",#N/A,FALSE,"Model"}</definedName>
    <definedName name="wrn.Assumptions._4_2" localSheetId="1" hidden="1">{"Assumptions",#N/A,FALSE,"Model"}</definedName>
    <definedName name="wrn.Assumptions._4_2" hidden="1">{"Assumptions",#N/A,FALSE,"Model"}</definedName>
    <definedName name="wrn.Assumptions._4_2_1" localSheetId="3" hidden="1">{"Assumptions",#N/A,FALSE,"Model"}</definedName>
    <definedName name="wrn.Assumptions._4_2_1" localSheetId="1" hidden="1">{"Assumptions",#N/A,FALSE,"Model"}</definedName>
    <definedName name="wrn.Assumptions._4_2_1" hidden="1">{"Assumptions",#N/A,FALSE,"Model"}</definedName>
    <definedName name="wrn.Assumptions._4_3" localSheetId="3" hidden="1">{"Assumptions",#N/A,FALSE,"Model"}</definedName>
    <definedName name="wrn.Assumptions._4_3" localSheetId="1" hidden="1">{"Assumptions",#N/A,FALSE,"Model"}</definedName>
    <definedName name="wrn.Assumptions._4_3" hidden="1">{"Assumptions",#N/A,FALSE,"Model"}</definedName>
    <definedName name="wrn.Assumptions._5" localSheetId="3" hidden="1">{"Assumptions",#N/A,FALSE,"Model"}</definedName>
    <definedName name="wrn.Assumptions._5" localSheetId="1" hidden="1">{"Assumptions",#N/A,FALSE,"Model"}</definedName>
    <definedName name="wrn.Assumptions._5" hidden="1">{"Assumptions",#N/A,FALSE,"Model"}</definedName>
    <definedName name="wrn.Assumptions._5_1" localSheetId="3" hidden="1">{"Assumptions",#N/A,FALSE,"Model"}</definedName>
    <definedName name="wrn.Assumptions._5_1" localSheetId="1" hidden="1">{"Assumptions",#N/A,FALSE,"Model"}</definedName>
    <definedName name="wrn.Assumptions._5_1" hidden="1">{"Assumptions",#N/A,FALSE,"Model"}</definedName>
    <definedName name="wrn.Assumptions._5_1_1" localSheetId="3" hidden="1">{"Assumptions",#N/A,FALSE,"Model"}</definedName>
    <definedName name="wrn.Assumptions._5_1_1" localSheetId="1" hidden="1">{"Assumptions",#N/A,FALSE,"Model"}</definedName>
    <definedName name="wrn.Assumptions._5_1_1" hidden="1">{"Assumptions",#N/A,FALSE,"Model"}</definedName>
    <definedName name="wrn.Assumptions._5_1_1_1" localSheetId="3" hidden="1">{"Assumptions",#N/A,FALSE,"Model"}</definedName>
    <definedName name="wrn.Assumptions._5_1_1_1" localSheetId="1" hidden="1">{"Assumptions",#N/A,FALSE,"Model"}</definedName>
    <definedName name="wrn.Assumptions._5_1_1_1" hidden="1">{"Assumptions",#N/A,FALSE,"Model"}</definedName>
    <definedName name="wrn.Assumptions._5_2" localSheetId="3" hidden="1">{"Assumptions",#N/A,FALSE,"Model"}</definedName>
    <definedName name="wrn.Assumptions._5_2" localSheetId="1" hidden="1">{"Assumptions",#N/A,FALSE,"Model"}</definedName>
    <definedName name="wrn.Assumptions._5_2" hidden="1">{"Assumptions",#N/A,FALSE,"Model"}</definedName>
    <definedName name="wrn.Assumptions._5_2_1" localSheetId="3" hidden="1">{"Assumptions",#N/A,FALSE,"Model"}</definedName>
    <definedName name="wrn.Assumptions._5_2_1" localSheetId="1" hidden="1">{"Assumptions",#N/A,FALSE,"Model"}</definedName>
    <definedName name="wrn.Assumptions._5_2_1" hidden="1">{"Assumptions",#N/A,FALSE,"Model"}</definedName>
    <definedName name="wrn.Assumptions._5_3" localSheetId="3" hidden="1">{"Assumptions",#N/A,FALSE,"Model"}</definedName>
    <definedName name="wrn.Assumptions._5_3" localSheetId="1" hidden="1">{"Assumptions",#N/A,FALSE,"Model"}</definedName>
    <definedName name="wrn.Assumptions._5_3" hidden="1">{"Assumptions",#N/A,FALSE,"Model"}</definedName>
    <definedName name="wrn.balance._.sheet." localSheetId="3" hidden="1">{"bs",#N/A,FALSE,"SCF"}</definedName>
    <definedName name="wrn.balance._.sheet." localSheetId="1" hidden="1">{"bs",#N/A,FALSE,"SCF"}</definedName>
    <definedName name="wrn.balance._.sheet." hidden="1">{"bs",#N/A,FALSE,"SCF"}</definedName>
    <definedName name="wrn.Base." localSheetId="3" hidden="1">{#N/A,#N/A,FALSE,"PortfolioStats";#N/A,#N/A,FALSE,"Graphs";#N/A,#N/A,FALSE,"Binomial Expansion";#N/A,#N/A,FALSE,"SP Analysis"}</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3" hidden="1">{#N/A,#N/A,FALSE,"New Depr Sch-150% DB";#N/A,#N/A,FALSE,"Cash Flows RLP";#N/A,#N/A,FALSE,"IRR";#N/A,#N/A,FALSE,"Proforma IS";#N/A,#N/A,FALSE,"Assumptions"}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3" hidden="1">{"comps1",#N/A,FALSE,"Comps Sheet";"comps2",#N/A,FALSE,"Comps Sheet";"comps3",#N/A,FALSE,"Comps Sheet";"comps4",#N/A,FALSE,"Comps Sheet";"comps5",#N/A,FALSE,"Comps Sheet";"comps6",#N/A,FALSE,"Comps Sheet";"ec",#N/A,FALSE,"E&amp;C";"environmental",#N/A,FALSE,"Environmental";"heavy",#N/A,FALSE,"Heavy Const."}</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3"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3" hidden="1">{#N/A,#N/A,FALSE,"Assumptions";#N/A,#N/A,FALSE,"Proforma IS";#N/A,#N/A,FALSE,"Cash Flows RLP";#N/A,#N/A,FALSE,"IRR";#N/A,#N/A,FALSE,"New Depr Sch-150% DB";#N/A,#N/A,FALSE,"Comments"}</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3" hidden="1">{#N/A,#N/A,FALSE,"FFCXOUT3"}</definedName>
    <definedName name="wrn.cxdia." localSheetId="1" hidden="1">{#N/A,#N/A,FALSE,"FFCXOUT3"}</definedName>
    <definedName name="wrn.cxdia." hidden="1">{#N/A,#N/A,FALSE,"FFCXOUT3"}</definedName>
    <definedName name="wrn.cxdiager." localSheetId="3" hidden="1">{#N/A,#N/A,FALSE,"FFCXOUT3"}</definedName>
    <definedName name="wrn.cxdiager." localSheetId="1" hidden="1">{#N/A,#N/A,FALSE,"FFCXOUT3"}</definedName>
    <definedName name="wrn.cxdiager." hidden="1">{#N/A,#N/A,FALSE,"FFCXOUT3"}</definedName>
    <definedName name="wrn.Falcons._.Divisions." localSheetId="3" hidden="1">{#N/A,#N/A,TRUE,"Fiber_Optic_Cable_Input ";#N/A,#N/A,TRUE,"Specialty_Fiber_Devices_Input";#N/A,#N/A,TRUE,"Optical_Fiber_Apparatus_Input"}</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3" hidden="1">{#N/A,#N/A,TRUE,"Falcons_Standalone";#N/A,#N/A,TRUE,"Target_Input";#N/A,#N/A,TRUE,"Target_Calendarized"}</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3" hidden="1">{"FCB_ALL",#N/A,FALSE,"FCB"}</definedName>
    <definedName name="wrn.FCB." localSheetId="1" hidden="1">{"FCB_ALL",#N/A,FALSE,"FCB"}</definedName>
    <definedName name="wrn.FCB." hidden="1">{"FCB_ALL",#N/A,FALSE,"FCB"}</definedName>
    <definedName name="wrn.fcb2" localSheetId="3" hidden="1">{"FCB_ALL",#N/A,FALSE,"FCB"}</definedName>
    <definedName name="wrn.fcb2" localSheetId="1" hidden="1">{"FCB_ALL",#N/A,FALSE,"FCB"}</definedName>
    <definedName name="wrn.fcb2" hidden="1">{"FCB_ALL",#N/A,FALSE,"FCB"}</definedName>
    <definedName name="wrn.filecopy." localSheetId="3"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3" hidden="1">{"FIVEYEAR",#N/A,TRUE,"SUMMARY";"FIVEYEAR",#N/A,TRUE,"Ratios";"FIVEYEAR",#N/A,TRUE,"Revenue";"FIVEYEAR",#N/A,TRUE,"DETAIL";"FIVEYEAR",#N/A,TRUE,"Payroll"}</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3" hidden="1">{#N/A,#N/A,TRUE,"FOC_Product_Assumptions"}</definedName>
    <definedName name="wrn.FOC._.Detail." localSheetId="1" hidden="1">{#N/A,#N/A,TRUE,"FOC_Product_Assumptions"}</definedName>
    <definedName name="wrn.FOC._.Detail." hidden="1">{#N/A,#N/A,TRUE,"FOC_Product_Assumptions"}</definedName>
    <definedName name="wrn.forecast." localSheetId="3" hidden="1">{#N/A,#N/A,FALSE,"model"}</definedName>
    <definedName name="wrn.forecast." localSheetId="1" hidden="1">{#N/A,#N/A,FALSE,"model"}</definedName>
    <definedName name="wrn.forecast." hidden="1">{#N/A,#N/A,FALSE,"model"}</definedName>
    <definedName name="wrn.forecast2" localSheetId="3" hidden="1">{#N/A,#N/A,FALSE,"model"}</definedName>
    <definedName name="wrn.forecast2" localSheetId="1" hidden="1">{#N/A,#N/A,FALSE,"model"}</definedName>
    <definedName name="wrn.forecast2" hidden="1">{#N/A,#N/A,FALSE,"model"}</definedName>
    <definedName name="wrn.forecastassumptions." localSheetId="3" hidden="1">{#N/A,#N/A,FALSE,"model"}</definedName>
    <definedName name="wrn.forecastassumptions." localSheetId="1" hidden="1">{#N/A,#N/A,FALSE,"model"}</definedName>
    <definedName name="wrn.forecastassumptions." hidden="1">{#N/A,#N/A,FALSE,"model"}</definedName>
    <definedName name="wrn.forecastassumptions2" localSheetId="3" hidden="1">{#N/A,#N/A,FALSE,"model"}</definedName>
    <definedName name="wrn.forecastassumptions2" localSheetId="1" hidden="1">{#N/A,#N/A,FALSE,"model"}</definedName>
    <definedName name="wrn.forecastassumptions2" hidden="1">{#N/A,#N/A,FALSE,"model"}</definedName>
    <definedName name="wrn.forecastROIC." localSheetId="3" hidden="1">{#N/A,#N/A,FALSE,"model"}</definedName>
    <definedName name="wrn.forecastROIC." localSheetId="1" hidden="1">{#N/A,#N/A,FALSE,"model"}</definedName>
    <definedName name="wrn.forecastROIC." hidden="1">{#N/A,#N/A,FALSE,"model"}</definedName>
    <definedName name="wrn.forecastROIC2" localSheetId="3" hidden="1">{#N/A,#N/A,FALSE,"model"}</definedName>
    <definedName name="wrn.forecastROIC2" localSheetId="1" hidden="1">{#N/A,#N/A,FALSE,"model"}</definedName>
    <definedName name="wrn.forecastROIC2" hidden="1">{#N/A,#N/A,FALSE,"model"}</definedName>
    <definedName name="wrn.history." localSheetId="3" hidden="1">{#N/A,#N/A,FALSE,"model"}</definedName>
    <definedName name="wrn.history." localSheetId="1" hidden="1">{#N/A,#N/A,FALSE,"model"}</definedName>
    <definedName name="wrn.history." hidden="1">{#N/A,#N/A,FALSE,"model"}</definedName>
    <definedName name="wrn.history2" localSheetId="3" hidden="1">{#N/A,#N/A,FALSE,"model"}</definedName>
    <definedName name="wrn.history2" localSheetId="1" hidden="1">{#N/A,#N/A,FALSE,"model"}</definedName>
    <definedName name="wrn.history2" hidden="1">{#N/A,#N/A,FALSE,"model"}</definedName>
    <definedName name="wrn.histROIC." localSheetId="3" hidden="1">{#N/A,#N/A,FALSE,"model"}</definedName>
    <definedName name="wrn.histROIC." localSheetId="1" hidden="1">{#N/A,#N/A,FALSE,"model"}</definedName>
    <definedName name="wrn.histROIC." hidden="1">{#N/A,#N/A,FALSE,"model"}</definedName>
    <definedName name="wrn.histROIC2" localSheetId="3" hidden="1">{#N/A,#N/A,FALSE,"model"}</definedName>
    <definedName name="wrn.histROIC2" localSheetId="1" hidden="1">{#N/A,#N/A,FALSE,"model"}</definedName>
    <definedName name="wrn.histROIC2" hidden="1">{#N/A,#N/A,FALSE,"model"}</definedName>
    <definedName name="wrn.Income." localSheetId="3" hidden="1">{"Income",#N/A,FALSE,"Recap IS"}</definedName>
    <definedName name="wrn.Income." localSheetId="1" hidden="1">{"Income",#N/A,FALSE,"Recap IS"}</definedName>
    <definedName name="wrn.Income." hidden="1">{"Income",#N/A,FALSE,"Recap IS"}</definedName>
    <definedName name="wrn.Income._.State." localSheetId="3" hidden="1">{#N/A,#N/A,FALSE,"Income statement";#N/A,#N/A,FALSE,"Income Statement by Plant"}</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3"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3"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3"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3" hidden="1">{#N/A,#N/A,FALSE,"inputs";#N/A,#N/A,FALSE,"inputs"}</definedName>
    <definedName name="wrn.Input._.Print._.Area." localSheetId="1" hidden="1">{#N/A,#N/A,FALSE,"inputs";#N/A,#N/A,FALSE,"inputs"}</definedName>
    <definedName name="wrn.Input._.Print._.Area." hidden="1">{#N/A,#N/A,FALSE,"inputs";#N/A,#N/A,FALSE,"inputs"}</definedName>
    <definedName name="wrn.Jeff._.Standalone." localSheetId="3" hidden="1">{#N/A,#N/A,TRUE,"Acquirer_Cases_Input";#N/A,#N/A,TRUE,"Acquirer_Input";#N/A,#N/A,TRUE,"Acquirer"}</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3" hidden="1">{#N/A,#N/A,TRUE,"Consolidado";#N/A,#N/A,TRUE,"Laticínios";#N/A,#N/A,TRUE,"Frangos";#N/A,#N/A,TRUE,"Suínos";#N/A,#N/A,TRUE,"Peru";#N/A,#N/A,TRUE,"Carnes";#N/A,#N/A,TRUE,"Suco";#N/A,#N/A,TRUE,"Batata"}</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3" hidden="1">{"LIBOR",#N/A,TRUE,"Model";"Caps",#N/A,TRUE,"Model";"Assets",#N/A,TRUE,"Model";"Liabilities",#N/A,TRUE,"Model";"Tests",#N/A,TRUE,"Model";"Results",#N/A,TRUE,"Model"}</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3"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3"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3"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3"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3"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3"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3"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3"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3"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3"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3"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3"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3"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3"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3"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3"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3"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3"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3"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3"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3"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3"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3"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3"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3"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3"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3"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3"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3"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3"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3"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3"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3"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3"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3"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3"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3"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3"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3"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3"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3"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3"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3"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3"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3"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3"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3"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3"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3"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3"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3"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3"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3"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3"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3"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3"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3"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3"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3"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3"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3"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3"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3"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3"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3" hidden="1">{#N/A,#N/A,FALSE,"Impl";#N/A,#N/A,FALSE,"sum";#N/A,#N/A,FALSE,"cat";#N/A,#N/A,FALSE,"cum";#N/A,#N/A,FALSE,"varity";#N/A,#N/A,FALSE,"ddc";#N/A,#N/A,FALSE,"man";#N/A,#N/A,FALSE,"metra";#N/A,#N/A,FALSE,"volvo"}</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3" hidden="1">{#N/A,#N/A,TRUE,"Cover";#N/A,#N/A,TRUE,"Transaction Summary";#N/A,#N/A,TRUE,"Earnings Impact";#N/A,#N/A,TRUE,"accretion dilution"}</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3" hidden="1">{"Rate",#N/A,TRUE,"SUMMARY";"Ratios",#N/A,TRUE,"Ratios";"BUDGETREVENUE",#N/A,TRUE,"Revenue";"TOTALS",#N/A,TRUE,"DETAIL"}</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3" hidden="1">{#N/A,#N/A,FALSE,"Japan 2003";#N/A,#N/A,FALSE,"Sheet2"}</definedName>
    <definedName name="wrn.print." localSheetId="1" hidden="1">{#N/A,#N/A,FALSE,"Japan 2003";#N/A,#N/A,FALSE,"Sheet2"}</definedName>
    <definedName name="wrn.print." hidden="1">{#N/A,#N/A,FALSE,"Japan 2003";#N/A,#N/A,FALSE,"Sheet2"}</definedName>
    <definedName name="wrn.print._.graphs." localSheetId="3" hidden="1">{"cap_structure",#N/A,FALSE,"Graph-Mkt Cap";"price",#N/A,FALSE,"Graph-Price";"ebit",#N/A,FALSE,"Graph-EBITDA";"ebitda",#N/A,FALSE,"Graph-EBITDA"}</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3" hidden="1">{"inputs raw data",#N/A,TRUE,"INPUT"}</definedName>
    <definedName name="wrn.print._.raw._.data._.entry." localSheetId="1" hidden="1">{"inputs raw data",#N/A,TRUE,"INPUT"}</definedName>
    <definedName name="wrn.print._.raw._.data._.entry." hidden="1">{"inputs raw data",#N/A,TRUE,"INPUT"}</definedName>
    <definedName name="wrn.print._.summary._.sheets." localSheetId="3" hidden="1">{"summary1",#N/A,TRUE,"Comps";"summary2",#N/A,TRUE,"Comps";"summary3",#N/A,TRUE,"Comps"}</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3" hidden="1">{"Pulp Production",#N/A,FALSE,"Pulp";"Pulp Earnings",#N/A,FALSE,"Pulp"}</definedName>
    <definedName name="wrn.Pulp." localSheetId="1" hidden="1">{"Pulp Production",#N/A,FALSE,"Pulp";"Pulp Earnings",#N/A,FALSE,"Pulp"}</definedName>
    <definedName name="wrn.Pulp." hidden="1">{"Pulp Production",#N/A,FALSE,"Pulp";"Pulp Earnings",#N/A,FALSE,"Pulp"}</definedName>
    <definedName name="wrn.Relevant." localSheetId="3" hidden="1">{#N/A,#N/A,FALSE,"Title Page";#N/A,#N/A,FALSE,"Conclusions";#N/A,#N/A,FALSE,"Assum.";#N/A,#N/A,FALSE,"Sun  DCF-WC-Dep";#N/A,#N/A,FALSE,"MarketValue";#N/A,#N/A,FALSE,"BalSheet";#N/A,#N/A,FALSE,"WACC";#N/A,#N/A,FALSE,"PC+ Info.";#N/A,#N/A,FALSE,"PC+Info_2"}</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3"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3"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3" hidden="1">{"Reset Data",#N/A,FALSE,"Reset Notice";"Reset Notice",#N/A,FALSE,"Reset Notice"}</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3"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3"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3"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3"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3"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3"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3"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3"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3"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3"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3"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3"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3"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3"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3"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3"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3"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3"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3"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3"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3"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3"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3"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3"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3"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3"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3"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3"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3"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3"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3"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3"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3" hidden="1">{"review",#N/A,FALSE,"FACTSHT"}</definedName>
    <definedName name="wrn.review." localSheetId="1" hidden="1">{"review",#N/A,FALSE,"FACTSHT"}</definedName>
    <definedName name="wrn.review." hidden="1">{"review",#N/A,FALSE,"FACTSHT"}</definedName>
    <definedName name="wrn.review1." localSheetId="3" hidden="1">{"review",#N/A,FALSE,"FACTSHT"}</definedName>
    <definedName name="wrn.review1." localSheetId="1" hidden="1">{"review",#N/A,FALSE,"FACTSHT"}</definedName>
    <definedName name="wrn.review1." hidden="1">{"review",#N/A,FALSE,"FACTSHT"}</definedName>
    <definedName name="wrn.Revs." localSheetId="3" hidden="1">{"Base_rev",#N/A,FALSE,"Proj_IS_Base";"Projrev",#N/A,FALSE,"Proj_IS_wOTLC";"Delta",#N/A,FALSE,"Delta Rev_PV"}</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3" hidden="1">{#N/A,#N/A,FALSE,"Che-Ga";#N/A,#N/A,FALSE,"Iv-Sm";#N/A,#N/A,FALSE,"So-We";#N/A,#N/A,FALSE,"Me-Po";#N/A,#N/A,FALSE,"Be-Bo";#N/A,#N/A,FALSE,"Cha-Ki";#N/A,#N/A,FALSE,"In";#N/A,#N/A,FALSE,"Schedule 23";#N/A,#N/A,FALSE,"Schedule 22";#N/A,#N/A,FALSE,"WACC"}</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3" hidden="1">{#N/A,#N/A,FALSE,"A";#N/A,#N/A,FALSE,"B-1";#N/A,#N/A,FALSE,"WACC";#N/A,#N/A,FALSE,"C-1 ";#N/A,#N/A,FALSE,"C-2";#N/A,#N/A,FALSE,"D-1";#N/A,#N/A,FALSE,"D-2";#N/A,#N/A,FALSE,"D-3"}</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3" hidden="1">{"FCB_ALL",#N/A,FALSE,"FCB";"GREY_ALL",#N/A,FALSE,"GREY"}</definedName>
    <definedName name="wrn.STAND_ALONE_BOTH." localSheetId="1" hidden="1">{"FCB_ALL",#N/A,FALSE,"FCB";"GREY_ALL",#N/A,FALSE,"GREY"}</definedName>
    <definedName name="wrn.STAND_ALONE_BOTH." hidden="1">{"FCB_ALL",#N/A,FALSE,"FCB";"GREY_ALL",#N/A,FALSE,"GREY"}</definedName>
    <definedName name="wrn.sum." localSheetId="3" hidden="1">{"Opsys",#N/A,FALSE,"NPV_OPsys";"NT",#N/A,FALSE,"NPV_NT";"DevP",#N/A,FALSE,"NPV_DevPdt";"Office",#N/A,FALSE,"NPV_Office"}</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3" hidden="1">{#N/A,#N/A,TRUE,"Months 2003";#N/A,#N/A,TRUE,"Months 2004";#N/A,#N/A,TRUE,"Months 2005"}</definedName>
    <definedName name="wrn.Summ." localSheetId="1" hidden="1">{#N/A,#N/A,TRUE,"Months 2003";#N/A,#N/A,TRUE,"Months 2004";#N/A,#N/A,TRUE,"Months 2005"}</definedName>
    <definedName name="wrn.Summ." hidden="1">{#N/A,#N/A,TRUE,"Months 2003";#N/A,#N/A,TRUE,"Months 2004";#N/A,#N/A,TRUE,"Months 2005"}</definedName>
    <definedName name="wrn.Summary." localSheetId="3" hidden="1">{#N/A,#N/A,FALSE,"Monthly 2003";#N/A,#N/A,FALSE,"Monthly 2004";#N/A,#N/A,FALSE,"Monthly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3" hidden="1">{"e_Target Assumptions",#N/A,FALSE,"Financials";"f_Target Income Statement",#N/A,FALSE,"Financials";"g_Target Balance Sheet",#N/A,FALSE,"Financials";"h_Target Cashflow Statement",#N/A,FALSE,"Financials"}</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3"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3" hidden="1">{#N/A,#N/A,FALSE,"RESUMEN";#N/A,#N/A,FALSE,"PARQ_C";#N/A,#N/A,FALSE,"PARQ_P";#N/A,#N/A,FALSE,"MIN_S_C";#N/A,#N/A,FALSE,"MIN_S_P";#N/A,#N/A,FALSE,"MIN_E_M_M";#N/A,#N/A,FALSE,"MIN_E_FIJA";#N/A,#N/A,FALSE,"SUPUESTOS"}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3" hidden="1">{#N/A,#N/A,FALSE,"INVERSIONES Y AMORTIZ";#N/A,#N/A,FALSE,"BALANCE";#N/A,#N/A,FALSE,"CUENTA DE PYG";#N/A,#N/A,FALSE,"CUENTA DE PYG (2)";#N/A,#N/A,FALSE,"RATIOS";#N/A,#N/A,FALSE,"G. PERSONAL";#N/A,#N/A,FALSE,"G. SOCIALES";#N/A,#N/A,FALSE,"G. GENERALES";#N/A,#N/A,FALSE,"LINEAS DE PRODUCTOS"}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3" hidden="1">{#N/A,#N/A,TRUE,"Combined";#N/A,#N/A,TRUE,"HotRoll";#N/A,#N/A,TRUE,"Gadd";#N/A,#N/A,TRUE,"Wesson";#N/A,#N/A,TRUE,"BrightBar";#N/A,#N/A,TRUE,"GB Longmore";#N/A,#N/A,TRUE,"MES";#N/A,#N/A,TRUE,"Wesson Bright";#N/A,#N/A,TRUE,"Macreadys";#N/A,#N/A,TRUE,"HeadOffice"}</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3"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3" hidden="1">{#N/A,#N/A,FALSE,"model"}</definedName>
    <definedName name="wrn1.history" localSheetId="1" hidden="1">{#N/A,#N/A,FALSE,"model"}</definedName>
    <definedName name="wrn1.history" hidden="1">{#N/A,#N/A,FALSE,"model"}</definedName>
    <definedName name="wrn1.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3" hidden="1">{#N/A,#N/A,FALSE,"model"}</definedName>
    <definedName name="wrn3.histroic" localSheetId="1" hidden="1">{#N/A,#N/A,FALSE,"model"}</definedName>
    <definedName name="wrn3.histroic" hidden="1">{#N/A,#N/A,FALSE,"model"}</definedName>
    <definedName name="wvu.inputs._.raw._.data."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3"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3"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3"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3" hidden="1">{"Assumptions",#N/A,FALSE,"Model"}</definedName>
    <definedName name="ww" localSheetId="1" hidden="1">{"Assumptions",#N/A,FALSE,"Model"}</definedName>
    <definedName name="ww" hidden="1">{"Assumptions",#N/A,FALSE,"Model"}</definedName>
    <definedName name="ww.Rele" localSheetId="3" hidden="1">{#N/A,#N/A,FALSE,"Title Page";#N/A,#N/A,FALSE,"Conclusions";#N/A,#N/A,FALSE,"Assum.";#N/A,#N/A,FALSE,"Sun  DCF-WC-Dep";#N/A,#N/A,FALSE,"MarketValue";#N/A,#N/A,FALSE,"BalSheet";#N/A,#N/A,FALSE,"WACC";#N/A,#N/A,FALSE,"PC+ Info.";#N/A,#N/A,FALSE,"PC+Info_2"}</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3" hidden="1">{"Assumptions",#N/A,FALSE,"Model"}</definedName>
    <definedName name="ww_1" localSheetId="1" hidden="1">{"Assumptions",#N/A,FALSE,"Model"}</definedName>
    <definedName name="ww_1" hidden="1">{"Assumptions",#N/A,FALSE,"Model"}</definedName>
    <definedName name="ww_1_1" localSheetId="3" hidden="1">{"Assumptions",#N/A,FALSE,"Model"}</definedName>
    <definedName name="ww_1_1" localSheetId="1" hidden="1">{"Assumptions",#N/A,FALSE,"Model"}</definedName>
    <definedName name="ww_1_1" hidden="1">{"Assumptions",#N/A,FALSE,"Model"}</definedName>
    <definedName name="ww_1_1_1" localSheetId="3" hidden="1">{"Assumptions",#N/A,FALSE,"Model"}</definedName>
    <definedName name="ww_1_1_1" localSheetId="1" hidden="1">{"Assumptions",#N/A,FALSE,"Model"}</definedName>
    <definedName name="ww_1_1_1" hidden="1">{"Assumptions",#N/A,FALSE,"Model"}</definedName>
    <definedName name="ww_1_1_1_1" localSheetId="3" hidden="1">{"Assumptions",#N/A,FALSE,"Model"}</definedName>
    <definedName name="ww_1_1_1_1" localSheetId="1" hidden="1">{"Assumptions",#N/A,FALSE,"Model"}</definedName>
    <definedName name="ww_1_1_1_1" hidden="1">{"Assumptions",#N/A,FALSE,"Model"}</definedName>
    <definedName name="ww_1_2" localSheetId="3" hidden="1">{"Assumptions",#N/A,FALSE,"Model"}</definedName>
    <definedName name="ww_1_2" localSheetId="1" hidden="1">{"Assumptions",#N/A,FALSE,"Model"}</definedName>
    <definedName name="ww_1_2" hidden="1">{"Assumptions",#N/A,FALSE,"Model"}</definedName>
    <definedName name="ww_1_2_1" localSheetId="3" hidden="1">{"Assumptions",#N/A,FALSE,"Model"}</definedName>
    <definedName name="ww_1_2_1" localSheetId="1" hidden="1">{"Assumptions",#N/A,FALSE,"Model"}</definedName>
    <definedName name="ww_1_2_1" hidden="1">{"Assumptions",#N/A,FALSE,"Model"}</definedName>
    <definedName name="ww_1_3" localSheetId="3" hidden="1">{"Assumptions",#N/A,FALSE,"Model"}</definedName>
    <definedName name="ww_1_3" localSheetId="1" hidden="1">{"Assumptions",#N/A,FALSE,"Model"}</definedName>
    <definedName name="ww_1_3" hidden="1">{"Assumptions",#N/A,FALSE,"Model"}</definedName>
    <definedName name="ww_1_3_1" localSheetId="3" hidden="1">{"Assumptions",#N/A,FALSE,"Model"}</definedName>
    <definedName name="ww_1_3_1" localSheetId="1" hidden="1">{"Assumptions",#N/A,FALSE,"Model"}</definedName>
    <definedName name="ww_1_3_1" hidden="1">{"Assumptions",#N/A,FALSE,"Model"}</definedName>
    <definedName name="ww_1_4" localSheetId="3" hidden="1">{"Assumptions",#N/A,FALSE,"Model"}</definedName>
    <definedName name="ww_1_4" localSheetId="1" hidden="1">{"Assumptions",#N/A,FALSE,"Model"}</definedName>
    <definedName name="ww_1_4" hidden="1">{"Assumptions",#N/A,FALSE,"Model"}</definedName>
    <definedName name="ww_2" localSheetId="3" hidden="1">{"Assumptions",#N/A,FALSE,"Model"}</definedName>
    <definedName name="ww_2" localSheetId="1" hidden="1">{"Assumptions",#N/A,FALSE,"Model"}</definedName>
    <definedName name="ww_2" hidden="1">{"Assumptions",#N/A,FALSE,"Model"}</definedName>
    <definedName name="ww_2_1" localSheetId="3" hidden="1">{"Assumptions",#N/A,FALSE,"Model"}</definedName>
    <definedName name="ww_2_1" localSheetId="1" hidden="1">{"Assumptions",#N/A,FALSE,"Model"}</definedName>
    <definedName name="ww_2_1" hidden="1">{"Assumptions",#N/A,FALSE,"Model"}</definedName>
    <definedName name="ww_2_1_1" localSheetId="3" hidden="1">{"Assumptions",#N/A,FALSE,"Model"}</definedName>
    <definedName name="ww_2_1_1" localSheetId="1" hidden="1">{"Assumptions",#N/A,FALSE,"Model"}</definedName>
    <definedName name="ww_2_1_1" hidden="1">{"Assumptions",#N/A,FALSE,"Model"}</definedName>
    <definedName name="ww_2_1_1_1" localSheetId="3" hidden="1">{"Assumptions",#N/A,FALSE,"Model"}</definedName>
    <definedName name="ww_2_1_1_1" localSheetId="1" hidden="1">{"Assumptions",#N/A,FALSE,"Model"}</definedName>
    <definedName name="ww_2_1_1_1" hidden="1">{"Assumptions",#N/A,FALSE,"Model"}</definedName>
    <definedName name="ww_2_2" localSheetId="3" hidden="1">{"Assumptions",#N/A,FALSE,"Model"}</definedName>
    <definedName name="ww_2_2" localSheetId="1" hidden="1">{"Assumptions",#N/A,FALSE,"Model"}</definedName>
    <definedName name="ww_2_2" hidden="1">{"Assumptions",#N/A,FALSE,"Model"}</definedName>
    <definedName name="ww_2_2_1" localSheetId="3" hidden="1">{"Assumptions",#N/A,FALSE,"Model"}</definedName>
    <definedName name="ww_2_2_1" localSheetId="1" hidden="1">{"Assumptions",#N/A,FALSE,"Model"}</definedName>
    <definedName name="ww_2_2_1" hidden="1">{"Assumptions",#N/A,FALSE,"Model"}</definedName>
    <definedName name="ww_2_3" localSheetId="3" hidden="1">{"Assumptions",#N/A,FALSE,"Model"}</definedName>
    <definedName name="ww_2_3" localSheetId="1" hidden="1">{"Assumptions",#N/A,FALSE,"Model"}</definedName>
    <definedName name="ww_2_3" hidden="1">{"Assumptions",#N/A,FALSE,"Model"}</definedName>
    <definedName name="ww_3" localSheetId="3" hidden="1">{"Assumptions",#N/A,FALSE,"Model"}</definedName>
    <definedName name="ww_3" localSheetId="1" hidden="1">{"Assumptions",#N/A,FALSE,"Model"}</definedName>
    <definedName name="ww_3" hidden="1">{"Assumptions",#N/A,FALSE,"Model"}</definedName>
    <definedName name="ww_3_1" localSheetId="3" hidden="1">{"Assumptions",#N/A,FALSE,"Model"}</definedName>
    <definedName name="ww_3_1" localSheetId="1" hidden="1">{"Assumptions",#N/A,FALSE,"Model"}</definedName>
    <definedName name="ww_3_1" hidden="1">{"Assumptions",#N/A,FALSE,"Model"}</definedName>
    <definedName name="ww_3_1_1" localSheetId="3" hidden="1">{"Assumptions",#N/A,FALSE,"Model"}</definedName>
    <definedName name="ww_3_1_1" localSheetId="1" hidden="1">{"Assumptions",#N/A,FALSE,"Model"}</definedName>
    <definedName name="ww_3_1_1" hidden="1">{"Assumptions",#N/A,FALSE,"Model"}</definedName>
    <definedName name="ww_3_1_1_1" localSheetId="3" hidden="1">{"Assumptions",#N/A,FALSE,"Model"}</definedName>
    <definedName name="ww_3_1_1_1" localSheetId="1" hidden="1">{"Assumptions",#N/A,FALSE,"Model"}</definedName>
    <definedName name="ww_3_1_1_1" hidden="1">{"Assumptions",#N/A,FALSE,"Model"}</definedName>
    <definedName name="ww_3_2" localSheetId="3" hidden="1">{"Assumptions",#N/A,FALSE,"Model"}</definedName>
    <definedName name="ww_3_2" localSheetId="1" hidden="1">{"Assumptions",#N/A,FALSE,"Model"}</definedName>
    <definedName name="ww_3_2" hidden="1">{"Assumptions",#N/A,FALSE,"Model"}</definedName>
    <definedName name="ww_3_2_1" localSheetId="3" hidden="1">{"Assumptions",#N/A,FALSE,"Model"}</definedName>
    <definedName name="ww_3_2_1" localSheetId="1" hidden="1">{"Assumptions",#N/A,FALSE,"Model"}</definedName>
    <definedName name="ww_3_2_1" hidden="1">{"Assumptions",#N/A,FALSE,"Model"}</definedName>
    <definedName name="ww_3_3" localSheetId="3" hidden="1">{"Assumptions",#N/A,FALSE,"Model"}</definedName>
    <definedName name="ww_3_3" localSheetId="1" hidden="1">{"Assumptions",#N/A,FALSE,"Model"}</definedName>
    <definedName name="ww_3_3" hidden="1">{"Assumptions",#N/A,FALSE,"Model"}</definedName>
    <definedName name="ww_4" localSheetId="3" hidden="1">{"Assumptions",#N/A,FALSE,"Model"}</definedName>
    <definedName name="ww_4" localSheetId="1" hidden="1">{"Assumptions",#N/A,FALSE,"Model"}</definedName>
    <definedName name="ww_4" hidden="1">{"Assumptions",#N/A,FALSE,"Model"}</definedName>
    <definedName name="ww_4_1" localSheetId="3" hidden="1">{"Assumptions",#N/A,FALSE,"Model"}</definedName>
    <definedName name="ww_4_1" localSheetId="1" hidden="1">{"Assumptions",#N/A,FALSE,"Model"}</definedName>
    <definedName name="ww_4_1" hidden="1">{"Assumptions",#N/A,FALSE,"Model"}</definedName>
    <definedName name="ww_4_1_1" localSheetId="3" hidden="1">{"Assumptions",#N/A,FALSE,"Model"}</definedName>
    <definedName name="ww_4_1_1" localSheetId="1" hidden="1">{"Assumptions",#N/A,FALSE,"Model"}</definedName>
    <definedName name="ww_4_1_1" hidden="1">{"Assumptions",#N/A,FALSE,"Model"}</definedName>
    <definedName name="ww_4_1_1_1" localSheetId="3" hidden="1">{"Assumptions",#N/A,FALSE,"Model"}</definedName>
    <definedName name="ww_4_1_1_1" localSheetId="1" hidden="1">{"Assumptions",#N/A,FALSE,"Model"}</definedName>
    <definedName name="ww_4_1_1_1" hidden="1">{"Assumptions",#N/A,FALSE,"Model"}</definedName>
    <definedName name="ww_4_2" localSheetId="3" hidden="1">{"Assumptions",#N/A,FALSE,"Model"}</definedName>
    <definedName name="ww_4_2" localSheetId="1" hidden="1">{"Assumptions",#N/A,FALSE,"Model"}</definedName>
    <definedName name="ww_4_2" hidden="1">{"Assumptions",#N/A,FALSE,"Model"}</definedName>
    <definedName name="ww_4_2_1" localSheetId="3" hidden="1">{"Assumptions",#N/A,FALSE,"Model"}</definedName>
    <definedName name="ww_4_2_1" localSheetId="1" hidden="1">{"Assumptions",#N/A,FALSE,"Model"}</definedName>
    <definedName name="ww_4_2_1" hidden="1">{"Assumptions",#N/A,FALSE,"Model"}</definedName>
    <definedName name="ww_4_3" localSheetId="3" hidden="1">{"Assumptions",#N/A,FALSE,"Model"}</definedName>
    <definedName name="ww_4_3" localSheetId="1" hidden="1">{"Assumptions",#N/A,FALSE,"Model"}</definedName>
    <definedName name="ww_4_3" hidden="1">{"Assumptions",#N/A,FALSE,"Model"}</definedName>
    <definedName name="ww_5" localSheetId="3" hidden="1">{"Assumptions",#N/A,FALSE,"Model"}</definedName>
    <definedName name="ww_5" localSheetId="1" hidden="1">{"Assumptions",#N/A,FALSE,"Model"}</definedName>
    <definedName name="ww_5" hidden="1">{"Assumptions",#N/A,FALSE,"Model"}</definedName>
    <definedName name="ww_5_1" localSheetId="3" hidden="1">{"Assumptions",#N/A,FALSE,"Model"}</definedName>
    <definedName name="ww_5_1" localSheetId="1" hidden="1">{"Assumptions",#N/A,FALSE,"Model"}</definedName>
    <definedName name="ww_5_1" hidden="1">{"Assumptions",#N/A,FALSE,"Model"}</definedName>
    <definedName name="ww_5_1_1" localSheetId="3" hidden="1">{"Assumptions",#N/A,FALSE,"Model"}</definedName>
    <definedName name="ww_5_1_1" localSheetId="1" hidden="1">{"Assumptions",#N/A,FALSE,"Model"}</definedName>
    <definedName name="ww_5_1_1" hidden="1">{"Assumptions",#N/A,FALSE,"Model"}</definedName>
    <definedName name="ww_5_1_1_1" localSheetId="3" hidden="1">{"Assumptions",#N/A,FALSE,"Model"}</definedName>
    <definedName name="ww_5_1_1_1" localSheetId="1" hidden="1">{"Assumptions",#N/A,FALSE,"Model"}</definedName>
    <definedName name="ww_5_1_1_1" hidden="1">{"Assumptions",#N/A,FALSE,"Model"}</definedName>
    <definedName name="ww_5_2" localSheetId="3" hidden="1">{"Assumptions",#N/A,FALSE,"Model"}</definedName>
    <definedName name="ww_5_2" localSheetId="1" hidden="1">{"Assumptions",#N/A,FALSE,"Model"}</definedName>
    <definedName name="ww_5_2" hidden="1">{"Assumptions",#N/A,FALSE,"Model"}</definedName>
    <definedName name="ww_5_2_1" localSheetId="3" hidden="1">{"Assumptions",#N/A,FALSE,"Model"}</definedName>
    <definedName name="ww_5_2_1" localSheetId="1" hidden="1">{"Assumptions",#N/A,FALSE,"Model"}</definedName>
    <definedName name="ww_5_2_1" hidden="1">{"Assumptions",#N/A,FALSE,"Model"}</definedName>
    <definedName name="ww_5_3" localSheetId="3" hidden="1">{"Assumptions",#N/A,FALSE,"Model"}</definedName>
    <definedName name="ww_5_3" localSheetId="1" hidden="1">{"Assumptions",#N/A,FALSE,"Model"}</definedName>
    <definedName name="ww_5_3" hidden="1">{"Assumptions",#N/A,FALSE,"Model"}</definedName>
    <definedName name="wwrwe" localSheetId="3" hidden="1">{#N/A,#N/A,FALSE,"Balance Sheet";#N/A,#N/A,FALSE,"Income Statement";#N/A,#N/A,FALSE,"Partners Capital";#N/A,#N/A,FALSE,"Cash Flows";#N/A,#N/A,FALSE,"Support"}</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3" hidden="1">{"Assumptions",#N/A,FALSE,"Model"}</definedName>
    <definedName name="wwwwwww" localSheetId="1" hidden="1">{"Assumptions",#N/A,FALSE,"Model"}</definedName>
    <definedName name="wwwwwww" hidden="1">{"Assumptions",#N/A,FALSE,"Model"}</definedName>
    <definedName name="wwwwwww_1" localSheetId="3" hidden="1">{"Assumptions",#N/A,FALSE,"Model"}</definedName>
    <definedName name="wwwwwww_1" localSheetId="1" hidden="1">{"Assumptions",#N/A,FALSE,"Model"}</definedName>
    <definedName name="wwwwwww_1" hidden="1">{"Assumptions",#N/A,FALSE,"Model"}</definedName>
    <definedName name="wwwwwww_1_1" localSheetId="3" hidden="1">{"Assumptions",#N/A,FALSE,"Model"}</definedName>
    <definedName name="wwwwwww_1_1" localSheetId="1" hidden="1">{"Assumptions",#N/A,FALSE,"Model"}</definedName>
    <definedName name="wwwwwww_1_1" hidden="1">{"Assumptions",#N/A,FALSE,"Model"}</definedName>
    <definedName name="wwwwwww_1_1_1" localSheetId="3" hidden="1">{"Assumptions",#N/A,FALSE,"Model"}</definedName>
    <definedName name="wwwwwww_1_1_1" localSheetId="1" hidden="1">{"Assumptions",#N/A,FALSE,"Model"}</definedName>
    <definedName name="wwwwwww_1_1_1" hidden="1">{"Assumptions",#N/A,FALSE,"Model"}</definedName>
    <definedName name="wwwwwww_1_1_1_1" localSheetId="3" hidden="1">{"Assumptions",#N/A,FALSE,"Model"}</definedName>
    <definedName name="wwwwwww_1_1_1_1" localSheetId="1" hidden="1">{"Assumptions",#N/A,FALSE,"Model"}</definedName>
    <definedName name="wwwwwww_1_1_1_1" hidden="1">{"Assumptions",#N/A,FALSE,"Model"}</definedName>
    <definedName name="wwwwwww_1_2" localSheetId="3" hidden="1">{"Assumptions",#N/A,FALSE,"Model"}</definedName>
    <definedName name="wwwwwww_1_2" localSheetId="1" hidden="1">{"Assumptions",#N/A,FALSE,"Model"}</definedName>
    <definedName name="wwwwwww_1_2" hidden="1">{"Assumptions",#N/A,FALSE,"Model"}</definedName>
    <definedName name="wwwwwww_1_2_1" localSheetId="3" hidden="1">{"Assumptions",#N/A,FALSE,"Model"}</definedName>
    <definedName name="wwwwwww_1_2_1" localSheetId="1" hidden="1">{"Assumptions",#N/A,FALSE,"Model"}</definedName>
    <definedName name="wwwwwww_1_2_1" hidden="1">{"Assumptions",#N/A,FALSE,"Model"}</definedName>
    <definedName name="wwwwwww_1_3" localSheetId="3" hidden="1">{"Assumptions",#N/A,FALSE,"Model"}</definedName>
    <definedName name="wwwwwww_1_3" localSheetId="1" hidden="1">{"Assumptions",#N/A,FALSE,"Model"}</definedName>
    <definedName name="wwwwwww_1_3" hidden="1">{"Assumptions",#N/A,FALSE,"Model"}</definedName>
    <definedName name="wwwwwww_1_3_1" localSheetId="3" hidden="1">{"Assumptions",#N/A,FALSE,"Model"}</definedName>
    <definedName name="wwwwwww_1_3_1" localSheetId="1" hidden="1">{"Assumptions",#N/A,FALSE,"Model"}</definedName>
    <definedName name="wwwwwww_1_3_1" hidden="1">{"Assumptions",#N/A,FALSE,"Model"}</definedName>
    <definedName name="wwwwwww_1_4" localSheetId="3" hidden="1">{"Assumptions",#N/A,FALSE,"Model"}</definedName>
    <definedName name="wwwwwww_1_4" localSheetId="1" hidden="1">{"Assumptions",#N/A,FALSE,"Model"}</definedName>
    <definedName name="wwwwwww_1_4" hidden="1">{"Assumptions",#N/A,FALSE,"Model"}</definedName>
    <definedName name="wwwwwww_2" localSheetId="3" hidden="1">{"Assumptions",#N/A,FALSE,"Model"}</definedName>
    <definedName name="wwwwwww_2" localSheetId="1" hidden="1">{"Assumptions",#N/A,FALSE,"Model"}</definedName>
    <definedName name="wwwwwww_2" hidden="1">{"Assumptions",#N/A,FALSE,"Model"}</definedName>
    <definedName name="wwwwwww_2_1" localSheetId="3" hidden="1">{"Assumptions",#N/A,FALSE,"Model"}</definedName>
    <definedName name="wwwwwww_2_1" localSheetId="1" hidden="1">{"Assumptions",#N/A,FALSE,"Model"}</definedName>
    <definedName name="wwwwwww_2_1" hidden="1">{"Assumptions",#N/A,FALSE,"Model"}</definedName>
    <definedName name="wwwwwww_2_1_1" localSheetId="3" hidden="1">{"Assumptions",#N/A,FALSE,"Model"}</definedName>
    <definedName name="wwwwwww_2_1_1" localSheetId="1" hidden="1">{"Assumptions",#N/A,FALSE,"Model"}</definedName>
    <definedName name="wwwwwww_2_1_1" hidden="1">{"Assumptions",#N/A,FALSE,"Model"}</definedName>
    <definedName name="wwwwwww_2_1_1_1" localSheetId="3" hidden="1">{"Assumptions",#N/A,FALSE,"Model"}</definedName>
    <definedName name="wwwwwww_2_1_1_1" localSheetId="1" hidden="1">{"Assumptions",#N/A,FALSE,"Model"}</definedName>
    <definedName name="wwwwwww_2_1_1_1" hidden="1">{"Assumptions",#N/A,FALSE,"Model"}</definedName>
    <definedName name="wwwwwww_2_2" localSheetId="3" hidden="1">{"Assumptions",#N/A,FALSE,"Model"}</definedName>
    <definedName name="wwwwwww_2_2" localSheetId="1" hidden="1">{"Assumptions",#N/A,FALSE,"Model"}</definedName>
    <definedName name="wwwwwww_2_2" hidden="1">{"Assumptions",#N/A,FALSE,"Model"}</definedName>
    <definedName name="wwwwwww_2_2_1" localSheetId="3" hidden="1">{"Assumptions",#N/A,FALSE,"Model"}</definedName>
    <definedName name="wwwwwww_2_2_1" localSheetId="1" hidden="1">{"Assumptions",#N/A,FALSE,"Model"}</definedName>
    <definedName name="wwwwwww_2_2_1" hidden="1">{"Assumptions",#N/A,FALSE,"Model"}</definedName>
    <definedName name="wwwwwww_2_3" localSheetId="3" hidden="1">{"Assumptions",#N/A,FALSE,"Model"}</definedName>
    <definedName name="wwwwwww_2_3" localSheetId="1" hidden="1">{"Assumptions",#N/A,FALSE,"Model"}</definedName>
    <definedName name="wwwwwww_2_3" hidden="1">{"Assumptions",#N/A,FALSE,"Model"}</definedName>
    <definedName name="wwwwwww_3" localSheetId="3" hidden="1">{"Assumptions",#N/A,FALSE,"Model"}</definedName>
    <definedName name="wwwwwww_3" localSheetId="1" hidden="1">{"Assumptions",#N/A,FALSE,"Model"}</definedName>
    <definedName name="wwwwwww_3" hidden="1">{"Assumptions",#N/A,FALSE,"Model"}</definedName>
    <definedName name="wwwwwww_3_1" localSheetId="3" hidden="1">{"Assumptions",#N/A,FALSE,"Model"}</definedName>
    <definedName name="wwwwwww_3_1" localSheetId="1" hidden="1">{"Assumptions",#N/A,FALSE,"Model"}</definedName>
    <definedName name="wwwwwww_3_1" hidden="1">{"Assumptions",#N/A,FALSE,"Model"}</definedName>
    <definedName name="wwwwwww_3_1_1" localSheetId="3" hidden="1">{"Assumptions",#N/A,FALSE,"Model"}</definedName>
    <definedName name="wwwwwww_3_1_1" localSheetId="1" hidden="1">{"Assumptions",#N/A,FALSE,"Model"}</definedName>
    <definedName name="wwwwwww_3_1_1" hidden="1">{"Assumptions",#N/A,FALSE,"Model"}</definedName>
    <definedName name="wwwwwww_3_1_1_1" localSheetId="3" hidden="1">{"Assumptions",#N/A,FALSE,"Model"}</definedName>
    <definedName name="wwwwwww_3_1_1_1" localSheetId="1" hidden="1">{"Assumptions",#N/A,FALSE,"Model"}</definedName>
    <definedName name="wwwwwww_3_1_1_1" hidden="1">{"Assumptions",#N/A,FALSE,"Model"}</definedName>
    <definedName name="wwwwwww_3_2" localSheetId="3" hidden="1">{"Assumptions",#N/A,FALSE,"Model"}</definedName>
    <definedName name="wwwwwww_3_2" localSheetId="1" hidden="1">{"Assumptions",#N/A,FALSE,"Model"}</definedName>
    <definedName name="wwwwwww_3_2" hidden="1">{"Assumptions",#N/A,FALSE,"Model"}</definedName>
    <definedName name="wwwwwww_3_2_1" localSheetId="3" hidden="1">{"Assumptions",#N/A,FALSE,"Model"}</definedName>
    <definedName name="wwwwwww_3_2_1" localSheetId="1" hidden="1">{"Assumptions",#N/A,FALSE,"Model"}</definedName>
    <definedName name="wwwwwww_3_2_1" hidden="1">{"Assumptions",#N/A,FALSE,"Model"}</definedName>
    <definedName name="wwwwwww_3_3" localSheetId="3" hidden="1">{"Assumptions",#N/A,FALSE,"Model"}</definedName>
    <definedName name="wwwwwww_3_3" localSheetId="1" hidden="1">{"Assumptions",#N/A,FALSE,"Model"}</definedName>
    <definedName name="wwwwwww_3_3" hidden="1">{"Assumptions",#N/A,FALSE,"Model"}</definedName>
    <definedName name="wwwwwww_4" localSheetId="3" hidden="1">{"Assumptions",#N/A,FALSE,"Model"}</definedName>
    <definedName name="wwwwwww_4" localSheetId="1" hidden="1">{"Assumptions",#N/A,FALSE,"Model"}</definedName>
    <definedName name="wwwwwww_4" hidden="1">{"Assumptions",#N/A,FALSE,"Model"}</definedName>
    <definedName name="wwwwwww_4_1" localSheetId="3" hidden="1">{"Assumptions",#N/A,FALSE,"Model"}</definedName>
    <definedName name="wwwwwww_4_1" localSheetId="1" hidden="1">{"Assumptions",#N/A,FALSE,"Model"}</definedName>
    <definedName name="wwwwwww_4_1" hidden="1">{"Assumptions",#N/A,FALSE,"Model"}</definedName>
    <definedName name="wwwwwww_4_1_1" localSheetId="3" hidden="1">{"Assumptions",#N/A,FALSE,"Model"}</definedName>
    <definedName name="wwwwwww_4_1_1" localSheetId="1" hidden="1">{"Assumptions",#N/A,FALSE,"Model"}</definedName>
    <definedName name="wwwwwww_4_1_1" hidden="1">{"Assumptions",#N/A,FALSE,"Model"}</definedName>
    <definedName name="wwwwwww_4_1_1_1" localSheetId="3" hidden="1">{"Assumptions",#N/A,FALSE,"Model"}</definedName>
    <definedName name="wwwwwww_4_1_1_1" localSheetId="1" hidden="1">{"Assumptions",#N/A,FALSE,"Model"}</definedName>
    <definedName name="wwwwwww_4_1_1_1" hidden="1">{"Assumptions",#N/A,FALSE,"Model"}</definedName>
    <definedName name="wwwwwww_4_2" localSheetId="3" hidden="1">{"Assumptions",#N/A,FALSE,"Model"}</definedName>
    <definedName name="wwwwwww_4_2" localSheetId="1" hidden="1">{"Assumptions",#N/A,FALSE,"Model"}</definedName>
    <definedName name="wwwwwww_4_2" hidden="1">{"Assumptions",#N/A,FALSE,"Model"}</definedName>
    <definedName name="wwwwwww_4_2_1" localSheetId="3" hidden="1">{"Assumptions",#N/A,FALSE,"Model"}</definedName>
    <definedName name="wwwwwww_4_2_1" localSheetId="1" hidden="1">{"Assumptions",#N/A,FALSE,"Model"}</definedName>
    <definedName name="wwwwwww_4_2_1" hidden="1">{"Assumptions",#N/A,FALSE,"Model"}</definedName>
    <definedName name="wwwwwww_4_3" localSheetId="3" hidden="1">{"Assumptions",#N/A,FALSE,"Model"}</definedName>
    <definedName name="wwwwwww_4_3" localSheetId="1" hidden="1">{"Assumptions",#N/A,FALSE,"Model"}</definedName>
    <definedName name="wwwwwww_4_3" hidden="1">{"Assumptions",#N/A,FALSE,"Model"}</definedName>
    <definedName name="wwwwwww_5" localSheetId="3" hidden="1">{"Assumptions",#N/A,FALSE,"Model"}</definedName>
    <definedName name="wwwwwww_5" localSheetId="1" hidden="1">{"Assumptions",#N/A,FALSE,"Model"}</definedName>
    <definedName name="wwwwwww_5" hidden="1">{"Assumptions",#N/A,FALSE,"Model"}</definedName>
    <definedName name="wwwwwww_5_1" localSheetId="3" hidden="1">{"Assumptions",#N/A,FALSE,"Model"}</definedName>
    <definedName name="wwwwwww_5_1" localSheetId="1" hidden="1">{"Assumptions",#N/A,FALSE,"Model"}</definedName>
    <definedName name="wwwwwww_5_1" hidden="1">{"Assumptions",#N/A,FALSE,"Model"}</definedName>
    <definedName name="wwwwwww_5_1_1" localSheetId="3" hidden="1">{"Assumptions",#N/A,FALSE,"Model"}</definedName>
    <definedName name="wwwwwww_5_1_1" localSheetId="1" hidden="1">{"Assumptions",#N/A,FALSE,"Model"}</definedName>
    <definedName name="wwwwwww_5_1_1" hidden="1">{"Assumptions",#N/A,FALSE,"Model"}</definedName>
    <definedName name="wwwwwww_5_1_1_1" localSheetId="3" hidden="1">{"Assumptions",#N/A,FALSE,"Model"}</definedName>
    <definedName name="wwwwwww_5_1_1_1" localSheetId="1" hidden="1">{"Assumptions",#N/A,FALSE,"Model"}</definedName>
    <definedName name="wwwwwww_5_1_1_1" hidden="1">{"Assumptions",#N/A,FALSE,"Model"}</definedName>
    <definedName name="wwwwwww_5_2" localSheetId="3" hidden="1">{"Assumptions",#N/A,FALSE,"Model"}</definedName>
    <definedName name="wwwwwww_5_2" localSheetId="1" hidden="1">{"Assumptions",#N/A,FALSE,"Model"}</definedName>
    <definedName name="wwwwwww_5_2" hidden="1">{"Assumptions",#N/A,FALSE,"Model"}</definedName>
    <definedName name="wwwwwww_5_2_1" localSheetId="3" hidden="1">{"Assumptions",#N/A,FALSE,"Model"}</definedName>
    <definedName name="wwwwwww_5_2_1" localSheetId="1" hidden="1">{"Assumptions",#N/A,FALSE,"Model"}</definedName>
    <definedName name="wwwwwww_5_2_1" hidden="1">{"Assumptions",#N/A,FALSE,"Model"}</definedName>
    <definedName name="wwwwwww_5_3" localSheetId="3"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'[74]Amarre de AF'!#REF!</definedName>
    <definedName name="XREF_COLUMN_14" hidden="1">#REF!</definedName>
    <definedName name="XREF_COLUMN_15" localSheetId="1" hidden="1">'[74]Amarre de AF'!#REF!</definedName>
    <definedName name="XREF_COLUMN_15" hidden="1">#REF!</definedName>
    <definedName name="XREF_COLUMN_16" hidden="1">#REF!</definedName>
    <definedName name="XREF_COLUMN_17" hidden="1">#REF!</definedName>
    <definedName name="XREF_COLUMN_18" hidden="1">#REF!</definedName>
    <definedName name="XREF_COLUMN_19" localSheetId="1" hidden="1">[75]Investimentos!#REF!</definedName>
    <definedName name="XREF_COLUMN_19" hidden="1">#REF!</definedName>
    <definedName name="XREF_COLUMN_2" hidden="1">#REF!</definedName>
    <definedName name="XREF_COLUMN_20" hidden="1">#REF!</definedName>
    <definedName name="XREF_COLUMN_21" localSheetId="1" hidden="1">[75]Investimentos!#REF!</definedName>
    <definedName name="XREF_COLUMN_21" hidden="1">#REF!</definedName>
    <definedName name="XREF_COLUMN_22" hidden="1">#REF!</definedName>
    <definedName name="XREF_COLUMN_24" hidden="1">#REF!</definedName>
    <definedName name="XREF_COLUMN_3" localSheetId="1" hidden="1">'[76]RESUMEN  D-4 2008 Aud MEX'!#REF!</definedName>
    <definedName name="XREF_COLUMN_3" hidden="1">#REF!</definedName>
    <definedName name="XREF_COLUMN_4" localSheetId="1" hidden="1">'[76]RESUMEN  D-4 2008 Aud MEX'!#REF!</definedName>
    <definedName name="XREF_COLUMN_4" hidden="1">#REF!</definedName>
    <definedName name="XREF_COLUMN_5" localSheetId="1" hidden="1">'[76]RESUMEN  D-4 2008 Aud MEX'!#REF!</definedName>
    <definedName name="XREF_COLUMN_5" hidden="1">#REF!</definedName>
    <definedName name="XREF_COLUMN_6" localSheetId="1" hidden="1">'[76]RESUMEN  D-4 2008 Aud MEX'!#REF!</definedName>
    <definedName name="XREF_COLUMN_6" hidden="1">#REF!</definedName>
    <definedName name="XREF_COLUMN_7" localSheetId="1" hidden="1">'[76]RESUMEN  D-4 2008 Aud MEX'!#REF!</definedName>
    <definedName name="XREF_COLUMN_7" hidden="1">#REF!</definedName>
    <definedName name="XREF_COLUMN_8" localSheetId="1" hidden="1">'[76]RESUMEN  D-4 2008 Aud MEX'!#REF!</definedName>
    <definedName name="XREF_COLUMN_8" hidden="1">#REF!</definedName>
    <definedName name="XREF_COLUMN_9" localSheetId="1" hidden="1">'[76]RESUMEN  D-4 2008 Aud MEX'!#REF!</definedName>
    <definedName name="XREF_COLUMN_9" hidden="1">#REF!</definedName>
    <definedName name="XRefActiveRow" hidden="1">#REF!</definedName>
    <definedName name="XRefColumnsCount" hidden="1">9</definedName>
    <definedName name="XRefCopy1" hidden="1">#REF!</definedName>
    <definedName name="XRefCopy10" localSheetId="1" hidden="1">[77]COMPRAS!#REF!</definedName>
    <definedName name="XRefCopy10" hidden="1">#REF!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[78]AFinanc!#REF!</definedName>
    <definedName name="XRefCopy27" hidden="1">#REF!</definedName>
    <definedName name="XRefCopy27Row" hidden="1">#REF!</definedName>
    <definedName name="XRefCopy28Row" hidden="1">#REF!</definedName>
    <definedName name="XRefCopy29Row" hidden="1">#REF!</definedName>
    <definedName name="XRefCopy2Row" localSheetId="1" hidden="1">[79]XREF!#REF!</definedName>
    <definedName name="XRefCopy2Row" hidden="1">#REF!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[79]XREF!#REF!</definedName>
    <definedName name="XRefCopy3Row" hidden="1">#REF!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[79]XREF!#REF!</definedName>
    <definedName name="XRefCopy5Row" hidden="1">#REF!</definedName>
    <definedName name="XRefCopy6" localSheetId="1" hidden="1">[80]Taxreconcil99!#REF!</definedName>
    <definedName name="XRefCopy6"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'[81]Rev. Global Dep. Sep.'!#REF!</definedName>
    <definedName name="XRefPaste12" hidden="1">#REF!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[79]XREF!#REF!</definedName>
    <definedName name="XRefPaste2Row" hidden="1">#REF!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'[81]Rev. Global Dep. Sep.'!#REF!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[19]Assumptions!$E$11</definedName>
    <definedName name="Y1Q1Base">#REF!</definedName>
    <definedName name="Y1Q1BaseCOS" localSheetId="1">[19]Assumptions!$F$11</definedName>
    <definedName name="Y1Q1BaseCOS">#REF!</definedName>
    <definedName name="Y1Q1Health" localSheetId="1">[19]Assumptions!$M$11</definedName>
    <definedName name="Y1Q1Health">#REF!</definedName>
    <definedName name="Y1Q1Ic" localSheetId="1">[19]Assumptions!$K$11</definedName>
    <definedName name="Y1Q1Ic">#REF!</definedName>
    <definedName name="Y1Q1IcCOS" localSheetId="1">[19]Assumptions!$L$11</definedName>
    <definedName name="Y1Q1IcCOS">#REF!</definedName>
    <definedName name="Y1Q1Sic" localSheetId="1">[19]Assumptions!$I$11</definedName>
    <definedName name="Y1Q1Sic">#REF!</definedName>
    <definedName name="Y1Q1SicCOS" localSheetId="1">[19]Assumptions!$J$11</definedName>
    <definedName name="Y1Q1SicCOS">#REF!</definedName>
    <definedName name="Y1Q1Vic" localSheetId="1">[19]Assumptions!$G$11</definedName>
    <definedName name="Y1Q1Vic">#REF!</definedName>
    <definedName name="Y1Q1VicCOS" localSheetId="1">[19]Assumptions!$H$11</definedName>
    <definedName name="Y1Q1VicCOS">#REF!</definedName>
    <definedName name="Y1Q2Base" localSheetId="1">[19]Assumptions!$E$12</definedName>
    <definedName name="Y1Q2Base">#REF!</definedName>
    <definedName name="Y1Q2BaseCOS" localSheetId="1">[19]Assumptions!$F$12</definedName>
    <definedName name="Y1Q2BaseCOS">#REF!</definedName>
    <definedName name="Y1Q2Health" localSheetId="1">[19]Assumptions!$M$12</definedName>
    <definedName name="Y1Q2Health">#REF!</definedName>
    <definedName name="Y1Q2Ic" localSheetId="1">[19]Assumptions!$K$12</definedName>
    <definedName name="Y1Q2Ic">#REF!</definedName>
    <definedName name="Y1Q2IcCOS" localSheetId="1">[19]Assumptions!$L$12</definedName>
    <definedName name="Y1Q2IcCOS">#REF!</definedName>
    <definedName name="Y1Q2Sic" localSheetId="1">[19]Assumptions!$I$12</definedName>
    <definedName name="Y1Q2Sic">#REF!</definedName>
    <definedName name="Y1Q2SicCOS" localSheetId="1">[19]Assumptions!$J$12</definedName>
    <definedName name="Y1Q2SicCOS">#REF!</definedName>
    <definedName name="Y1Q2Vic" localSheetId="1">[19]Assumptions!$G$12</definedName>
    <definedName name="Y1Q2Vic">#REF!</definedName>
    <definedName name="Y1Q2VicCOS" localSheetId="1">[19]Assumptions!$H$12</definedName>
    <definedName name="Y1Q2VicCOS">#REF!</definedName>
    <definedName name="Y1Q3Base" localSheetId="1">[19]Assumptions!$E$13</definedName>
    <definedName name="Y1Q3Base">#REF!</definedName>
    <definedName name="Y1Q3BaseCOS" localSheetId="1">[19]Assumptions!$F$13</definedName>
    <definedName name="Y1Q3BaseCOS">#REF!</definedName>
    <definedName name="Y1Q3Health" localSheetId="1">[19]Assumptions!$M$13</definedName>
    <definedName name="Y1Q3Health">#REF!</definedName>
    <definedName name="Y1Q3Ic" localSheetId="1">[19]Assumptions!$K$13</definedName>
    <definedName name="Y1Q3Ic">#REF!</definedName>
    <definedName name="Y1Q3IcCOS" localSheetId="1">[19]Assumptions!$L$13</definedName>
    <definedName name="Y1Q3IcCOS">#REF!</definedName>
    <definedName name="Y1Q3Sic" localSheetId="1">[19]Assumptions!$I$13</definedName>
    <definedName name="Y1Q3Sic">#REF!</definedName>
    <definedName name="Y1Q3SicCOS" localSheetId="1">[19]Assumptions!$J$13</definedName>
    <definedName name="Y1Q3SicCOS">#REF!</definedName>
    <definedName name="Y1Q3Vic" localSheetId="1">[19]Assumptions!$G$13</definedName>
    <definedName name="Y1Q3Vic">#REF!</definedName>
    <definedName name="Y1Q3VicCOS" localSheetId="1">[19]Assumptions!$H$13</definedName>
    <definedName name="Y1Q3VicCOS">#REF!</definedName>
    <definedName name="Y1Q4Base" localSheetId="1">[19]Assumptions!$E$14</definedName>
    <definedName name="Y1Q4Base">#REF!</definedName>
    <definedName name="Y1Q4BaseCOS" localSheetId="1">[19]Assumptions!$F$14</definedName>
    <definedName name="Y1Q4BaseCOS">#REF!</definedName>
    <definedName name="Y1Q4Health" localSheetId="1">[19]Assumptions!$M$14</definedName>
    <definedName name="Y1Q4Health">#REF!</definedName>
    <definedName name="Y1Q4Ic" localSheetId="1">[19]Assumptions!$K$14</definedName>
    <definedName name="Y1Q4Ic">#REF!</definedName>
    <definedName name="Y1Q4IcCOS" localSheetId="1">[19]Assumptions!$L$14</definedName>
    <definedName name="Y1Q4IcCOS">#REF!</definedName>
    <definedName name="Y1Q4Sic" localSheetId="1">[19]Assumptions!$I$14</definedName>
    <definedName name="Y1Q4Sic">#REF!</definedName>
    <definedName name="Y1Q4SicCOS" localSheetId="1">[19]Assumptions!$J$14</definedName>
    <definedName name="Y1Q4SicCOS">#REF!</definedName>
    <definedName name="Y1Q4Vic" localSheetId="1">[19]Assumptions!$G$14</definedName>
    <definedName name="Y1Q4Vic">#REF!</definedName>
    <definedName name="Y1Q4VicCOS" localSheetId="1">[19]Assumptions!$H$14</definedName>
    <definedName name="Y1Q4VicCOS">#REF!</definedName>
    <definedName name="Y2Q1Base" localSheetId="1">[19]Assumptions!$E$16</definedName>
    <definedName name="Y2Q1Base">#REF!</definedName>
    <definedName name="Y2Q1BaseCOS" localSheetId="1">[19]Assumptions!$F$16</definedName>
    <definedName name="Y2Q1BaseCOS">#REF!</definedName>
    <definedName name="Y2Q1Health" localSheetId="1">[19]Assumptions!$M$16</definedName>
    <definedName name="Y2Q1Health">#REF!</definedName>
    <definedName name="Y2Q1Ic" localSheetId="1">[19]Assumptions!$K$16</definedName>
    <definedName name="Y2Q1Ic">#REF!</definedName>
    <definedName name="Y2Q1IcCOS" localSheetId="1">[19]Assumptions!$L$16</definedName>
    <definedName name="Y2Q1IcCOS">#REF!</definedName>
    <definedName name="Y2Q1Sic" localSheetId="1">[19]Assumptions!$I$16</definedName>
    <definedName name="Y2Q1Sic">#REF!</definedName>
    <definedName name="Y2Q1SicCOS" localSheetId="1">[19]Assumptions!$J$16</definedName>
    <definedName name="Y2Q1SicCOS">#REF!</definedName>
    <definedName name="Y2Q1Vic" localSheetId="1">[19]Assumptions!$G$16</definedName>
    <definedName name="Y2Q1Vic">#REF!</definedName>
    <definedName name="Y2Q1VicCOS" localSheetId="1">[19]Assumptions!$H$16</definedName>
    <definedName name="Y2Q1VicCOS">#REF!</definedName>
    <definedName name="Y2Q2Base" localSheetId="1">[19]Assumptions!$E$17</definedName>
    <definedName name="Y2Q2Base">#REF!</definedName>
    <definedName name="Y2Q2BaseCos" localSheetId="1">[19]Assumptions!$F$17</definedName>
    <definedName name="Y2Q2BaseCos">#REF!</definedName>
    <definedName name="Y2Q2Health" localSheetId="1">[19]Assumptions!$M$17</definedName>
    <definedName name="Y2Q2Health">#REF!</definedName>
    <definedName name="Y2Q2Ic" localSheetId="1">[19]Assumptions!$K$17</definedName>
    <definedName name="Y2Q2Ic">#REF!</definedName>
    <definedName name="Y2Q2IcCOS" localSheetId="1">[19]Assumptions!$L$17</definedName>
    <definedName name="Y2Q2IcCOS">#REF!</definedName>
    <definedName name="Y2Q2Sic" localSheetId="1">[19]Assumptions!$I$17</definedName>
    <definedName name="Y2Q2Sic">#REF!</definedName>
    <definedName name="Y2Q2SicCOS" localSheetId="1">[19]Assumptions!$J$17</definedName>
    <definedName name="Y2Q2SicCOS">#REF!</definedName>
    <definedName name="Y2Q2Vic" localSheetId="1">[19]Assumptions!$G$17</definedName>
    <definedName name="Y2Q2Vic">#REF!</definedName>
    <definedName name="Y2Q2VicCOS" localSheetId="1">[19]Assumptions!$H$17</definedName>
    <definedName name="Y2Q2VicCOS">#REF!</definedName>
    <definedName name="Y2Q3Base" localSheetId="1">[19]Assumptions!$E$18</definedName>
    <definedName name="Y2Q3Base">#REF!</definedName>
    <definedName name="Y2Q3BaseCOS" localSheetId="1">[19]Assumptions!$F$18</definedName>
    <definedName name="Y2Q3BaseCOS">#REF!</definedName>
    <definedName name="Y2Q3Health" localSheetId="1">[19]Assumptions!$M$18</definedName>
    <definedName name="Y2Q3Health">#REF!</definedName>
    <definedName name="Y2Q3Ic" localSheetId="1">[19]Assumptions!$K$18</definedName>
    <definedName name="Y2Q3Ic">#REF!</definedName>
    <definedName name="Y2Q3IcCOS" localSheetId="1">[19]Assumptions!$L$18</definedName>
    <definedName name="Y2Q3IcCOS">#REF!</definedName>
    <definedName name="Y2Q3Sic" localSheetId="1">[19]Assumptions!$I$18</definedName>
    <definedName name="Y2Q3Sic">#REF!</definedName>
    <definedName name="Y2Q3SicCOS" localSheetId="1">[19]Assumptions!$J$18</definedName>
    <definedName name="Y2Q3SicCOS">#REF!</definedName>
    <definedName name="Y2Q3Vic" localSheetId="1">[19]Assumptions!$G$18</definedName>
    <definedName name="Y2Q3Vic">#REF!</definedName>
    <definedName name="Y2Q3VicCOS" localSheetId="1">[19]Assumptions!$H$18</definedName>
    <definedName name="Y2Q3VicCOS">#REF!</definedName>
    <definedName name="Y2Q4Base" localSheetId="1">[19]Assumptions!$E$19</definedName>
    <definedName name="Y2Q4Base">#REF!</definedName>
    <definedName name="Y2Q4BaseCOS" localSheetId="1">[19]Assumptions!$F$19</definedName>
    <definedName name="Y2Q4BaseCOS">#REF!</definedName>
    <definedName name="Y2Q4Health" localSheetId="1">[19]Assumptions!$M$19</definedName>
    <definedName name="Y2Q4Health">#REF!</definedName>
    <definedName name="Y2Q4Ic" localSheetId="1">[19]Assumptions!$K$19</definedName>
    <definedName name="Y2Q4Ic">#REF!</definedName>
    <definedName name="Y2Q4IcCOS" localSheetId="1">[19]Assumptions!$L$19</definedName>
    <definedName name="Y2Q4IcCOS">#REF!</definedName>
    <definedName name="Y2Q4Sic" localSheetId="1">[19]Assumptions!$I$19</definedName>
    <definedName name="Y2Q4Sic">#REF!</definedName>
    <definedName name="Y2Q4SicCOS" localSheetId="1">[19]Assumptions!$J$19</definedName>
    <definedName name="Y2Q4SicCOS">#REF!</definedName>
    <definedName name="Y2Q4Vic" localSheetId="1">[19]Assumptions!$G$19</definedName>
    <definedName name="Y2Q4Vic">#REF!</definedName>
    <definedName name="Y2Q4VicCOS" localSheetId="1">[19]Assumptions!$H$19</definedName>
    <definedName name="Y2Q4VicCOS">#REF!</definedName>
    <definedName name="Y3Q1Base" localSheetId="1">[19]Assumptions!$E$21</definedName>
    <definedName name="Y3Q1Base">#REF!</definedName>
    <definedName name="Y3Q1BaseCOS" localSheetId="1">[19]Assumptions!$F$21</definedName>
    <definedName name="Y3Q1BaseCOS">#REF!</definedName>
    <definedName name="Y3Q1Health" localSheetId="1">[19]Assumptions!$M$21</definedName>
    <definedName name="Y3Q1Health">#REF!</definedName>
    <definedName name="Y3Q1Ic" localSheetId="1">[19]Assumptions!$K$21</definedName>
    <definedName name="Y3Q1Ic">#REF!</definedName>
    <definedName name="Y3Q1IcCOS" localSheetId="1">[19]Assumptions!$L$21</definedName>
    <definedName name="Y3Q1IcCOS">#REF!</definedName>
    <definedName name="Y3Q1Sic" localSheetId="1">[19]Assumptions!$I$21</definedName>
    <definedName name="Y3Q1Sic">#REF!</definedName>
    <definedName name="Y3Q1SicCOS" localSheetId="1">[19]Assumptions!$J$21</definedName>
    <definedName name="Y3Q1SicCOS">#REF!</definedName>
    <definedName name="Y3Q1Vic" localSheetId="1">[19]Assumptions!$G$21</definedName>
    <definedName name="Y3Q1Vic">#REF!</definedName>
    <definedName name="Y3Q1VicCOS" localSheetId="1">[19]Assumptions!$H$21</definedName>
    <definedName name="Y3Q1VicCOS">#REF!</definedName>
    <definedName name="Y3Q2Base" localSheetId="1">[19]Assumptions!$E$22</definedName>
    <definedName name="Y3Q2Base">#REF!</definedName>
    <definedName name="Y3Q2BaseCOS" localSheetId="1">[19]Assumptions!$F$22</definedName>
    <definedName name="Y3Q2BaseCOS">#REF!</definedName>
    <definedName name="Y3Q2Health" localSheetId="1">[19]Assumptions!$M$22</definedName>
    <definedName name="Y3Q2Health">#REF!</definedName>
    <definedName name="Y3Q2Ic" localSheetId="1">[19]Assumptions!$K$22</definedName>
    <definedName name="Y3Q2Ic">#REF!</definedName>
    <definedName name="Y3Q2IcCOS" localSheetId="1">[19]Assumptions!$L$22</definedName>
    <definedName name="Y3Q2IcCOS">#REF!</definedName>
    <definedName name="Y3Q2Sic" localSheetId="1">[19]Assumptions!$I$22</definedName>
    <definedName name="Y3Q2Sic">#REF!</definedName>
    <definedName name="Y3Q2SicCOS" localSheetId="1">[19]Assumptions!$J$22</definedName>
    <definedName name="Y3Q2SicCOS">#REF!</definedName>
    <definedName name="Y3Q2Vic" localSheetId="1">[19]Assumptions!$G$22</definedName>
    <definedName name="Y3Q2Vic">#REF!</definedName>
    <definedName name="Y3Q2VicCOS" localSheetId="1">[19]Assumptions!$H$22</definedName>
    <definedName name="Y3Q2VicCOS">#REF!</definedName>
    <definedName name="Y3Q3Base" localSheetId="1">[19]Assumptions!$E$23</definedName>
    <definedName name="Y3Q3Base">#REF!</definedName>
    <definedName name="Y3Q3BaseCOS" localSheetId="1">[19]Assumptions!$F$23</definedName>
    <definedName name="Y3Q3BaseCOS">#REF!</definedName>
    <definedName name="Y3Q3Health" localSheetId="1">[19]Assumptions!$M$23</definedName>
    <definedName name="Y3Q3Health">#REF!</definedName>
    <definedName name="Y3Q3Ic" localSheetId="1">[19]Assumptions!$K$23</definedName>
    <definedName name="Y3Q3Ic">#REF!</definedName>
    <definedName name="Y3Q3IcCOS" localSheetId="1">[19]Assumptions!$L$23</definedName>
    <definedName name="Y3Q3IcCOS">#REF!</definedName>
    <definedName name="Y3Q3Sic" localSheetId="1">[19]Assumptions!$I$23</definedName>
    <definedName name="Y3Q3Sic">#REF!</definedName>
    <definedName name="Y3Q3SicCOS" localSheetId="1">[19]Assumptions!$J$23</definedName>
    <definedName name="Y3Q3SicCOS">#REF!</definedName>
    <definedName name="Y3Q3Vic" localSheetId="1">[19]Assumptions!$G$23</definedName>
    <definedName name="Y3Q3Vic">#REF!</definedName>
    <definedName name="Y3Q3VicCOS" localSheetId="1">[19]Assumptions!$H$23</definedName>
    <definedName name="Y3Q3VicCOS">#REF!</definedName>
    <definedName name="Y3Q4Base" localSheetId="1">[19]Assumptions!$E$24</definedName>
    <definedName name="Y3Q4Base">#REF!</definedName>
    <definedName name="Y3Q4BaseCOS" localSheetId="1">[19]Assumptions!$F$24</definedName>
    <definedName name="Y3Q4BaseCOS">#REF!</definedName>
    <definedName name="Y3Q4Health" localSheetId="1">[19]Assumptions!$M$24</definedName>
    <definedName name="Y3Q4Health">#REF!</definedName>
    <definedName name="Y3Q4Ic" localSheetId="1">[19]Assumptions!$K$24</definedName>
    <definedName name="Y3Q4Ic">#REF!</definedName>
    <definedName name="Y3Q4IcCOS" localSheetId="1">[19]Assumptions!$L$24</definedName>
    <definedName name="Y3Q4IcCOS">#REF!</definedName>
    <definedName name="Y3Q4Sic" localSheetId="1">[19]Assumptions!$I$24</definedName>
    <definedName name="Y3Q4Sic">#REF!</definedName>
    <definedName name="Y3Q4SicCOS" localSheetId="1">[19]Assumptions!$J$24</definedName>
    <definedName name="Y3Q4SicCOS">#REF!</definedName>
    <definedName name="Y3Q4Vic" localSheetId="1">[19]Assumptions!$G$24</definedName>
    <definedName name="Y3Q4Vic">#REF!</definedName>
    <definedName name="Y3Q4VicCOS" localSheetId="1">[19]Assumptions!$H$24</definedName>
    <definedName name="Y3Q4VicCOS">#REF!</definedName>
    <definedName name="Year1" localSheetId="1">[19]Library!$J$7</definedName>
    <definedName name="Year1">#REF!</definedName>
    <definedName name="Year1AwardPerHead" localSheetId="1">[19]Assumptions!$E$33</definedName>
    <definedName name="Year1AwardPerHead">#REF!</definedName>
    <definedName name="Year1BaseCOS" localSheetId="1">[19]Assumptions!$F$15</definedName>
    <definedName name="Year1BaseCOS">#REF!</definedName>
    <definedName name="Year1BaseIncrease" localSheetId="1">[19]Assumptions!$E$15</definedName>
    <definedName name="Year1BaseIncrease">#REF!</definedName>
    <definedName name="Year1Days" localSheetId="1">[19]Library!$E$20</definedName>
    <definedName name="Year1Days">#REF!</definedName>
    <definedName name="Year1ICCOS" localSheetId="1">[19]Assumptions!$L$15</definedName>
    <definedName name="Year1ICCOS">#REF!</definedName>
    <definedName name="Year1ICIncrease" localSheetId="1">[19]Assumptions!$K$15</definedName>
    <definedName name="Year1ICIncrease">#REF!</definedName>
    <definedName name="Year1OtherCBPerHead" localSheetId="1">[19]Assumptions!$F$33</definedName>
    <definedName name="Year1OtherCBPerHead">#REF!</definedName>
    <definedName name="Year1OtherRange" localSheetId="1">'[19]Hyperion - Tie Out'!$I$83:$T$83</definedName>
    <definedName name="Year1OtherRange">#REF!</definedName>
    <definedName name="Year1SICCOS" localSheetId="1">[19]Assumptions!$J$15</definedName>
    <definedName name="Year1SICCOS">#REF!</definedName>
    <definedName name="Year1SICIncrease" localSheetId="1">[19]Assumptions!$I$15</definedName>
    <definedName name="Year1SICIncrease">#REF!</definedName>
    <definedName name="Year1TrainingPerHead" localSheetId="1">[19]Assumptions!$G$33</definedName>
    <definedName name="Year1TrainingPerHead">#REF!</definedName>
    <definedName name="Year1VICCOS" localSheetId="1">[19]Assumptions!$H$15</definedName>
    <definedName name="Year1VICCOS">#REF!</definedName>
    <definedName name="Year1VICIncrease" localSheetId="1">[19]Assumptions!$G$15</definedName>
    <definedName name="Year1VICIncrease">#REF!</definedName>
    <definedName name="Year2" localSheetId="1">[19]Library!$L$7</definedName>
    <definedName name="Year2">#REF!</definedName>
    <definedName name="Year2AwardPerHead" localSheetId="1">[19]Assumptions!$E$34</definedName>
    <definedName name="Year2AwardPerHead">#REF!</definedName>
    <definedName name="Year2BaseCOS" localSheetId="1">[19]Assumptions!$F$20</definedName>
    <definedName name="Year2BaseCOS">#REF!</definedName>
    <definedName name="Year2BaseIncrease" localSheetId="1">[19]Assumptions!$E$20</definedName>
    <definedName name="Year2BaseIncrease">#REF!</definedName>
    <definedName name="Year2Days" localSheetId="1">[19]Library!$F$20</definedName>
    <definedName name="Year2Days">#REF!</definedName>
    <definedName name="Year2ICCOS" localSheetId="1">[19]Assumptions!$L$20</definedName>
    <definedName name="Year2ICCOS">#REF!</definedName>
    <definedName name="Year2ICIncrease" localSheetId="1">[19]Assumptions!$K$20</definedName>
    <definedName name="Year2ICIncrease">#REF!</definedName>
    <definedName name="Year2OtherCBPerHead" localSheetId="1">[19]Assumptions!$F$34</definedName>
    <definedName name="Year2OtherCBPerHead">#REF!</definedName>
    <definedName name="Year2SICCOS" localSheetId="1">[19]Assumptions!$J$20</definedName>
    <definedName name="Year2SICCOS">#REF!</definedName>
    <definedName name="Year2SICIncrease" localSheetId="1">[19]Assumptions!$I$20</definedName>
    <definedName name="Year2SICIncrease">#REF!</definedName>
    <definedName name="Year2TrainingPerHead" localSheetId="1">[19]Assumptions!$G$34</definedName>
    <definedName name="Year2TrainingPerHead">#REF!</definedName>
    <definedName name="Year2VICCOS" localSheetId="1">[19]Assumptions!$H$20</definedName>
    <definedName name="Year2VICCOS">#REF!</definedName>
    <definedName name="Year2VICIncrease" localSheetId="1">[19]Assumptions!$G$20</definedName>
    <definedName name="Year2VICIncrease">#REF!</definedName>
    <definedName name="Year3" localSheetId="1">[19]Library!$M$7</definedName>
    <definedName name="Year3">#REF!</definedName>
    <definedName name="Year3AwardPerHead" localSheetId="1">[19]Assumptions!$E$35</definedName>
    <definedName name="Year3AwardPerHead">#REF!</definedName>
    <definedName name="Year3BaseCOS" localSheetId="1">[19]Assumptions!$F$25</definedName>
    <definedName name="Year3BaseCOS">#REF!</definedName>
    <definedName name="Year3BaseIncrease" localSheetId="1">[19]Assumptions!$E$25</definedName>
    <definedName name="Year3BaseIncrease">#REF!</definedName>
    <definedName name="Year3Days" localSheetId="1">[19]Library!$G$20</definedName>
    <definedName name="Year3Days">#REF!</definedName>
    <definedName name="Year3ICCOS" localSheetId="1">[19]Assumptions!$L$25</definedName>
    <definedName name="Year3ICCOS">#REF!</definedName>
    <definedName name="Year3ICIncrease" localSheetId="1">[19]Assumptions!$K$25</definedName>
    <definedName name="Year3ICIncrease">#REF!</definedName>
    <definedName name="Year3OtherCBPerHead" localSheetId="1">[19]Assumptions!$F$35</definedName>
    <definedName name="Year3OtherCBPerHead">#REF!</definedName>
    <definedName name="Year3SICCOS" localSheetId="1">[19]Assumptions!$J$25</definedName>
    <definedName name="Year3SICCOS">#REF!</definedName>
    <definedName name="Year3SICIncrease" localSheetId="1">[19]Assumptions!$I$25</definedName>
    <definedName name="Year3SICIncrease">#REF!</definedName>
    <definedName name="Year3TrainingPerHead" localSheetId="1">[19]Assumptions!$G$35</definedName>
    <definedName name="Year3TrainingPerHead">#REF!</definedName>
    <definedName name="Year3VICCOS" localSheetId="1">[19]Assumptions!$H$25</definedName>
    <definedName name="Year3VICCOS">#REF!</definedName>
    <definedName name="Year3VICIncrease" localSheetId="1">[19]Assumptions!$G$25</definedName>
    <definedName name="Year3VICIncrease">#REF!</definedName>
    <definedName name="YearPick" localSheetId="1">[32]Start!$C$15</definedName>
    <definedName name="YearPick">#REF!</definedName>
    <definedName name="YearPickPrior" localSheetId="1">[32]Start!$D$15</definedName>
    <definedName name="YearPickPrior">#REF!</definedName>
    <definedName name="YearSelectionRange" localSheetId="1">[19]Library!$J$8:$J$12</definedName>
    <definedName name="YearSelectionRange">#REF!</definedName>
    <definedName name="ysfdngsdr" localSheetId="1" hidden="1">[22]Industry!#REF!</definedName>
    <definedName name="ysfdngsdr" hidden="1">#REF!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'[82]Origen y Aplic'!$A$12:$IV$13,'[82]Origen y Aplic'!$A$15:$IV$15,'[82]Origen y Aplic'!$A$24:$IV$24,'[82]Origen y Aplic'!$A$26:$IV$27</definedName>
    <definedName name="Z_ABB84380_5919_11D2_BBB7_00104B2ACF13_.wvu.Rows" hidden="1">#REF!,#REF!,#REF!,#REF!</definedName>
    <definedName name="Z_B290B61F_FED0_11D0_B0F4_00A0C972699E_.wvu.FilterData" localSheetId="1" hidden="1">[22]Industry!#REF!</definedName>
    <definedName name="Z_B290B61F_FED0_11D0_B0F4_00A0C972699E_.wvu.FilterData" hidden="1">#REF!</definedName>
    <definedName name="Z_B290B620_FED0_11D0_B0F4_00A0C972699E_.wvu.FilterData" localSheetId="1" hidden="1">[22]Industry!#REF!</definedName>
    <definedName name="Z_B290B620_FED0_11D0_B0F4_00A0C972699E_.wvu.FilterData" hidden="1">#REF!</definedName>
    <definedName name="Z_B290B621_FED0_11D0_B0F4_00A0C972699E_.wvu.FilterData" localSheetId="1" hidden="1">[22]Industry!#REF!</definedName>
    <definedName name="Z_B290B621_FED0_11D0_B0F4_00A0C972699E_.wvu.FilterData" hidden="1">#REF!</definedName>
    <definedName name="Z_B290B622_FED0_11D0_B0F4_00A0C972699E_.wvu.FilterData" localSheetId="1" hidden="1">[22]Industry!#REF!</definedName>
    <definedName name="Z_B290B622_FED0_11D0_B0F4_00A0C972699E_.wvu.FilterData" hidden="1">#REF!</definedName>
    <definedName name="Z_B35CEEC0_CC5B_11D5_B91B_0050BA3CDE56_.wvu.PrintArea" hidden="1">#REF!</definedName>
    <definedName name="Z_B35CEEC0_CC5B_11D5_B91B_0050BA3CDE56_.wvu.Rows" hidden="1">#REF!,#REF!</definedName>
    <definedName name="zzz" localSheetId="3" hidden="1">{#N/A,#N/A,FALSE,"Balance Sheet";#N/A,#N/A,FALSE,"Income Statement";#N/A,#N/A,FALSE,"Partners Capital";#N/A,#N/A,FALSE,"Cash Flows";#N/A,#N/A,FALSE,"Support"}</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3" hidden="1">{#N/A,#N/A,FALSE,"Title Page";#N/A,#N/A,FALSE,"Conclusions";#N/A,#N/A,FALSE,"Assum.";#N/A,#N/A,FALSE,"Sun  DCF-WC-Dep";#N/A,#N/A,FALSE,"MarketValue";#N/A,#N/A,FALSE,"BalSheet";#N/A,#N/A,FALSE,"WACC";#N/A,#N/A,FALSE,"PC+ Info.";#N/A,#N/A,FALSE,"PC+Info_2"}</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0" r:id="rId89"/>
    <pivotCache cacheId="37" r:id="rId9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24" i="88" l="1"/>
  <c r="V21" i="88"/>
  <c r="W153" i="88" l="1"/>
  <c r="X154" i="88" s="1"/>
  <c r="K149" i="88" l="1"/>
  <c r="AN149" i="88"/>
  <c r="AO149" i="88"/>
  <c r="W149" i="88" s="1"/>
  <c r="BB149" i="88"/>
  <c r="BC149" i="88"/>
  <c r="BD149" i="88"/>
  <c r="BE149" i="88"/>
  <c r="BF149" i="88"/>
  <c r="BG149" i="88"/>
  <c r="BH149" i="88"/>
  <c r="BI149" i="88"/>
  <c r="BJ149" i="88"/>
  <c r="BK149" i="88"/>
  <c r="BL149" i="88"/>
  <c r="BM149" i="88"/>
  <c r="BN149" i="88"/>
  <c r="BQ149" i="88"/>
  <c r="BT149" i="88"/>
  <c r="V121" i="88"/>
  <c r="V130" i="88"/>
  <c r="BO149" i="88" l="1"/>
  <c r="X149" i="88"/>
  <c r="Y149" i="88"/>
  <c r="BR149" i="88"/>
  <c r="BS149" i="88" s="1"/>
  <c r="BU149" i="88" s="1"/>
  <c r="AM4" i="88"/>
  <c r="V137" i="88"/>
  <c r="V101" i="88"/>
  <c r="G145" i="89"/>
  <c r="H145" i="89" s="1"/>
  <c r="G144" i="89"/>
  <c r="H144" i="89" s="1"/>
  <c r="G143" i="89"/>
  <c r="H143" i="89" s="1"/>
  <c r="G142" i="89"/>
  <c r="H142" i="89" s="1"/>
  <c r="G141" i="89"/>
  <c r="H141" i="89" s="1"/>
  <c r="G140" i="89"/>
  <c r="H140" i="89" s="1"/>
  <c r="G139" i="89"/>
  <c r="H139" i="89" s="1"/>
  <c r="G138" i="89"/>
  <c r="H138" i="89" s="1"/>
  <c r="G137" i="89"/>
  <c r="H137" i="89" s="1"/>
  <c r="G136" i="89"/>
  <c r="H136" i="89" s="1"/>
  <c r="G135" i="89"/>
  <c r="H135" i="89" s="1"/>
  <c r="G134" i="89"/>
  <c r="H134" i="89" s="1"/>
  <c r="F146" i="89"/>
  <c r="G133" i="89"/>
  <c r="D146" i="89"/>
  <c r="E132" i="89"/>
  <c r="G131" i="89"/>
  <c r="H131" i="89" s="1"/>
  <c r="G130" i="89"/>
  <c r="H130" i="89" s="1"/>
  <c r="G129" i="89"/>
  <c r="H129" i="89" s="1"/>
  <c r="F132" i="89"/>
  <c r="G128" i="89"/>
  <c r="D132" i="89"/>
  <c r="F127" i="89"/>
  <c r="G126" i="89"/>
  <c r="H126" i="89" s="1"/>
  <c r="G125" i="89"/>
  <c r="H125" i="89" s="1"/>
  <c r="G124" i="89"/>
  <c r="D127" i="89"/>
  <c r="G122" i="89"/>
  <c r="H122" i="89" s="1"/>
  <c r="G121" i="89"/>
  <c r="H121" i="89" s="1"/>
  <c r="G120" i="89"/>
  <c r="H120" i="89" s="1"/>
  <c r="G119" i="89"/>
  <c r="H119" i="89" s="1"/>
  <c r="G118" i="89"/>
  <c r="H118" i="89" s="1"/>
  <c r="G117" i="89"/>
  <c r="H117" i="89" s="1"/>
  <c r="G116" i="89"/>
  <c r="H116" i="89" s="1"/>
  <c r="G115" i="89"/>
  <c r="H115" i="89" s="1"/>
  <c r="G114" i="89"/>
  <c r="H114" i="89" s="1"/>
  <c r="G113" i="89"/>
  <c r="H113" i="89" s="1"/>
  <c r="F123" i="89"/>
  <c r="E123" i="89"/>
  <c r="D123" i="89"/>
  <c r="G110" i="89"/>
  <c r="H110" i="89" s="1"/>
  <c r="G109" i="89"/>
  <c r="H109" i="89" s="1"/>
  <c r="G108" i="89"/>
  <c r="H108" i="89" s="1"/>
  <c r="G107" i="89"/>
  <c r="H107" i="89" s="1"/>
  <c r="G106" i="89"/>
  <c r="H106" i="89" s="1"/>
  <c r="G105" i="89"/>
  <c r="H105" i="89" s="1"/>
  <c r="G104" i="89"/>
  <c r="H104" i="89" s="1"/>
  <c r="G103" i="89"/>
  <c r="H103" i="89" s="1"/>
  <c r="E111" i="89"/>
  <c r="D111" i="89"/>
  <c r="G100" i="89"/>
  <c r="H100" i="89" s="1"/>
  <c r="G99" i="89"/>
  <c r="H99" i="89" s="1"/>
  <c r="G98" i="89"/>
  <c r="H98" i="89" s="1"/>
  <c r="G97" i="89"/>
  <c r="H97" i="89" s="1"/>
  <c r="G96" i="89"/>
  <c r="H96" i="89" s="1"/>
  <c r="G95" i="89"/>
  <c r="H95" i="89" s="1"/>
  <c r="G94" i="89"/>
  <c r="H94" i="89" s="1"/>
  <c r="F101" i="89"/>
  <c r="G93" i="89"/>
  <c r="D101" i="89"/>
  <c r="F91" i="89"/>
  <c r="E91" i="89"/>
  <c r="G90" i="89"/>
  <c r="H90" i="89" s="1"/>
  <c r="H91" i="89" s="1"/>
  <c r="D91" i="89"/>
  <c r="D89" i="89"/>
  <c r="G88" i="89"/>
  <c r="H88" i="89" s="1"/>
  <c r="G87" i="89"/>
  <c r="H87" i="89" s="1"/>
  <c r="G86" i="89"/>
  <c r="H86" i="89" s="1"/>
  <c r="F89" i="89"/>
  <c r="E89" i="89"/>
  <c r="E84" i="89"/>
  <c r="F84" i="89"/>
  <c r="G83" i="89"/>
  <c r="D84" i="89"/>
  <c r="G81" i="89"/>
  <c r="H81" i="89" s="1"/>
  <c r="H82" i="89" s="1"/>
  <c r="F82" i="89"/>
  <c r="E82" i="89"/>
  <c r="D82" i="89"/>
  <c r="G79" i="89"/>
  <c r="H79" i="89" s="1"/>
  <c r="G78" i="89"/>
  <c r="H78" i="89" s="1"/>
  <c r="G77" i="89"/>
  <c r="H77" i="89" s="1"/>
  <c r="G76" i="89"/>
  <c r="H76" i="89" s="1"/>
  <c r="F80" i="89"/>
  <c r="G75" i="89"/>
  <c r="H75" i="89" s="1"/>
  <c r="G74" i="89"/>
  <c r="H74" i="89" s="1"/>
  <c r="E80" i="89"/>
  <c r="D80" i="89"/>
  <c r="E72" i="89"/>
  <c r="D72" i="89"/>
  <c r="G71" i="89"/>
  <c r="F70" i="89"/>
  <c r="G69" i="89"/>
  <c r="H69" i="89" s="1"/>
  <c r="D70" i="89"/>
  <c r="E70" i="89"/>
  <c r="G66" i="89"/>
  <c r="H66" i="89" s="1"/>
  <c r="H67" i="89" s="1"/>
  <c r="F67" i="89"/>
  <c r="E67" i="89"/>
  <c r="D67" i="89"/>
  <c r="D65" i="89"/>
  <c r="F65" i="89"/>
  <c r="E65" i="89"/>
  <c r="F63" i="89"/>
  <c r="G62" i="89"/>
  <c r="H62" i="89" s="1"/>
  <c r="G61" i="89"/>
  <c r="H61" i="89" s="1"/>
  <c r="D63" i="89"/>
  <c r="G60" i="89"/>
  <c r="G57" i="89"/>
  <c r="H57" i="89" s="1"/>
  <c r="E58" i="89"/>
  <c r="D58" i="89"/>
  <c r="G55" i="89"/>
  <c r="F54" i="89"/>
  <c r="E54" i="89"/>
  <c r="D54" i="89"/>
  <c r="E52" i="89"/>
  <c r="G51" i="89"/>
  <c r="H51" i="89" s="1"/>
  <c r="F52" i="89"/>
  <c r="G50" i="89"/>
  <c r="D52" i="89"/>
  <c r="D49" i="89"/>
  <c r="F49" i="89"/>
  <c r="E49" i="89"/>
  <c r="F47" i="89"/>
  <c r="G46" i="89"/>
  <c r="H46" i="89" s="1"/>
  <c r="G45" i="89"/>
  <c r="H45" i="89" s="1"/>
  <c r="D47" i="89"/>
  <c r="G44" i="89"/>
  <c r="H44" i="89" s="1"/>
  <c r="E47" i="89"/>
  <c r="D41" i="89"/>
  <c r="E41" i="89"/>
  <c r="F41" i="89"/>
  <c r="G37" i="89"/>
  <c r="H37" i="89" s="1"/>
  <c r="G36" i="89"/>
  <c r="H36" i="89" s="1"/>
  <c r="G35" i="89"/>
  <c r="H35" i="89" s="1"/>
  <c r="G34" i="89"/>
  <c r="H34" i="89" s="1"/>
  <c r="G33" i="89"/>
  <c r="H33" i="89" s="1"/>
  <c r="G32" i="89"/>
  <c r="H32" i="89" s="1"/>
  <c r="G31" i="89"/>
  <c r="H31" i="89" s="1"/>
  <c r="G30" i="89"/>
  <c r="H30" i="89" s="1"/>
  <c r="G29" i="89"/>
  <c r="H29" i="89" s="1"/>
  <c r="G28" i="89"/>
  <c r="H28" i="89" s="1"/>
  <c r="G27" i="89"/>
  <c r="H27" i="89" s="1"/>
  <c r="G26" i="89"/>
  <c r="H26" i="89" s="1"/>
  <c r="G25" i="89"/>
  <c r="H25" i="89" s="1"/>
  <c r="G24" i="89"/>
  <c r="H24" i="89" s="1"/>
  <c r="G23" i="89"/>
  <c r="H23" i="89" s="1"/>
  <c r="F38" i="89"/>
  <c r="E38" i="89"/>
  <c r="D38" i="89"/>
  <c r="E20" i="89"/>
  <c r="G19" i="89"/>
  <c r="H19" i="89" s="1"/>
  <c r="G18" i="89"/>
  <c r="F20" i="89"/>
  <c r="D20" i="89"/>
  <c r="D17" i="89"/>
  <c r="D21" i="89" s="1"/>
  <c r="F17" i="89"/>
  <c r="E17" i="89"/>
  <c r="F14" i="89"/>
  <c r="G13" i="89"/>
  <c r="H13" i="89" s="1"/>
  <c r="E14" i="89"/>
  <c r="D14" i="89"/>
  <c r="F11" i="89"/>
  <c r="E11" i="89"/>
  <c r="G10" i="89"/>
  <c r="H10" i="89" s="1"/>
  <c r="H11" i="89" s="1"/>
  <c r="D11" i="89"/>
  <c r="D9" i="89"/>
  <c r="G8" i="89"/>
  <c r="H8" i="89" s="1"/>
  <c r="G7" i="89"/>
  <c r="H7" i="89" s="1"/>
  <c r="G6" i="89"/>
  <c r="H6" i="89" s="1"/>
  <c r="F9" i="89"/>
  <c r="E9" i="89"/>
  <c r="E4" i="89"/>
  <c r="G3" i="89"/>
  <c r="H3" i="89" s="1"/>
  <c r="G2" i="89"/>
  <c r="F4" i="89"/>
  <c r="F15" i="89" s="1"/>
  <c r="D4" i="89"/>
  <c r="BP152" i="88"/>
  <c r="AA152" i="88"/>
  <c r="U152" i="88"/>
  <c r="T152" i="88"/>
  <c r="BT150" i="88"/>
  <c r="BQ150" i="88"/>
  <c r="BN150" i="88"/>
  <c r="BM150" i="88"/>
  <c r="BL150" i="88"/>
  <c r="BK150" i="88"/>
  <c r="BJ150" i="88"/>
  <c r="BI150" i="88"/>
  <c r="BH150" i="88"/>
  <c r="BG150" i="88"/>
  <c r="BF150" i="88"/>
  <c r="BE150" i="88"/>
  <c r="BD150" i="88"/>
  <c r="BC150" i="88"/>
  <c r="BB150" i="88"/>
  <c r="AO150" i="88"/>
  <c r="AN150" i="88"/>
  <c r="K150" i="88"/>
  <c r="BT148" i="88"/>
  <c r="BQ148" i="88"/>
  <c r="BN148" i="88"/>
  <c r="BM148" i="88"/>
  <c r="BL148" i="88"/>
  <c r="BK148" i="88"/>
  <c r="BJ148" i="88"/>
  <c r="BI148" i="88"/>
  <c r="BH148" i="88"/>
  <c r="BG148" i="88"/>
  <c r="BF148" i="88"/>
  <c r="BE148" i="88"/>
  <c r="BD148" i="88"/>
  <c r="BC148" i="88"/>
  <c r="BB148" i="88"/>
  <c r="AO148" i="88"/>
  <c r="W148" i="88" s="1"/>
  <c r="AN148" i="88"/>
  <c r="BT147" i="88"/>
  <c r="BQ147" i="88"/>
  <c r="BN147" i="88"/>
  <c r="BM147" i="88"/>
  <c r="BL147" i="88"/>
  <c r="BK147" i="88"/>
  <c r="BJ147" i="88"/>
  <c r="BI147" i="88"/>
  <c r="BH147" i="88"/>
  <c r="BG147" i="88"/>
  <c r="BF147" i="88"/>
  <c r="BE147" i="88"/>
  <c r="BD147" i="88"/>
  <c r="BC147" i="88"/>
  <c r="BB147" i="88"/>
  <c r="AO147" i="88"/>
  <c r="W147" i="88" s="1"/>
  <c r="AN147" i="88"/>
  <c r="K147" i="88"/>
  <c r="BT146" i="88"/>
  <c r="BQ146" i="88"/>
  <c r="BN146" i="88"/>
  <c r="BM146" i="88"/>
  <c r="BL146" i="88"/>
  <c r="BK146" i="88"/>
  <c r="BJ146" i="88"/>
  <c r="BI146" i="88"/>
  <c r="BH146" i="88"/>
  <c r="BG146" i="88"/>
  <c r="BF146" i="88"/>
  <c r="BE146" i="88"/>
  <c r="BD146" i="88"/>
  <c r="BC146" i="88"/>
  <c r="BB146" i="88"/>
  <c r="AO146" i="88"/>
  <c r="W146" i="88" s="1"/>
  <c r="Y146" i="88" s="1"/>
  <c r="AN146" i="88"/>
  <c r="K146" i="88"/>
  <c r="BT145" i="88"/>
  <c r="BQ145" i="88"/>
  <c r="BN145" i="88"/>
  <c r="BM145" i="88"/>
  <c r="BL145" i="88"/>
  <c r="BK145" i="88"/>
  <c r="BJ145" i="88"/>
  <c r="BI145" i="88"/>
  <c r="BH145" i="88"/>
  <c r="BG145" i="88"/>
  <c r="BF145" i="88"/>
  <c r="BE145" i="88"/>
  <c r="BD145" i="88"/>
  <c r="BC145" i="88"/>
  <c r="BB145" i="88"/>
  <c r="AO145" i="88"/>
  <c r="W145" i="88" s="1"/>
  <c r="AN145" i="88"/>
  <c r="V145" i="88"/>
  <c r="K145" i="88"/>
  <c r="BT144" i="88"/>
  <c r="BQ144" i="88"/>
  <c r="BN144" i="88"/>
  <c r="BM144" i="88"/>
  <c r="BL144" i="88"/>
  <c r="BK144" i="88"/>
  <c r="BJ144" i="88"/>
  <c r="BI144" i="88"/>
  <c r="BH144" i="88"/>
  <c r="BG144" i="88"/>
  <c r="BF144" i="88"/>
  <c r="BE144" i="88"/>
  <c r="BD144" i="88"/>
  <c r="BC144" i="88"/>
  <c r="BB144" i="88"/>
  <c r="AO144" i="88"/>
  <c r="W144" i="88" s="1"/>
  <c r="AN144" i="88"/>
  <c r="BT143" i="88"/>
  <c r="BQ143" i="88"/>
  <c r="BN143" i="88"/>
  <c r="BM143" i="88"/>
  <c r="BL143" i="88"/>
  <c r="BK143" i="88"/>
  <c r="BJ143" i="88"/>
  <c r="BI143" i="88"/>
  <c r="BH143" i="88"/>
  <c r="BG143" i="88"/>
  <c r="BF143" i="88"/>
  <c r="BE143" i="88"/>
  <c r="BD143" i="88"/>
  <c r="BC143" i="88"/>
  <c r="BB143" i="88"/>
  <c r="AO143" i="88"/>
  <c r="W143" i="88" s="1"/>
  <c r="AN143" i="88"/>
  <c r="BT142" i="88"/>
  <c r="BQ142" i="88"/>
  <c r="BN142" i="88"/>
  <c r="BM142" i="88"/>
  <c r="BL142" i="88"/>
  <c r="BK142" i="88"/>
  <c r="BJ142" i="88"/>
  <c r="BI142" i="88"/>
  <c r="BH142" i="88"/>
  <c r="BG142" i="88"/>
  <c r="BF142" i="88"/>
  <c r="BE142" i="88"/>
  <c r="BD142" i="88"/>
  <c r="BC142" i="88"/>
  <c r="BB142" i="88"/>
  <c r="AO142" i="88"/>
  <c r="W142" i="88" s="1"/>
  <c r="AN142" i="88"/>
  <c r="K142" i="88"/>
  <c r="BT141" i="88"/>
  <c r="BA141" i="88"/>
  <c r="BN141" i="88" s="1"/>
  <c r="AZ141" i="88"/>
  <c r="BM141" i="88" s="1"/>
  <c r="AY141" i="88"/>
  <c r="BL141" i="88" s="1"/>
  <c r="AX141" i="88"/>
  <c r="BK141" i="88" s="1"/>
  <c r="AW141" i="88"/>
  <c r="BJ141" i="88" s="1"/>
  <c r="AV141" i="88"/>
  <c r="BI141" i="88" s="1"/>
  <c r="AU141" i="88"/>
  <c r="BH141" i="88" s="1"/>
  <c r="AT141" i="88"/>
  <c r="BG141" i="88" s="1"/>
  <c r="AS141" i="88"/>
  <c r="BF141" i="88" s="1"/>
  <c r="AR141" i="88"/>
  <c r="BE141" i="88" s="1"/>
  <c r="AQ141" i="88"/>
  <c r="AP141" i="88"/>
  <c r="BC141" i="88" s="1"/>
  <c r="AO141" i="88"/>
  <c r="AN141" i="88"/>
  <c r="K141" i="88"/>
  <c r="BT140" i="88"/>
  <c r="BN140" i="88"/>
  <c r="BM140" i="88"/>
  <c r="BG140" i="88"/>
  <c r="BF140" i="88"/>
  <c r="BE140" i="88"/>
  <c r="BA140" i="88"/>
  <c r="AZ140" i="88"/>
  <c r="AY140" i="88"/>
  <c r="BL140" i="88" s="1"/>
  <c r="AX140" i="88"/>
  <c r="BK140" i="88" s="1"/>
  <c r="AW140" i="88"/>
  <c r="BJ140" i="88" s="1"/>
  <c r="AV140" i="88"/>
  <c r="BI140" i="88" s="1"/>
  <c r="AU140" i="88"/>
  <c r="BH140" i="88" s="1"/>
  <c r="AT140" i="88"/>
  <c r="AS140" i="88"/>
  <c r="AR140" i="88"/>
  <c r="AQ140" i="88"/>
  <c r="BD140" i="88" s="1"/>
  <c r="AP140" i="88"/>
  <c r="BC140" i="88" s="1"/>
  <c r="AO140" i="88"/>
  <c r="AN140" i="88"/>
  <c r="K140" i="88"/>
  <c r="BT139" i="88"/>
  <c r="BQ139" i="88"/>
  <c r="BN139" i="88"/>
  <c r="BM139" i="88"/>
  <c r="BL139" i="88"/>
  <c r="BK139" i="88"/>
  <c r="BJ139" i="88"/>
  <c r="BI139" i="88"/>
  <c r="BH139" i="88"/>
  <c r="BG139" i="88"/>
  <c r="BF139" i="88"/>
  <c r="BE139" i="88"/>
  <c r="BD139" i="88"/>
  <c r="BC139" i="88"/>
  <c r="BB139" i="88"/>
  <c r="AO139" i="88"/>
  <c r="W139" i="88" s="1"/>
  <c r="AN139" i="88"/>
  <c r="K139" i="88"/>
  <c r="BT138" i="88"/>
  <c r="BQ138" i="88"/>
  <c r="BN138" i="88"/>
  <c r="BM138" i="88"/>
  <c r="BL138" i="88"/>
  <c r="BK138" i="88"/>
  <c r="BJ138" i="88"/>
  <c r="BI138" i="88"/>
  <c r="BH138" i="88"/>
  <c r="BG138" i="88"/>
  <c r="BF138" i="88"/>
  <c r="BE138" i="88"/>
  <c r="BD138" i="88"/>
  <c r="BC138" i="88"/>
  <c r="BB138" i="88"/>
  <c r="AO138" i="88"/>
  <c r="W138" i="88" s="1"/>
  <c r="AN138" i="88"/>
  <c r="K138" i="88"/>
  <c r="BT137" i="88"/>
  <c r="BQ137" i="88"/>
  <c r="BN137" i="88"/>
  <c r="BM137" i="88"/>
  <c r="BL137" i="88"/>
  <c r="BK137" i="88"/>
  <c r="BJ137" i="88"/>
  <c r="BI137" i="88"/>
  <c r="BH137" i="88"/>
  <c r="BG137" i="88"/>
  <c r="BF137" i="88"/>
  <c r="BE137" i="88"/>
  <c r="BD137" i="88"/>
  <c r="BC137" i="88"/>
  <c r="BB137" i="88"/>
  <c r="AO137" i="88"/>
  <c r="W137" i="88" s="1"/>
  <c r="AN137" i="88"/>
  <c r="K137" i="88"/>
  <c r="BT136" i="88"/>
  <c r="BQ136" i="88"/>
  <c r="BN136" i="88"/>
  <c r="BM136" i="88"/>
  <c r="BL136" i="88"/>
  <c r="BK136" i="88"/>
  <c r="BJ136" i="88"/>
  <c r="BI136" i="88"/>
  <c r="BH136" i="88"/>
  <c r="BG136" i="88"/>
  <c r="BF136" i="88"/>
  <c r="BE136" i="88"/>
  <c r="BD136" i="88"/>
  <c r="BC136" i="88"/>
  <c r="BB136" i="88"/>
  <c r="AO136" i="88"/>
  <c r="AN136" i="88"/>
  <c r="K136" i="88"/>
  <c r="BT135" i="88"/>
  <c r="BQ135" i="88"/>
  <c r="BN135" i="88"/>
  <c r="BM135" i="88"/>
  <c r="BL135" i="88"/>
  <c r="BK135" i="88"/>
  <c r="BJ135" i="88"/>
  <c r="BI135" i="88"/>
  <c r="BH135" i="88"/>
  <c r="BG135" i="88"/>
  <c r="BF135" i="88"/>
  <c r="BE135" i="88"/>
  <c r="BD135" i="88"/>
  <c r="BC135" i="88"/>
  <c r="BB135" i="88"/>
  <c r="AO135" i="88"/>
  <c r="AN135" i="88"/>
  <c r="K135" i="88"/>
  <c r="BT134" i="88"/>
  <c r="BQ134" i="88"/>
  <c r="BN134" i="88"/>
  <c r="BM134" i="88"/>
  <c r="BL134" i="88"/>
  <c r="BK134" i="88"/>
  <c r="BJ134" i="88"/>
  <c r="BI134" i="88"/>
  <c r="BH134" i="88"/>
  <c r="BG134" i="88"/>
  <c r="BF134" i="88"/>
  <c r="BE134" i="88"/>
  <c r="BD134" i="88"/>
  <c r="BC134" i="88"/>
  <c r="BB134" i="88"/>
  <c r="AO134" i="88"/>
  <c r="W134" i="88" s="1"/>
  <c r="AN134" i="88"/>
  <c r="K134" i="88"/>
  <c r="BT133" i="88"/>
  <c r="BQ133" i="88"/>
  <c r="BN133" i="88"/>
  <c r="BM133" i="88"/>
  <c r="BL133" i="88"/>
  <c r="BK133" i="88"/>
  <c r="BJ133" i="88"/>
  <c r="BI133" i="88"/>
  <c r="BH133" i="88"/>
  <c r="BG133" i="88"/>
  <c r="BF133" i="88"/>
  <c r="BE133" i="88"/>
  <c r="BD133" i="88"/>
  <c r="BC133" i="88"/>
  <c r="BB133" i="88"/>
  <c r="AO133" i="88"/>
  <c r="W133" i="88" s="1"/>
  <c r="AN133" i="88"/>
  <c r="K133" i="88"/>
  <c r="BT132" i="88"/>
  <c r="BQ132" i="88"/>
  <c r="BN132" i="88"/>
  <c r="BM132" i="88"/>
  <c r="BL132" i="88"/>
  <c r="BK132" i="88"/>
  <c r="BJ132" i="88"/>
  <c r="BI132" i="88"/>
  <c r="BH132" i="88"/>
  <c r="BG132" i="88"/>
  <c r="BF132" i="88"/>
  <c r="BE132" i="88"/>
  <c r="BD132" i="88"/>
  <c r="BC132" i="88"/>
  <c r="BB132" i="88"/>
  <c r="AO132" i="88"/>
  <c r="AN132" i="88"/>
  <c r="K132" i="88"/>
  <c r="BT131" i="88"/>
  <c r="BQ131" i="88"/>
  <c r="BN131" i="88"/>
  <c r="BM131" i="88"/>
  <c r="BL131" i="88"/>
  <c r="BK131" i="88"/>
  <c r="BJ131" i="88"/>
  <c r="BI131" i="88"/>
  <c r="BH131" i="88"/>
  <c r="BG131" i="88"/>
  <c r="BF131" i="88"/>
  <c r="BE131" i="88"/>
  <c r="BD131" i="88"/>
  <c r="BC131" i="88"/>
  <c r="BB131" i="88"/>
  <c r="AO131" i="88"/>
  <c r="AN131" i="88"/>
  <c r="K131" i="88"/>
  <c r="BT130" i="88"/>
  <c r="BQ130" i="88"/>
  <c r="BN130" i="88"/>
  <c r="BM130" i="88"/>
  <c r="BL130" i="88"/>
  <c r="BK130" i="88"/>
  <c r="BJ130" i="88"/>
  <c r="BI130" i="88"/>
  <c r="BH130" i="88"/>
  <c r="BG130" i="88"/>
  <c r="BF130" i="88"/>
  <c r="BE130" i="88"/>
  <c r="BD130" i="88"/>
  <c r="BC130" i="88"/>
  <c r="BB130" i="88"/>
  <c r="AO130" i="88"/>
  <c r="W130" i="88" s="1"/>
  <c r="AN130" i="88"/>
  <c r="K130" i="88"/>
  <c r="BT129" i="88"/>
  <c r="BQ129" i="88"/>
  <c r="BN129" i="88"/>
  <c r="BM129" i="88"/>
  <c r="BL129" i="88"/>
  <c r="BK129" i="88"/>
  <c r="BJ129" i="88"/>
  <c r="BI129" i="88"/>
  <c r="BH129" i="88"/>
  <c r="BG129" i="88"/>
  <c r="BF129" i="88"/>
  <c r="BE129" i="88"/>
  <c r="BD129" i="88"/>
  <c r="BC129" i="88"/>
  <c r="BB129" i="88"/>
  <c r="AO129" i="88"/>
  <c r="W129" i="88" s="1"/>
  <c r="AN129" i="88"/>
  <c r="K129" i="88"/>
  <c r="BT128" i="88"/>
  <c r="BQ128" i="88"/>
  <c r="BN128" i="88"/>
  <c r="BM128" i="88"/>
  <c r="BL128" i="88"/>
  <c r="BK128" i="88"/>
  <c r="BJ128" i="88"/>
  <c r="BI128" i="88"/>
  <c r="BH128" i="88"/>
  <c r="BG128" i="88"/>
  <c r="BF128" i="88"/>
  <c r="BE128" i="88"/>
  <c r="BD128" i="88"/>
  <c r="BC128" i="88"/>
  <c r="BB128" i="88"/>
  <c r="AO128" i="88"/>
  <c r="AN128" i="88"/>
  <c r="K128" i="88"/>
  <c r="BT127" i="88"/>
  <c r="BQ127" i="88"/>
  <c r="BN127" i="88"/>
  <c r="BM127" i="88"/>
  <c r="BL127" i="88"/>
  <c r="BK127" i="88"/>
  <c r="BJ127" i="88"/>
  <c r="BI127" i="88"/>
  <c r="BH127" i="88"/>
  <c r="BG127" i="88"/>
  <c r="BF127" i="88"/>
  <c r="BE127" i="88"/>
  <c r="BD127" i="88"/>
  <c r="BC127" i="88"/>
  <c r="BB127" i="88"/>
  <c r="AO127" i="88"/>
  <c r="AN127" i="88"/>
  <c r="K127" i="88"/>
  <c r="BT126" i="88"/>
  <c r="BQ126" i="88"/>
  <c r="BN126" i="88"/>
  <c r="BM126" i="88"/>
  <c r="BL126" i="88"/>
  <c r="BK126" i="88"/>
  <c r="BJ126" i="88"/>
  <c r="BI126" i="88"/>
  <c r="BH126" i="88"/>
  <c r="BG126" i="88"/>
  <c r="BF126" i="88"/>
  <c r="BE126" i="88"/>
  <c r="BD126" i="88"/>
  <c r="BC126" i="88"/>
  <c r="BB126" i="88"/>
  <c r="AO126" i="88"/>
  <c r="W126" i="88" s="1"/>
  <c r="AN126" i="88"/>
  <c r="K126" i="88"/>
  <c r="BT125" i="88"/>
  <c r="BQ125" i="88"/>
  <c r="BN125" i="88"/>
  <c r="BM125" i="88"/>
  <c r="BL125" i="88"/>
  <c r="BK125" i="88"/>
  <c r="BJ125" i="88"/>
  <c r="BI125" i="88"/>
  <c r="BH125" i="88"/>
  <c r="BG125" i="88"/>
  <c r="BF125" i="88"/>
  <c r="BE125" i="88"/>
  <c r="BD125" i="88"/>
  <c r="BC125" i="88"/>
  <c r="BB125" i="88"/>
  <c r="AO125" i="88"/>
  <c r="W125" i="88" s="1"/>
  <c r="AN125" i="88"/>
  <c r="K125" i="88"/>
  <c r="BT124" i="88"/>
  <c r="BQ124" i="88"/>
  <c r="BN124" i="88"/>
  <c r="BM124" i="88"/>
  <c r="BL124" i="88"/>
  <c r="BK124" i="88"/>
  <c r="BJ124" i="88"/>
  <c r="BI124" i="88"/>
  <c r="BH124" i="88"/>
  <c r="BG124" i="88"/>
  <c r="BF124" i="88"/>
  <c r="BE124" i="88"/>
  <c r="BD124" i="88"/>
  <c r="BC124" i="88"/>
  <c r="BB124" i="88"/>
  <c r="AO124" i="88"/>
  <c r="AN124" i="88"/>
  <c r="K124" i="88"/>
  <c r="BT123" i="88"/>
  <c r="BQ123" i="88"/>
  <c r="BN123" i="88"/>
  <c r="BM123" i="88"/>
  <c r="BL123" i="88"/>
  <c r="BK123" i="88"/>
  <c r="BJ123" i="88"/>
  <c r="BI123" i="88"/>
  <c r="BH123" i="88"/>
  <c r="BG123" i="88"/>
  <c r="BF123" i="88"/>
  <c r="BE123" i="88"/>
  <c r="BD123" i="88"/>
  <c r="BC123" i="88"/>
  <c r="BB123" i="88"/>
  <c r="AO123" i="88"/>
  <c r="AN123" i="88"/>
  <c r="K123" i="88"/>
  <c r="BN122" i="88"/>
  <c r="BM122" i="88"/>
  <c r="BL122" i="88"/>
  <c r="BC122" i="88"/>
  <c r="AX122" i="88"/>
  <c r="AW122" i="88"/>
  <c r="AV122" i="88"/>
  <c r="AU122" i="88"/>
  <c r="AT122" i="88"/>
  <c r="AS122" i="88"/>
  <c r="BF122" i="88" s="1"/>
  <c r="AR122" i="88"/>
  <c r="BE122" i="88" s="1"/>
  <c r="AQ122" i="88"/>
  <c r="AP122" i="88"/>
  <c r="AJ122" i="88"/>
  <c r="BK122" i="88" s="1"/>
  <c r="AI122" i="88"/>
  <c r="BJ122" i="88" s="1"/>
  <c r="AH122" i="88"/>
  <c r="AG122" i="88"/>
  <c r="AF122" i="88"/>
  <c r="AE122" i="88"/>
  <c r="AD122" i="88"/>
  <c r="AC122" i="88"/>
  <c r="AB122" i="88"/>
  <c r="K122" i="88"/>
  <c r="BT121" i="88"/>
  <c r="BQ121" i="88"/>
  <c r="BN121" i="88"/>
  <c r="BM121" i="88"/>
  <c r="BL121" i="88"/>
  <c r="BK121" i="88"/>
  <c r="BJ121" i="88"/>
  <c r="BI121" i="88"/>
  <c r="BH121" i="88"/>
  <c r="BG121" i="88"/>
  <c r="BF121" i="88"/>
  <c r="BE121" i="88"/>
  <c r="BD121" i="88"/>
  <c r="BC121" i="88"/>
  <c r="BB121" i="88"/>
  <c r="AO121" i="88"/>
  <c r="AN121" i="88"/>
  <c r="K121" i="88"/>
  <c r="BT120" i="88"/>
  <c r="BN120" i="88"/>
  <c r="BM120" i="88"/>
  <c r="BL120" i="88"/>
  <c r="BK120" i="88"/>
  <c r="BJ120" i="88"/>
  <c r="BI120" i="88"/>
  <c r="BH120" i="88"/>
  <c r="BG120" i="88"/>
  <c r="BE120" i="88"/>
  <c r="BD120" i="88"/>
  <c r="BC120" i="88"/>
  <c r="AS120" i="88"/>
  <c r="BB120" i="88" s="1"/>
  <c r="AO120" i="88"/>
  <c r="W120" i="88" s="1"/>
  <c r="AN120" i="88"/>
  <c r="K120" i="88"/>
  <c r="BT119" i="88"/>
  <c r="BN119" i="88"/>
  <c r="BM119" i="88"/>
  <c r="BL119" i="88"/>
  <c r="BK119" i="88"/>
  <c r="BJ119" i="88"/>
  <c r="BI119" i="88"/>
  <c r="BH119" i="88"/>
  <c r="BG119" i="88"/>
  <c r="BF119" i="88"/>
  <c r="BD119" i="88"/>
  <c r="BC119" i="88"/>
  <c r="AR119" i="88"/>
  <c r="AO119" i="88"/>
  <c r="W119" i="88" s="1"/>
  <c r="AN119" i="88"/>
  <c r="K119" i="88"/>
  <c r="BT118" i="88"/>
  <c r="BN118" i="88"/>
  <c r="BM118" i="88"/>
  <c r="BL118" i="88"/>
  <c r="BK118" i="88"/>
  <c r="BJ118" i="88"/>
  <c r="BI118" i="88"/>
  <c r="BH118" i="88"/>
  <c r="BG118" i="88"/>
  <c r="BE118" i="88"/>
  <c r="BD118" i="88"/>
  <c r="AS118" i="88"/>
  <c r="AP118" i="88"/>
  <c r="BC118" i="88" s="1"/>
  <c r="AO118" i="88"/>
  <c r="AN118" i="88"/>
  <c r="K118" i="88"/>
  <c r="BT117" i="88"/>
  <c r="BQ117" i="88"/>
  <c r="BN117" i="88"/>
  <c r="BM117" i="88"/>
  <c r="BL117" i="88"/>
  <c r="BK117" i="88"/>
  <c r="BJ117" i="88"/>
  <c r="BI117" i="88"/>
  <c r="BH117" i="88"/>
  <c r="BG117" i="88"/>
  <c r="BF117" i="88"/>
  <c r="BE117" i="88"/>
  <c r="BD117" i="88"/>
  <c r="BC117" i="88"/>
  <c r="BB117" i="88"/>
  <c r="AO117" i="88"/>
  <c r="W117" i="88" s="1"/>
  <c r="Y117" i="88" s="1"/>
  <c r="AN117" i="88"/>
  <c r="K117" i="88"/>
  <c r="BT116" i="88"/>
  <c r="BQ116" i="88"/>
  <c r="BN116" i="88"/>
  <c r="BM116" i="88"/>
  <c r="BL116" i="88"/>
  <c r="BK116" i="88"/>
  <c r="BJ116" i="88"/>
  <c r="BI116" i="88"/>
  <c r="BH116" i="88"/>
  <c r="BG116" i="88"/>
  <c r="BF116" i="88"/>
  <c r="BE116" i="88"/>
  <c r="BD116" i="88"/>
  <c r="BC116" i="88"/>
  <c r="BB116" i="88"/>
  <c r="AO116" i="88"/>
  <c r="W116" i="88" s="1"/>
  <c r="AN116" i="88"/>
  <c r="K116" i="88"/>
  <c r="BT115" i="88"/>
  <c r="BQ115" i="88"/>
  <c r="BN115" i="88"/>
  <c r="BM115" i="88"/>
  <c r="BL115" i="88"/>
  <c r="BK115" i="88"/>
  <c r="BJ115" i="88"/>
  <c r="BI115" i="88"/>
  <c r="BH115" i="88"/>
  <c r="BG115" i="88"/>
  <c r="BF115" i="88"/>
  <c r="BE115" i="88"/>
  <c r="BD115" i="88"/>
  <c r="BC115" i="88"/>
  <c r="BB115" i="88"/>
  <c r="AO115" i="88"/>
  <c r="W115" i="88" s="1"/>
  <c r="AN115" i="88"/>
  <c r="K115" i="88"/>
  <c r="BT114" i="88"/>
  <c r="BQ114" i="88"/>
  <c r="BN114" i="88"/>
  <c r="BM114" i="88"/>
  <c r="BL114" i="88"/>
  <c r="BK114" i="88"/>
  <c r="BJ114" i="88"/>
  <c r="BI114" i="88"/>
  <c r="BH114" i="88"/>
  <c r="BG114" i="88"/>
  <c r="BF114" i="88"/>
  <c r="BE114" i="88"/>
  <c r="BD114" i="88"/>
  <c r="BC114" i="88"/>
  <c r="BB114" i="88"/>
  <c r="AO114" i="88"/>
  <c r="AN114" i="88"/>
  <c r="K114" i="88"/>
  <c r="BT113" i="88"/>
  <c r="BQ113" i="88"/>
  <c r="BN113" i="88"/>
  <c r="BM113" i="88"/>
  <c r="BL113" i="88"/>
  <c r="BK113" i="88"/>
  <c r="BJ113" i="88"/>
  <c r="BI113" i="88"/>
  <c r="BH113" i="88"/>
  <c r="BG113" i="88"/>
  <c r="BF113" i="88"/>
  <c r="BE113" i="88"/>
  <c r="BD113" i="88"/>
  <c r="BC113" i="88"/>
  <c r="BB113" i="88"/>
  <c r="AO113" i="88"/>
  <c r="AN113" i="88"/>
  <c r="K113" i="88"/>
  <c r="BQ112" i="88"/>
  <c r="BB112" i="88"/>
  <c r="AM112" i="88"/>
  <c r="BN112" i="88" s="1"/>
  <c r="AL112" i="88"/>
  <c r="BM112" i="88" s="1"/>
  <c r="AK112" i="88"/>
  <c r="BL112" i="88" s="1"/>
  <c r="AJ112" i="88"/>
  <c r="BK112" i="88" s="1"/>
  <c r="AI112" i="88"/>
  <c r="BJ112" i="88" s="1"/>
  <c r="AH112" i="88"/>
  <c r="BI112" i="88" s="1"/>
  <c r="AG112" i="88"/>
  <c r="AF112" i="88"/>
  <c r="BG112" i="88" s="1"/>
  <c r="AE112" i="88"/>
  <c r="BF112" i="88" s="1"/>
  <c r="AD112" i="88"/>
  <c r="BE112" i="88" s="1"/>
  <c r="AC112" i="88"/>
  <c r="BD112" i="88" s="1"/>
  <c r="AB112" i="88"/>
  <c r="BC112" i="88" s="1"/>
  <c r="K112" i="88"/>
  <c r="BT111" i="88"/>
  <c r="BQ111" i="88"/>
  <c r="BN111" i="88"/>
  <c r="BM111" i="88"/>
  <c r="BL111" i="88"/>
  <c r="BK111" i="88"/>
  <c r="BJ111" i="88"/>
  <c r="BI111" i="88"/>
  <c r="BH111" i="88"/>
  <c r="BG111" i="88"/>
  <c r="BF111" i="88"/>
  <c r="BE111" i="88"/>
  <c r="BD111" i="88"/>
  <c r="BC111" i="88"/>
  <c r="BB111" i="88"/>
  <c r="AO111" i="88"/>
  <c r="W111" i="88" s="1"/>
  <c r="AN111" i="88"/>
  <c r="K111" i="88"/>
  <c r="BT110" i="88"/>
  <c r="BQ110" i="88"/>
  <c r="BN110" i="88"/>
  <c r="BM110" i="88"/>
  <c r="BL110" i="88"/>
  <c r="BK110" i="88"/>
  <c r="BJ110" i="88"/>
  <c r="BI110" i="88"/>
  <c r="BH110" i="88"/>
  <c r="BG110" i="88"/>
  <c r="BF110" i="88"/>
  <c r="BE110" i="88"/>
  <c r="BD110" i="88"/>
  <c r="BC110" i="88"/>
  <c r="BB110" i="88"/>
  <c r="AO110" i="88"/>
  <c r="W110" i="88" s="1"/>
  <c r="AN110" i="88"/>
  <c r="K110" i="88"/>
  <c r="BT109" i="88"/>
  <c r="BQ109" i="88"/>
  <c r="BN109" i="88"/>
  <c r="BM109" i="88"/>
  <c r="BL109" i="88"/>
  <c r="BK109" i="88"/>
  <c r="BJ109" i="88"/>
  <c r="BI109" i="88"/>
  <c r="BH109" i="88"/>
  <c r="BG109" i="88"/>
  <c r="BF109" i="88"/>
  <c r="BE109" i="88"/>
  <c r="BD109" i="88"/>
  <c r="BC109" i="88"/>
  <c r="BB109" i="88"/>
  <c r="AO109" i="88"/>
  <c r="AN109" i="88"/>
  <c r="K109" i="88"/>
  <c r="BT108" i="88"/>
  <c r="BQ108" i="88"/>
  <c r="BN108" i="88"/>
  <c r="BM108" i="88"/>
  <c r="BL108" i="88"/>
  <c r="BK108" i="88"/>
  <c r="BJ108" i="88"/>
  <c r="BI108" i="88"/>
  <c r="BH108" i="88"/>
  <c r="BG108" i="88"/>
  <c r="BF108" i="88"/>
  <c r="BE108" i="88"/>
  <c r="BD108" i="88"/>
  <c r="BC108" i="88"/>
  <c r="BB108" i="88"/>
  <c r="AO108" i="88"/>
  <c r="AN108" i="88"/>
  <c r="K108" i="88"/>
  <c r="BQ107" i="88"/>
  <c r="BN107" i="88"/>
  <c r="BM107" i="88"/>
  <c r="BL107" i="88"/>
  <c r="BK107" i="88"/>
  <c r="BJ107" i="88"/>
  <c r="BI107" i="88"/>
  <c r="BH107" i="88"/>
  <c r="BG107" i="88"/>
  <c r="BE107" i="88"/>
  <c r="BD107" i="88"/>
  <c r="BC107" i="88"/>
  <c r="AS107" i="88"/>
  <c r="BB107" i="88" s="1"/>
  <c r="AO107" i="88"/>
  <c r="AN107" i="88"/>
  <c r="AE107" i="88"/>
  <c r="BF107" i="88" s="1"/>
  <c r="K107" i="88"/>
  <c r="BT106" i="88"/>
  <c r="BQ106" i="88"/>
  <c r="BN106" i="88"/>
  <c r="BM106" i="88"/>
  <c r="BL106" i="88"/>
  <c r="BK106" i="88"/>
  <c r="BJ106" i="88"/>
  <c r="BI106" i="88"/>
  <c r="BH106" i="88"/>
  <c r="BG106" i="88"/>
  <c r="BF106" i="88"/>
  <c r="BE106" i="88"/>
  <c r="BD106" i="88"/>
  <c r="BC106" i="88"/>
  <c r="BB106" i="88"/>
  <c r="AO106" i="88"/>
  <c r="AN106" i="88"/>
  <c r="K106" i="88"/>
  <c r="BT105" i="88"/>
  <c r="BN105" i="88"/>
  <c r="BM105" i="88"/>
  <c r="BL105" i="88"/>
  <c r="BK105" i="88"/>
  <c r="BJ105" i="88"/>
  <c r="BI105" i="88"/>
  <c r="BH105" i="88"/>
  <c r="BG105" i="88"/>
  <c r="BE105" i="88"/>
  <c r="BD105" i="88"/>
  <c r="BC105" i="88"/>
  <c r="AS105" i="88"/>
  <c r="BF105" i="88" s="1"/>
  <c r="AM105" i="88"/>
  <c r="K105" i="88"/>
  <c r="BT104" i="88"/>
  <c r="BQ104" i="88"/>
  <c r="BM104" i="88"/>
  <c r="BL104" i="88"/>
  <c r="BK104" i="88"/>
  <c r="BJ104" i="88"/>
  <c r="BI104" i="88"/>
  <c r="BH104" i="88"/>
  <c r="BG104" i="88"/>
  <c r="BF104" i="88"/>
  <c r="BE104" i="88"/>
  <c r="BD104" i="88"/>
  <c r="BC104" i="88"/>
  <c r="BB104" i="88"/>
  <c r="AM104" i="88"/>
  <c r="K104" i="88"/>
  <c r="BT103" i="88"/>
  <c r="BN103" i="88"/>
  <c r="BM103" i="88"/>
  <c r="BL103" i="88"/>
  <c r="BK103" i="88"/>
  <c r="BJ103" i="88"/>
  <c r="BI103" i="88"/>
  <c r="BH103" i="88"/>
  <c r="BG103" i="88"/>
  <c r="BF103" i="88"/>
  <c r="BE103" i="88"/>
  <c r="BC103" i="88"/>
  <c r="AR103" i="88"/>
  <c r="AQ103" i="88"/>
  <c r="AP103" i="88"/>
  <c r="AO103" i="88"/>
  <c r="AN103" i="88"/>
  <c r="K103" i="88"/>
  <c r="BT102" i="88"/>
  <c r="BA102" i="88"/>
  <c r="BN102" i="88" s="1"/>
  <c r="AZ102" i="88"/>
  <c r="BM102" i="88" s="1"/>
  <c r="AY102" i="88"/>
  <c r="BL102" i="88" s="1"/>
  <c r="AX102" i="88"/>
  <c r="BK102" i="88" s="1"/>
  <c r="AW102" i="88"/>
  <c r="BJ102" i="88" s="1"/>
  <c r="AV102" i="88"/>
  <c r="BI102" i="88" s="1"/>
  <c r="AU102" i="88"/>
  <c r="BH102" i="88" s="1"/>
  <c r="AT102" i="88"/>
  <c r="BG102" i="88" s="1"/>
  <c r="AS102" i="88"/>
  <c r="BF102" i="88" s="1"/>
  <c r="AR102" i="88"/>
  <c r="BE102" i="88" s="1"/>
  <c r="AQ102" i="88"/>
  <c r="AP102" i="88"/>
  <c r="BC102" i="88" s="1"/>
  <c r="AO102" i="88"/>
  <c r="AN102" i="88"/>
  <c r="K102" i="88"/>
  <c r="BT101" i="88"/>
  <c r="BQ101" i="88"/>
  <c r="BN101" i="88"/>
  <c r="BM101" i="88"/>
  <c r="BL101" i="88"/>
  <c r="BK101" i="88"/>
  <c r="BJ101" i="88"/>
  <c r="BI101" i="88"/>
  <c r="BH101" i="88"/>
  <c r="BG101" i="88"/>
  <c r="BF101" i="88"/>
  <c r="BE101" i="88"/>
  <c r="BD101" i="88"/>
  <c r="BC101" i="88"/>
  <c r="BB101" i="88"/>
  <c r="AO101" i="88"/>
  <c r="W101" i="88" s="1"/>
  <c r="AN101" i="88"/>
  <c r="K101" i="88"/>
  <c r="BA100" i="88"/>
  <c r="AZ100" i="88"/>
  <c r="BM100" i="88" s="1"/>
  <c r="AY100" i="88"/>
  <c r="AX100" i="88"/>
  <c r="AW100" i="88"/>
  <c r="BJ100" i="88" s="1"/>
  <c r="AV100" i="88"/>
  <c r="AU100" i="88"/>
  <c r="AT100" i="88"/>
  <c r="BG100" i="88" s="1"/>
  <c r="AS100" i="88"/>
  <c r="AR100" i="88"/>
  <c r="BE100" i="88" s="1"/>
  <c r="AQ100" i="88"/>
  <c r="AP100" i="88"/>
  <c r="AM100" i="88"/>
  <c r="AL100" i="88"/>
  <c r="AK100" i="88"/>
  <c r="AJ100" i="88"/>
  <c r="AI100" i="88"/>
  <c r="AH100" i="88"/>
  <c r="BI100" i="88" s="1"/>
  <c r="AG100" i="88"/>
  <c r="AF100" i="88"/>
  <c r="AE100" i="88"/>
  <c r="AD100" i="88"/>
  <c r="AC100" i="88"/>
  <c r="AB100" i="88"/>
  <c r="K100" i="88"/>
  <c r="BT99" i="88"/>
  <c r="AV99" i="88"/>
  <c r="BI99" i="88" s="1"/>
  <c r="AU99" i="88"/>
  <c r="BH99" i="88" s="1"/>
  <c r="AT99" i="88"/>
  <c r="BG99" i="88" s="1"/>
  <c r="AS99" i="88"/>
  <c r="BF99" i="88" s="1"/>
  <c r="AR99" i="88"/>
  <c r="BE99" i="88" s="1"/>
  <c r="AQ99" i="88"/>
  <c r="BD99" i="88" s="1"/>
  <c r="AP99" i="88"/>
  <c r="AI99" i="88"/>
  <c r="AJ99" i="88" s="1"/>
  <c r="AK99" i="88" s="1"/>
  <c r="BL99" i="88" s="1"/>
  <c r="K99" i="88"/>
  <c r="BQ98" i="88"/>
  <c r="BN98" i="88"/>
  <c r="BM98" i="88"/>
  <c r="BL98" i="88"/>
  <c r="BK98" i="88"/>
  <c r="BJ98" i="88"/>
  <c r="BI98" i="88"/>
  <c r="BB98" i="88"/>
  <c r="AG98" i="88"/>
  <c r="AO98" i="88" s="1"/>
  <c r="AF98" i="88"/>
  <c r="BG98" i="88" s="1"/>
  <c r="AE98" i="88"/>
  <c r="BF98" i="88" s="1"/>
  <c r="AD98" i="88"/>
  <c r="BE98" i="88" s="1"/>
  <c r="AC98" i="88"/>
  <c r="BD98" i="88" s="1"/>
  <c r="AB98" i="88"/>
  <c r="K98" i="88"/>
  <c r="BT97" i="88"/>
  <c r="BQ97" i="88"/>
  <c r="BN97" i="88"/>
  <c r="BM97" i="88"/>
  <c r="BL97" i="88"/>
  <c r="BK97" i="88"/>
  <c r="BJ97" i="88"/>
  <c r="BI97" i="88"/>
  <c r="BH97" i="88"/>
  <c r="BG97" i="88"/>
  <c r="BF97" i="88"/>
  <c r="BE97" i="88"/>
  <c r="BD97" i="88"/>
  <c r="BC97" i="88"/>
  <c r="BB97" i="88"/>
  <c r="AO97" i="88"/>
  <c r="W97" i="88" s="1"/>
  <c r="Y97" i="88" s="1"/>
  <c r="AN97" i="88"/>
  <c r="K97" i="88"/>
  <c r="BT96" i="88"/>
  <c r="BQ96" i="88"/>
  <c r="BN96" i="88"/>
  <c r="BM96" i="88"/>
  <c r="BL96" i="88"/>
  <c r="BK96" i="88"/>
  <c r="BJ96" i="88"/>
  <c r="BI96" i="88"/>
  <c r="BH96" i="88"/>
  <c r="BG96" i="88"/>
  <c r="BF96" i="88"/>
  <c r="BE96" i="88"/>
  <c r="BD96" i="88"/>
  <c r="BC96" i="88"/>
  <c r="BB96" i="88"/>
  <c r="AO96" i="88"/>
  <c r="W96" i="88" s="1"/>
  <c r="AN96" i="88"/>
  <c r="K96" i="88"/>
  <c r="BT95" i="88"/>
  <c r="BQ95" i="88"/>
  <c r="BN95" i="88"/>
  <c r="BM95" i="88"/>
  <c r="BL95" i="88"/>
  <c r="BK95" i="88"/>
  <c r="BJ95" i="88"/>
  <c r="BI95" i="88"/>
  <c r="BH95" i="88"/>
  <c r="BG95" i="88"/>
  <c r="BF95" i="88"/>
  <c r="BE95" i="88"/>
  <c r="BD95" i="88"/>
  <c r="BC95" i="88"/>
  <c r="BB95" i="88"/>
  <c r="AO95" i="88"/>
  <c r="W95" i="88" s="1"/>
  <c r="Y95" i="88" s="1"/>
  <c r="AN95" i="88"/>
  <c r="K95" i="88"/>
  <c r="BF94" i="88"/>
  <c r="BA94" i="88"/>
  <c r="BN94" i="88" s="1"/>
  <c r="AZ94" i="88"/>
  <c r="BM94" i="88" s="1"/>
  <c r="AY94" i="88"/>
  <c r="AX94" i="88"/>
  <c r="BK94" i="88" s="1"/>
  <c r="AW94" i="88"/>
  <c r="AV94" i="88"/>
  <c r="AU94" i="88"/>
  <c r="AT94" i="88"/>
  <c r="AS94" i="88"/>
  <c r="AR94" i="88"/>
  <c r="BE94" i="88" s="1"/>
  <c r="AQ94" i="88"/>
  <c r="BD94" i="88" s="1"/>
  <c r="AP94" i="88"/>
  <c r="BQ94" i="88" s="1"/>
  <c r="AM94" i="88"/>
  <c r="AL94" i="88"/>
  <c r="AK94" i="88"/>
  <c r="AJ94" i="88"/>
  <c r="AI94" i="88"/>
  <c r="AH94" i="88"/>
  <c r="BI94" i="88" s="1"/>
  <c r="AG94" i="88"/>
  <c r="AF94" i="88"/>
  <c r="BG94" i="88" s="1"/>
  <c r="AE94" i="88"/>
  <c r="AD94" i="88"/>
  <c r="AC94" i="88"/>
  <c r="AB94" i="88"/>
  <c r="K94" i="88"/>
  <c r="BT93" i="88"/>
  <c r="BN93" i="88"/>
  <c r="BM93" i="88"/>
  <c r="BL93" i="88"/>
  <c r="BK93" i="88"/>
  <c r="BJ93" i="88"/>
  <c r="BI93" i="88"/>
  <c r="BG93" i="88"/>
  <c r="BE93" i="88"/>
  <c r="AU93" i="88"/>
  <c r="BH93" i="88" s="1"/>
  <c r="AT93" i="88"/>
  <c r="AS93" i="88"/>
  <c r="BF93" i="88" s="1"/>
  <c r="AR93" i="88"/>
  <c r="AQ93" i="88"/>
  <c r="BD93" i="88" s="1"/>
  <c r="AP93" i="88"/>
  <c r="AO93" i="88"/>
  <c r="AN93" i="88"/>
  <c r="K93" i="88"/>
  <c r="BM92" i="88"/>
  <c r="BL92" i="88"/>
  <c r="BK92" i="88"/>
  <c r="BJ92" i="88"/>
  <c r="BI92" i="88"/>
  <c r="BH92" i="88"/>
  <c r="BG92" i="88"/>
  <c r="BD92" i="88"/>
  <c r="BC92" i="88"/>
  <c r="AS92" i="88"/>
  <c r="AR92" i="88"/>
  <c r="AP92" i="88"/>
  <c r="AM92" i="88"/>
  <c r="BN92" i="88" s="1"/>
  <c r="AE92" i="88"/>
  <c r="BF92" i="88" s="1"/>
  <c r="AD92" i="88"/>
  <c r="K92" i="88"/>
  <c r="BT91" i="88"/>
  <c r="BQ91" i="88"/>
  <c r="BN91" i="88"/>
  <c r="BM91" i="88"/>
  <c r="BL91" i="88"/>
  <c r="BK91" i="88"/>
  <c r="BJ91" i="88"/>
  <c r="BI91" i="88"/>
  <c r="BH91" i="88"/>
  <c r="BG91" i="88"/>
  <c r="BF91" i="88"/>
  <c r="BE91" i="88"/>
  <c r="BD91" i="88"/>
  <c r="BC91" i="88"/>
  <c r="BB91" i="88"/>
  <c r="AO91" i="88"/>
  <c r="AN91" i="88"/>
  <c r="K91" i="88"/>
  <c r="BT90" i="88"/>
  <c r="BQ90" i="88"/>
  <c r="BN90" i="88"/>
  <c r="BM90" i="88"/>
  <c r="BL90" i="88"/>
  <c r="BK90" i="88"/>
  <c r="BJ90" i="88"/>
  <c r="BI90" i="88"/>
  <c r="BH90" i="88"/>
  <c r="BG90" i="88"/>
  <c r="BF90" i="88"/>
  <c r="BE90" i="88"/>
  <c r="BD90" i="88"/>
  <c r="BC90" i="88"/>
  <c r="BB90" i="88"/>
  <c r="AO90" i="88"/>
  <c r="W90" i="88" s="1"/>
  <c r="AN90" i="88"/>
  <c r="K90" i="88"/>
  <c r="BT89" i="88"/>
  <c r="BQ89" i="88"/>
  <c r="BN89" i="88"/>
  <c r="BM89" i="88"/>
  <c r="BL89" i="88"/>
  <c r="BK89" i="88"/>
  <c r="BI89" i="88"/>
  <c r="BH89" i="88"/>
  <c r="BG89" i="88"/>
  <c r="BF89" i="88"/>
  <c r="BE89" i="88"/>
  <c r="BD89" i="88"/>
  <c r="BC89" i="88"/>
  <c r="BB89" i="88"/>
  <c r="AN89" i="88"/>
  <c r="AI89" i="88"/>
  <c r="BJ89" i="88" s="1"/>
  <c r="K89" i="88"/>
  <c r="BT88" i="88"/>
  <c r="BQ88" i="88"/>
  <c r="BN88" i="88"/>
  <c r="BM88" i="88"/>
  <c r="BL88" i="88"/>
  <c r="BK88" i="88"/>
  <c r="BJ88" i="88"/>
  <c r="BI88" i="88"/>
  <c r="BH88" i="88"/>
  <c r="BG88" i="88"/>
  <c r="BF88" i="88"/>
  <c r="BE88" i="88"/>
  <c r="BD88" i="88"/>
  <c r="BC88" i="88"/>
  <c r="BB88" i="88"/>
  <c r="AO88" i="88"/>
  <c r="W88" i="88" s="1"/>
  <c r="AN88" i="88"/>
  <c r="K88" i="88"/>
  <c r="BT87" i="88"/>
  <c r="BQ87" i="88"/>
  <c r="BM87" i="88"/>
  <c r="BL87" i="88"/>
  <c r="BK87" i="88"/>
  <c r="BJ87" i="88"/>
  <c r="BI87" i="88"/>
  <c r="BH87" i="88"/>
  <c r="BG87" i="88"/>
  <c r="BF87" i="88"/>
  <c r="BE87" i="88"/>
  <c r="BD87" i="88"/>
  <c r="BC87" i="88"/>
  <c r="BB87" i="88"/>
  <c r="AM87" i="88"/>
  <c r="AO87" i="88" s="1"/>
  <c r="K87" i="88"/>
  <c r="BT86" i="88"/>
  <c r="BQ86" i="88"/>
  <c r="BN86" i="88"/>
  <c r="BM86" i="88"/>
  <c r="BL86" i="88"/>
  <c r="BK86" i="88"/>
  <c r="BJ86" i="88"/>
  <c r="BI86" i="88"/>
  <c r="BH86" i="88"/>
  <c r="BG86" i="88"/>
  <c r="BF86" i="88"/>
  <c r="BE86" i="88"/>
  <c r="BD86" i="88"/>
  <c r="BC86" i="88"/>
  <c r="BB86" i="88"/>
  <c r="AO86" i="88"/>
  <c r="W86" i="88" s="1"/>
  <c r="AN86" i="88"/>
  <c r="K86" i="88"/>
  <c r="BT85" i="88"/>
  <c r="BM85" i="88"/>
  <c r="BJ85" i="88"/>
  <c r="BE85" i="88"/>
  <c r="BD85" i="88"/>
  <c r="BC85" i="88"/>
  <c r="BA85" i="88"/>
  <c r="BN85" i="88" s="1"/>
  <c r="AZ85" i="88"/>
  <c r="AY85" i="88"/>
  <c r="BL85" i="88" s="1"/>
  <c r="AX85" i="88"/>
  <c r="BK85" i="88" s="1"/>
  <c r="AW85" i="88"/>
  <c r="AV85" i="88"/>
  <c r="BI85" i="88" s="1"/>
  <c r="AU85" i="88"/>
  <c r="BH85" i="88" s="1"/>
  <c r="AT85" i="88"/>
  <c r="BG85" i="88" s="1"/>
  <c r="AS85" i="88"/>
  <c r="BQ85" i="88" s="1"/>
  <c r="AO85" i="88"/>
  <c r="AN85" i="88"/>
  <c r="K85" i="88"/>
  <c r="BT84" i="88"/>
  <c r="BQ84" i="88"/>
  <c r="BN84" i="88"/>
  <c r="BM84" i="88"/>
  <c r="BL84" i="88"/>
  <c r="BK84" i="88"/>
  <c r="BJ84" i="88"/>
  <c r="BI84" i="88"/>
  <c r="BH84" i="88"/>
  <c r="BG84" i="88"/>
  <c r="BF84" i="88"/>
  <c r="BE84" i="88"/>
  <c r="BD84" i="88"/>
  <c r="BC84" i="88"/>
  <c r="BB84" i="88"/>
  <c r="AO84" i="88"/>
  <c r="W84" i="88" s="1"/>
  <c r="AN84" i="88"/>
  <c r="K84" i="88"/>
  <c r="BT83" i="88"/>
  <c r="BQ83" i="88"/>
  <c r="BN83" i="88"/>
  <c r="BM83" i="88"/>
  <c r="BL83" i="88"/>
  <c r="BK83" i="88"/>
  <c r="BJ83" i="88"/>
  <c r="BI83" i="88"/>
  <c r="BH83" i="88"/>
  <c r="BG83" i="88"/>
  <c r="BF83" i="88"/>
  <c r="BE83" i="88"/>
  <c r="BD83" i="88"/>
  <c r="BC83" i="88"/>
  <c r="BB83" i="88"/>
  <c r="AO83" i="88"/>
  <c r="W83" i="88" s="1"/>
  <c r="AN83" i="88"/>
  <c r="K83" i="88"/>
  <c r="BL82" i="88"/>
  <c r="BK82" i="88"/>
  <c r="BI82" i="88"/>
  <c r="AW82" i="88"/>
  <c r="AV82" i="88"/>
  <c r="AU82" i="88"/>
  <c r="AT82" i="88"/>
  <c r="AS82" i="88"/>
  <c r="BF82" i="88" s="1"/>
  <c r="AR82" i="88"/>
  <c r="BE82" i="88" s="1"/>
  <c r="AQ82" i="88"/>
  <c r="BD82" i="88" s="1"/>
  <c r="AP82" i="88"/>
  <c r="AM82" i="88"/>
  <c r="BN82" i="88" s="1"/>
  <c r="AL82" i="88"/>
  <c r="BM82" i="88" s="1"/>
  <c r="AK82" i="88"/>
  <c r="AJ82" i="88"/>
  <c r="AI82" i="88"/>
  <c r="AH82" i="88"/>
  <c r="AG82" i="88"/>
  <c r="AO82" i="88" s="1"/>
  <c r="AF82" i="88"/>
  <c r="BT82" i="88" s="1"/>
  <c r="AE82" i="88"/>
  <c r="AD82" i="88"/>
  <c r="AC82" i="88"/>
  <c r="AB82" i="88"/>
  <c r="K82" i="88"/>
  <c r="BT81" i="88"/>
  <c r="BQ81" i="88"/>
  <c r="BN81" i="88"/>
  <c r="BM81" i="88"/>
  <c r="BL81" i="88"/>
  <c r="BK81" i="88"/>
  <c r="BJ81" i="88"/>
  <c r="BI81" i="88"/>
  <c r="BH81" i="88"/>
  <c r="BG81" i="88"/>
  <c r="BF81" i="88"/>
  <c r="BE81" i="88"/>
  <c r="BD81" i="88"/>
  <c r="BC81" i="88"/>
  <c r="BB81" i="88"/>
  <c r="AO81" i="88"/>
  <c r="W81" i="88" s="1"/>
  <c r="AN81" i="88"/>
  <c r="K81" i="88"/>
  <c r="BT80" i="88"/>
  <c r="BQ80" i="88"/>
  <c r="BN80" i="88"/>
  <c r="BM80" i="88"/>
  <c r="BL80" i="88"/>
  <c r="BK80" i="88"/>
  <c r="BJ80" i="88"/>
  <c r="BI80" i="88"/>
  <c r="BH80" i="88"/>
  <c r="BG80" i="88"/>
  <c r="BF80" i="88"/>
  <c r="BE80" i="88"/>
  <c r="BD80" i="88"/>
  <c r="BC80" i="88"/>
  <c r="BB80" i="88"/>
  <c r="AO80" i="88"/>
  <c r="W80" i="88" s="1"/>
  <c r="AN80" i="88"/>
  <c r="K80" i="88"/>
  <c r="BT79" i="88"/>
  <c r="BQ79" i="88"/>
  <c r="BN79" i="88"/>
  <c r="BM79" i="88"/>
  <c r="BL79" i="88"/>
  <c r="BK79" i="88"/>
  <c r="BJ79" i="88"/>
  <c r="BI79" i="88"/>
  <c r="BH79" i="88"/>
  <c r="BG79" i="88"/>
  <c r="BF79" i="88"/>
  <c r="BE79" i="88"/>
  <c r="BD79" i="88"/>
  <c r="BC79" i="88"/>
  <c r="BB79" i="88"/>
  <c r="AO79" i="88"/>
  <c r="W79" i="88" s="1"/>
  <c r="AN79" i="88"/>
  <c r="K79" i="88"/>
  <c r="BT78" i="88"/>
  <c r="BQ78" i="88"/>
  <c r="BM78" i="88"/>
  <c r="BL78" i="88"/>
  <c r="BK78" i="88"/>
  <c r="BJ78" i="88"/>
  <c r="BI78" i="88"/>
  <c r="BH78" i="88"/>
  <c r="BG78" i="88"/>
  <c r="BF78" i="88"/>
  <c r="BE78" i="88"/>
  <c r="BD78" i="88"/>
  <c r="BC78" i="88"/>
  <c r="BB78" i="88"/>
  <c r="AM78" i="88"/>
  <c r="AO78" i="88" s="1"/>
  <c r="K78" i="88"/>
  <c r="BT77" i="88"/>
  <c r="BQ77" i="88"/>
  <c r="BN77" i="88"/>
  <c r="BM77" i="88"/>
  <c r="BL77" i="88"/>
  <c r="BK77" i="88"/>
  <c r="BJ77" i="88"/>
  <c r="BI77" i="88"/>
  <c r="BH77" i="88"/>
  <c r="BG77" i="88"/>
  <c r="BF77" i="88"/>
  <c r="BE77" i="88"/>
  <c r="BD77" i="88"/>
  <c r="BC77" i="88"/>
  <c r="BB77" i="88"/>
  <c r="AO77" i="88"/>
  <c r="W77" i="88" s="1"/>
  <c r="AN77" i="88"/>
  <c r="K77" i="88"/>
  <c r="BT76" i="88"/>
  <c r="BM76" i="88"/>
  <c r="BL76" i="88"/>
  <c r="BK76" i="88"/>
  <c r="BJ76" i="88"/>
  <c r="BI76" i="88"/>
  <c r="BF76" i="88"/>
  <c r="BE76" i="88"/>
  <c r="BD76" i="88"/>
  <c r="AU76" i="88"/>
  <c r="BH76" i="88" s="1"/>
  <c r="AT76" i="88"/>
  <c r="BG76" i="88" s="1"/>
  <c r="AS76" i="88"/>
  <c r="AR76" i="88"/>
  <c r="AQ76" i="88"/>
  <c r="AP76" i="88"/>
  <c r="AN76" i="88"/>
  <c r="AM76" i="88"/>
  <c r="BN76" i="88" s="1"/>
  <c r="K76" i="88"/>
  <c r="BT75" i="88"/>
  <c r="BQ75" i="88"/>
  <c r="BN75" i="88"/>
  <c r="BM75" i="88"/>
  <c r="BL75" i="88"/>
  <c r="BK75" i="88"/>
  <c r="BJ75" i="88"/>
  <c r="BI75" i="88"/>
  <c r="BH75" i="88"/>
  <c r="BG75" i="88"/>
  <c r="BF75" i="88"/>
  <c r="BE75" i="88"/>
  <c r="BD75" i="88"/>
  <c r="BC75" i="88"/>
  <c r="BB75" i="88"/>
  <c r="AO75" i="88"/>
  <c r="W75" i="88" s="1"/>
  <c r="AN75" i="88"/>
  <c r="K75" i="88"/>
  <c r="BT74" i="88"/>
  <c r="BQ74" i="88"/>
  <c r="BN74" i="88"/>
  <c r="BM74" i="88"/>
  <c r="BL74" i="88"/>
  <c r="BK74" i="88"/>
  <c r="BJ74" i="88"/>
  <c r="BI74" i="88"/>
  <c r="BH74" i="88"/>
  <c r="BG74" i="88"/>
  <c r="BF74" i="88"/>
  <c r="BE74" i="88"/>
  <c r="BD74" i="88"/>
  <c r="BC74" i="88"/>
  <c r="BB74" i="88"/>
  <c r="AO74" i="88"/>
  <c r="W74" i="88" s="1"/>
  <c r="AN74" i="88"/>
  <c r="K74" i="88"/>
  <c r="BT73" i="88"/>
  <c r="BQ73" i="88"/>
  <c r="BN73" i="88"/>
  <c r="BM73" i="88"/>
  <c r="BL73" i="88"/>
  <c r="BK73" i="88"/>
  <c r="BJ73" i="88"/>
  <c r="BI73" i="88"/>
  <c r="BH73" i="88"/>
  <c r="BG73" i="88"/>
  <c r="BF73" i="88"/>
  <c r="BE73" i="88"/>
  <c r="BD73" i="88"/>
  <c r="BC73" i="88"/>
  <c r="BB73" i="88"/>
  <c r="AO73" i="88"/>
  <c r="W73" i="88" s="1"/>
  <c r="AN73" i="88"/>
  <c r="K73" i="88"/>
  <c r="BT72" i="88"/>
  <c r="BQ72" i="88"/>
  <c r="BN72" i="88"/>
  <c r="BM72" i="88"/>
  <c r="BL72" i="88"/>
  <c r="BK72" i="88"/>
  <c r="BJ72" i="88"/>
  <c r="BI72" i="88"/>
  <c r="BH72" i="88"/>
  <c r="BG72" i="88"/>
  <c r="BF72" i="88"/>
  <c r="BE72" i="88"/>
  <c r="BD72" i="88"/>
  <c r="BC72" i="88"/>
  <c r="BB72" i="88"/>
  <c r="AO72" i="88"/>
  <c r="W72" i="88" s="1"/>
  <c r="AN72" i="88"/>
  <c r="K72" i="88"/>
  <c r="BT71" i="88"/>
  <c r="BQ71" i="88"/>
  <c r="BN71" i="88"/>
  <c r="BM71" i="88"/>
  <c r="BK71" i="88"/>
  <c r="BJ71" i="88"/>
  <c r="BI71" i="88"/>
  <c r="BH71" i="88"/>
  <c r="BG71" i="88"/>
  <c r="BF71" i="88"/>
  <c r="BE71" i="88"/>
  <c r="BD71" i="88"/>
  <c r="BC71" i="88"/>
  <c r="BB71" i="88"/>
  <c r="AK71" i="88"/>
  <c r="AO71" i="88" s="1"/>
  <c r="K71" i="88"/>
  <c r="BT70" i="88"/>
  <c r="BQ70" i="88"/>
  <c r="BN70" i="88"/>
  <c r="BM70" i="88"/>
  <c r="BL70" i="88"/>
  <c r="BK70" i="88"/>
  <c r="BJ70" i="88"/>
  <c r="BI70" i="88"/>
  <c r="BH70" i="88"/>
  <c r="BG70" i="88"/>
  <c r="BF70" i="88"/>
  <c r="BE70" i="88"/>
  <c r="BD70" i="88"/>
  <c r="BC70" i="88"/>
  <c r="BB70" i="88"/>
  <c r="AO70" i="88"/>
  <c r="W70" i="88" s="1"/>
  <c r="AN70" i="88"/>
  <c r="K70" i="88"/>
  <c r="BT69" i="88"/>
  <c r="BQ69" i="88"/>
  <c r="BN69" i="88"/>
  <c r="BM69" i="88"/>
  <c r="BL69" i="88"/>
  <c r="BK69" i="88"/>
  <c r="BJ69" i="88"/>
  <c r="BI69" i="88"/>
  <c r="BH69" i="88"/>
  <c r="BG69" i="88"/>
  <c r="BF69" i="88"/>
  <c r="BE69" i="88"/>
  <c r="BD69" i="88"/>
  <c r="BC69" i="88"/>
  <c r="BB69" i="88"/>
  <c r="AO69" i="88"/>
  <c r="W69" i="88" s="1"/>
  <c r="AN69" i="88"/>
  <c r="K69" i="88"/>
  <c r="AX68" i="88"/>
  <c r="BK68" i="88" s="1"/>
  <c r="AW68" i="88"/>
  <c r="AV68" i="88"/>
  <c r="AU68" i="88"/>
  <c r="BH68" i="88" s="1"/>
  <c r="AT68" i="88"/>
  <c r="AS68" i="88"/>
  <c r="AR68" i="88"/>
  <c r="BE68" i="88" s="1"/>
  <c r="AQ68" i="88"/>
  <c r="AP68" i="88"/>
  <c r="BQ68" i="88" s="1"/>
  <c r="AM68" i="88"/>
  <c r="BN68" i="88" s="1"/>
  <c r="AL68" i="88"/>
  <c r="BM68" i="88" s="1"/>
  <c r="AK68" i="88"/>
  <c r="BL68" i="88" s="1"/>
  <c r="AJ68" i="88"/>
  <c r="AI68" i="88"/>
  <c r="BJ68" i="88" s="1"/>
  <c r="AH68" i="88"/>
  <c r="BI68" i="88" s="1"/>
  <c r="AG68" i="88"/>
  <c r="AF68" i="88"/>
  <c r="AE68" i="88"/>
  <c r="AD68" i="88"/>
  <c r="AC68" i="88"/>
  <c r="AB68" i="88"/>
  <c r="K68" i="88"/>
  <c r="BT67" i="88"/>
  <c r="BQ67" i="88"/>
  <c r="BN67" i="88"/>
  <c r="BL67" i="88"/>
  <c r="BK67" i="88"/>
  <c r="BJ67" i="88"/>
  <c r="BI67" i="88"/>
  <c r="BH67" i="88"/>
  <c r="BG67" i="88"/>
  <c r="BF67" i="88"/>
  <c r="BE67" i="88"/>
  <c r="BD67" i="88"/>
  <c r="BC67" i="88"/>
  <c r="BB67" i="88"/>
  <c r="AO67" i="88"/>
  <c r="AN67" i="88"/>
  <c r="AL67" i="88"/>
  <c r="BM67" i="88" s="1"/>
  <c r="K67" i="88"/>
  <c r="BT66" i="88"/>
  <c r="BQ66" i="88"/>
  <c r="BN66" i="88"/>
  <c r="BM66" i="88"/>
  <c r="BL66" i="88"/>
  <c r="BK66" i="88"/>
  <c r="BJ66" i="88"/>
  <c r="BI66" i="88"/>
  <c r="BH66" i="88"/>
  <c r="BG66" i="88"/>
  <c r="BF66" i="88"/>
  <c r="BE66" i="88"/>
  <c r="BD66" i="88"/>
  <c r="BC66" i="88"/>
  <c r="BB66" i="88"/>
  <c r="AO66" i="88"/>
  <c r="W66" i="88" s="1"/>
  <c r="AN66" i="88"/>
  <c r="K66" i="88"/>
  <c r="BT65" i="88"/>
  <c r="BQ65" i="88"/>
  <c r="BN65" i="88"/>
  <c r="BM65" i="88"/>
  <c r="BL65" i="88"/>
  <c r="BK65" i="88"/>
  <c r="BJ65" i="88"/>
  <c r="BI65" i="88"/>
  <c r="BH65" i="88"/>
  <c r="BG65" i="88"/>
  <c r="BF65" i="88"/>
  <c r="BE65" i="88"/>
  <c r="BD65" i="88"/>
  <c r="BC65" i="88"/>
  <c r="BB65" i="88"/>
  <c r="AO65" i="88"/>
  <c r="W65" i="88" s="1"/>
  <c r="AN65" i="88"/>
  <c r="K65" i="88"/>
  <c r="BT64" i="88"/>
  <c r="BQ64" i="88"/>
  <c r="BN64" i="88"/>
  <c r="BM64" i="88"/>
  <c r="BL64" i="88"/>
  <c r="BK64" i="88"/>
  <c r="BJ64" i="88"/>
  <c r="BI64" i="88"/>
  <c r="BH64" i="88"/>
  <c r="BG64" i="88"/>
  <c r="BF64" i="88"/>
  <c r="BE64" i="88"/>
  <c r="BD64" i="88"/>
  <c r="BC64" i="88"/>
  <c r="BB64" i="88"/>
  <c r="AO64" i="88"/>
  <c r="W64" i="88" s="1"/>
  <c r="AN64" i="88"/>
  <c r="K64" i="88"/>
  <c r="BT63" i="88"/>
  <c r="BQ63" i="88"/>
  <c r="BN63" i="88"/>
  <c r="BM63" i="88"/>
  <c r="BL63" i="88"/>
  <c r="BK63" i="88"/>
  <c r="BJ63" i="88"/>
  <c r="BI63" i="88"/>
  <c r="BH63" i="88"/>
  <c r="BG63" i="88"/>
  <c r="BF63" i="88"/>
  <c r="BE63" i="88"/>
  <c r="BD63" i="88"/>
  <c r="BC63" i="88"/>
  <c r="BB63" i="88"/>
  <c r="AO63" i="88"/>
  <c r="W63" i="88" s="1"/>
  <c r="AN63" i="88"/>
  <c r="K63" i="88"/>
  <c r="BT62" i="88"/>
  <c r="BQ62" i="88"/>
  <c r="BN62" i="88"/>
  <c r="BM62" i="88"/>
  <c r="BL62" i="88"/>
  <c r="BK62" i="88"/>
  <c r="BJ62" i="88"/>
  <c r="BI62" i="88"/>
  <c r="BH62" i="88"/>
  <c r="BG62" i="88"/>
  <c r="BF62" i="88"/>
  <c r="BE62" i="88"/>
  <c r="BD62" i="88"/>
  <c r="BC62" i="88"/>
  <c r="BB62" i="88"/>
  <c r="AO62" i="88"/>
  <c r="W62" i="88" s="1"/>
  <c r="AN62" i="88"/>
  <c r="K62" i="88"/>
  <c r="BT61" i="88"/>
  <c r="BN61" i="88"/>
  <c r="BH61" i="88"/>
  <c r="BF61" i="88"/>
  <c r="AZ61" i="88"/>
  <c r="BM61" i="88" s="1"/>
  <c r="AY61" i="88"/>
  <c r="BL61" i="88" s="1"/>
  <c r="AX61" i="88"/>
  <c r="BK61" i="88" s="1"/>
  <c r="AW61" i="88"/>
  <c r="BJ61" i="88" s="1"/>
  <c r="AV61" i="88"/>
  <c r="BI61" i="88" s="1"/>
  <c r="AU61" i="88"/>
  <c r="AT61" i="88"/>
  <c r="BG61" i="88" s="1"/>
  <c r="AS61" i="88"/>
  <c r="AR61" i="88"/>
  <c r="BE61" i="88" s="1"/>
  <c r="AQ61" i="88"/>
  <c r="BD61" i="88" s="1"/>
  <c r="AP61" i="88"/>
  <c r="BC61" i="88" s="1"/>
  <c r="AO61" i="88"/>
  <c r="AN61" i="88"/>
  <c r="K61" i="88"/>
  <c r="BT60" i="88"/>
  <c r="BN60" i="88"/>
  <c r="BM60" i="88"/>
  <c r="BL60" i="88"/>
  <c r="BK60" i="88"/>
  <c r="BJ60" i="88"/>
  <c r="BI60" i="88"/>
  <c r="BH60" i="88"/>
  <c r="BG60" i="88"/>
  <c r="BD60" i="88"/>
  <c r="AT60" i="88"/>
  <c r="AS60" i="88"/>
  <c r="BF60" i="88" s="1"/>
  <c r="AR60" i="88"/>
  <c r="BE60" i="88" s="1"/>
  <c r="AQ60" i="88"/>
  <c r="AP60" i="88"/>
  <c r="BC60" i="88" s="1"/>
  <c r="AO60" i="88"/>
  <c r="AN60" i="88"/>
  <c r="K60" i="88"/>
  <c r="BL59" i="88"/>
  <c r="BJ59" i="88"/>
  <c r="AT59" i="88"/>
  <c r="AS59" i="88"/>
  <c r="AR59" i="88"/>
  <c r="AQ59" i="88"/>
  <c r="AP59" i="88"/>
  <c r="BC59" i="88" s="1"/>
  <c r="AM59" i="88"/>
  <c r="BN59" i="88" s="1"/>
  <c r="AL59" i="88"/>
  <c r="BM59" i="88" s="1"/>
  <c r="AK59" i="88"/>
  <c r="AJ59" i="88"/>
  <c r="BK59" i="88" s="1"/>
  <c r="AI59" i="88"/>
  <c r="AH59" i="88"/>
  <c r="BI59" i="88" s="1"/>
  <c r="AG59" i="88"/>
  <c r="BH59" i="88" s="1"/>
  <c r="AF59" i="88"/>
  <c r="AE59" i="88"/>
  <c r="BF59" i="88" s="1"/>
  <c r="AD59" i="88"/>
  <c r="AC59" i="88"/>
  <c r="BD59" i="88" s="1"/>
  <c r="AB59" i="88"/>
  <c r="K59" i="88"/>
  <c r="BT58" i="88"/>
  <c r="BQ58" i="88"/>
  <c r="BN58" i="88"/>
  <c r="BM58" i="88"/>
  <c r="BL58" i="88"/>
  <c r="BK58" i="88"/>
  <c r="BJ58" i="88"/>
  <c r="BI58" i="88"/>
  <c r="BH58" i="88"/>
  <c r="BG58" i="88"/>
  <c r="BF58" i="88"/>
  <c r="BE58" i="88"/>
  <c r="BD58" i="88"/>
  <c r="BC58" i="88"/>
  <c r="BB58" i="88"/>
  <c r="AO58" i="88"/>
  <c r="W58" i="88" s="1"/>
  <c r="AN58" i="88"/>
  <c r="K58" i="88"/>
  <c r="BT57" i="88"/>
  <c r="BQ57" i="88"/>
  <c r="BN57" i="88"/>
  <c r="BM57" i="88"/>
  <c r="BL57" i="88"/>
  <c r="BK57" i="88"/>
  <c r="BJ57" i="88"/>
  <c r="BI57" i="88"/>
  <c r="BH57" i="88"/>
  <c r="BG57" i="88"/>
  <c r="BF57" i="88"/>
  <c r="BE57" i="88"/>
  <c r="BD57" i="88"/>
  <c r="BC57" i="88"/>
  <c r="BB57" i="88"/>
  <c r="AO57" i="88"/>
  <c r="AN57" i="88"/>
  <c r="K57" i="88"/>
  <c r="BT56" i="88"/>
  <c r="BQ56" i="88"/>
  <c r="BN56" i="88"/>
  <c r="BM56" i="88"/>
  <c r="BL56" i="88"/>
  <c r="BK56" i="88"/>
  <c r="BJ56" i="88"/>
  <c r="BI56" i="88"/>
  <c r="BH56" i="88"/>
  <c r="BG56" i="88"/>
  <c r="BF56" i="88"/>
  <c r="BE56" i="88"/>
  <c r="BD56" i="88"/>
  <c r="BC56" i="88"/>
  <c r="BB56" i="88"/>
  <c r="AO56" i="88"/>
  <c r="W56" i="88" s="1"/>
  <c r="Y56" i="88" s="1"/>
  <c r="AN56" i="88"/>
  <c r="K56" i="88"/>
  <c r="BT55" i="88"/>
  <c r="BQ55" i="88"/>
  <c r="BN55" i="88"/>
  <c r="BM55" i="88"/>
  <c r="BL55" i="88"/>
  <c r="BK55" i="88"/>
  <c r="BJ55" i="88"/>
  <c r="BI55" i="88"/>
  <c r="BH55" i="88"/>
  <c r="BG55" i="88"/>
  <c r="BF55" i="88"/>
  <c r="BE55" i="88"/>
  <c r="BD55" i="88"/>
  <c r="BC55" i="88"/>
  <c r="BB55" i="88"/>
  <c r="AO55" i="88"/>
  <c r="W55" i="88" s="1"/>
  <c r="AN55" i="88"/>
  <c r="K55" i="88"/>
  <c r="BT54" i="88"/>
  <c r="BQ54" i="88"/>
  <c r="BN54" i="88"/>
  <c r="BM54" i="88"/>
  <c r="BL54" i="88"/>
  <c r="BK54" i="88"/>
  <c r="BJ54" i="88"/>
  <c r="BI54" i="88"/>
  <c r="BH54" i="88"/>
  <c r="BG54" i="88"/>
  <c r="BF54" i="88"/>
  <c r="BE54" i="88"/>
  <c r="BD54" i="88"/>
  <c r="BC54" i="88"/>
  <c r="BB54" i="88"/>
  <c r="AO54" i="88"/>
  <c r="W54" i="88" s="1"/>
  <c r="AN54" i="88"/>
  <c r="K54" i="88"/>
  <c r="BT53" i="88"/>
  <c r="BQ53" i="88"/>
  <c r="BN53" i="88"/>
  <c r="BM53" i="88"/>
  <c r="BL53" i="88"/>
  <c r="BK53" i="88"/>
  <c r="BJ53" i="88"/>
  <c r="BI53" i="88"/>
  <c r="BH53" i="88"/>
  <c r="BG53" i="88"/>
  <c r="BF53" i="88"/>
  <c r="BE53" i="88"/>
  <c r="BD53" i="88"/>
  <c r="BC53" i="88"/>
  <c r="BB53" i="88"/>
  <c r="AO53" i="88"/>
  <c r="W53" i="88" s="1"/>
  <c r="X53" i="88" s="1"/>
  <c r="AN53" i="88"/>
  <c r="K53" i="88"/>
  <c r="J53" i="88"/>
  <c r="BT52" i="88"/>
  <c r="BQ52" i="88"/>
  <c r="BN52" i="88"/>
  <c r="BM52" i="88"/>
  <c r="BL52" i="88"/>
  <c r="BK52" i="88"/>
  <c r="BJ52" i="88"/>
  <c r="BI52" i="88"/>
  <c r="BH52" i="88"/>
  <c r="BG52" i="88"/>
  <c r="BF52" i="88"/>
  <c r="BE52" i="88"/>
  <c r="BD52" i="88"/>
  <c r="BC52" i="88"/>
  <c r="BB52" i="88"/>
  <c r="AO52" i="88"/>
  <c r="W52" i="88" s="1"/>
  <c r="AN52" i="88"/>
  <c r="K52" i="88"/>
  <c r="BN51" i="88"/>
  <c r="BM51" i="88"/>
  <c r="BL51" i="88"/>
  <c r="BK51" i="88"/>
  <c r="BJ51" i="88"/>
  <c r="BI51" i="88"/>
  <c r="BH51" i="88"/>
  <c r="BF51" i="88"/>
  <c r="BE51" i="88"/>
  <c r="BD51" i="88"/>
  <c r="BC51" i="88"/>
  <c r="AT51" i="88"/>
  <c r="BB51" i="88" s="1"/>
  <c r="AO51" i="88"/>
  <c r="AF51" i="88"/>
  <c r="BT51" i="88" s="1"/>
  <c r="K51" i="88"/>
  <c r="J51" i="88"/>
  <c r="BT50" i="88"/>
  <c r="BQ50" i="88"/>
  <c r="BN50" i="88"/>
  <c r="BM50" i="88"/>
  <c r="BL50" i="88"/>
  <c r="BK50" i="88"/>
  <c r="BJ50" i="88"/>
  <c r="BI50" i="88"/>
  <c r="BH50" i="88"/>
  <c r="BG50" i="88"/>
  <c r="BF50" i="88"/>
  <c r="BE50" i="88"/>
  <c r="BD50" i="88"/>
  <c r="BC50" i="88"/>
  <c r="BB50" i="88"/>
  <c r="AO50" i="88"/>
  <c r="W50" i="88" s="1"/>
  <c r="AN50" i="88"/>
  <c r="K50" i="88"/>
  <c r="BT49" i="88"/>
  <c r="BQ49" i="88"/>
  <c r="BN49" i="88"/>
  <c r="BM49" i="88"/>
  <c r="BL49" i="88"/>
  <c r="BK49" i="88"/>
  <c r="BJ49" i="88"/>
  <c r="BI49" i="88"/>
  <c r="BH49" i="88"/>
  <c r="BG49" i="88"/>
  <c r="BF49" i="88"/>
  <c r="BE49" i="88"/>
  <c r="BD49" i="88"/>
  <c r="BC49" i="88"/>
  <c r="BB49" i="88"/>
  <c r="AO49" i="88"/>
  <c r="W49" i="88" s="1"/>
  <c r="AN49" i="88"/>
  <c r="K49" i="88"/>
  <c r="BT48" i="88"/>
  <c r="BQ48" i="88"/>
  <c r="BN48" i="88"/>
  <c r="BM48" i="88"/>
  <c r="BL48" i="88"/>
  <c r="BK48" i="88"/>
  <c r="BJ48" i="88"/>
  <c r="BI48" i="88"/>
  <c r="BH48" i="88"/>
  <c r="BG48" i="88"/>
  <c r="BF48" i="88"/>
  <c r="BE48" i="88"/>
  <c r="BD48" i="88"/>
  <c r="BC48" i="88"/>
  <c r="BB48" i="88"/>
  <c r="AO48" i="88"/>
  <c r="W48" i="88" s="1"/>
  <c r="AN48" i="88"/>
  <c r="K48" i="88"/>
  <c r="BT47" i="88"/>
  <c r="BQ47" i="88"/>
  <c r="BN47" i="88"/>
  <c r="BM47" i="88"/>
  <c r="BL47" i="88"/>
  <c r="BK47" i="88"/>
  <c r="BJ47" i="88"/>
  <c r="BI47" i="88"/>
  <c r="BG47" i="88"/>
  <c r="BF47" i="88"/>
  <c r="BE47" i="88"/>
  <c r="BD47" i="88"/>
  <c r="BC47" i="88"/>
  <c r="BB47" i="88"/>
  <c r="AG47" i="88"/>
  <c r="AO47" i="88" s="1"/>
  <c r="W47" i="88" s="1"/>
  <c r="K47" i="88"/>
  <c r="BT46" i="88"/>
  <c r="BQ46" i="88"/>
  <c r="BN46" i="88"/>
  <c r="BM46" i="88"/>
  <c r="BL46" i="88"/>
  <c r="BK46" i="88"/>
  <c r="BJ46" i="88"/>
  <c r="BI46" i="88"/>
  <c r="BH46" i="88"/>
  <c r="BG46" i="88"/>
  <c r="BF46" i="88"/>
  <c r="BE46" i="88"/>
  <c r="BD46" i="88"/>
  <c r="BC46" i="88"/>
  <c r="BB46" i="88"/>
  <c r="AO46" i="88"/>
  <c r="W46" i="88" s="1"/>
  <c r="AN46" i="88"/>
  <c r="K46" i="88"/>
  <c r="BT45" i="88"/>
  <c r="BQ45" i="88"/>
  <c r="BN45" i="88"/>
  <c r="BM45" i="88"/>
  <c r="BL45" i="88"/>
  <c r="BK45" i="88"/>
  <c r="BJ45" i="88"/>
  <c r="BI45" i="88"/>
  <c r="BH45" i="88"/>
  <c r="BG45" i="88"/>
  <c r="BF45" i="88"/>
  <c r="BE45" i="88"/>
  <c r="BD45" i="88"/>
  <c r="BC45" i="88"/>
  <c r="BB45" i="88"/>
  <c r="AO45" i="88"/>
  <c r="W45" i="88" s="1"/>
  <c r="AN45" i="88"/>
  <c r="K45" i="88"/>
  <c r="BT44" i="88"/>
  <c r="BQ44" i="88"/>
  <c r="BM44" i="88"/>
  <c r="BL44" i="88"/>
  <c r="BK44" i="88"/>
  <c r="BJ44" i="88"/>
  <c r="BI44" i="88"/>
  <c r="BH44" i="88"/>
  <c r="BG44" i="88"/>
  <c r="BF44" i="88"/>
  <c r="BE44" i="88"/>
  <c r="BD44" i="88"/>
  <c r="BC44" i="88"/>
  <c r="BB44" i="88"/>
  <c r="AM44" i="88"/>
  <c r="BN44" i="88" s="1"/>
  <c r="K44" i="88"/>
  <c r="BT43" i="88"/>
  <c r="BQ43" i="88"/>
  <c r="BM43" i="88"/>
  <c r="BL43" i="88"/>
  <c r="BK43" i="88"/>
  <c r="BJ43" i="88"/>
  <c r="BI43" i="88"/>
  <c r="BH43" i="88"/>
  <c r="BG43" i="88"/>
  <c r="BF43" i="88"/>
  <c r="BE43" i="88"/>
  <c r="BD43" i="88"/>
  <c r="BC43" i="88"/>
  <c r="BB43" i="88"/>
  <c r="AO43" i="88"/>
  <c r="W43" i="88" s="1"/>
  <c r="AM43" i="88"/>
  <c r="AN43" i="88" s="1"/>
  <c r="K43" i="88"/>
  <c r="AV42" i="88"/>
  <c r="BI42" i="88" s="1"/>
  <c r="AU42" i="88"/>
  <c r="AT42" i="88"/>
  <c r="BG42" i="88" s="1"/>
  <c r="AS42" i="88"/>
  <c r="BF42" i="88" s="1"/>
  <c r="AR42" i="88"/>
  <c r="AQ42" i="88"/>
  <c r="AP42" i="88"/>
  <c r="AM42" i="88"/>
  <c r="BN42" i="88" s="1"/>
  <c r="AL42" i="88"/>
  <c r="BM42" i="88" s="1"/>
  <c r="AK42" i="88"/>
  <c r="BL42" i="88" s="1"/>
  <c r="AJ42" i="88"/>
  <c r="BK42" i="88" s="1"/>
  <c r="AI42" i="88"/>
  <c r="BJ42" i="88" s="1"/>
  <c r="AH42" i="88"/>
  <c r="AG42" i="88"/>
  <c r="AF42" i="88"/>
  <c r="AE42" i="88"/>
  <c r="AD42" i="88"/>
  <c r="AC42" i="88"/>
  <c r="AB42" i="88"/>
  <c r="BT42" i="88" s="1"/>
  <c r="K42" i="88"/>
  <c r="BT41" i="88"/>
  <c r="BM41" i="88"/>
  <c r="BL41" i="88"/>
  <c r="BK41" i="88"/>
  <c r="BJ41" i="88"/>
  <c r="BI41" i="88"/>
  <c r="BG41" i="88"/>
  <c r="AU41" i="88"/>
  <c r="BH41" i="88" s="1"/>
  <c r="AT41" i="88"/>
  <c r="AS41" i="88"/>
  <c r="BF41" i="88" s="1"/>
  <c r="AR41" i="88"/>
  <c r="BE41" i="88" s="1"/>
  <c r="AQ41" i="88"/>
  <c r="BD41" i="88" s="1"/>
  <c r="AP41" i="88"/>
  <c r="BC41" i="88" s="1"/>
  <c r="AM41" i="88"/>
  <c r="BN41" i="88" s="1"/>
  <c r="K41" i="88"/>
  <c r="BQ40" i="88"/>
  <c r="BM40" i="88"/>
  <c r="BL40" i="88"/>
  <c r="BK40" i="88"/>
  <c r="BJ40" i="88"/>
  <c r="BI40" i="88"/>
  <c r="BH40" i="88"/>
  <c r="BE40" i="88"/>
  <c r="BD40" i="88"/>
  <c r="BC40" i="88"/>
  <c r="BB40" i="88"/>
  <c r="AM40" i="88"/>
  <c r="BN40" i="88" s="1"/>
  <c r="AF40" i="88"/>
  <c r="BG40" i="88" s="1"/>
  <c r="AE40" i="88"/>
  <c r="K40" i="88"/>
  <c r="BD39" i="88"/>
  <c r="BC39" i="88"/>
  <c r="BA39" i="88"/>
  <c r="AZ39" i="88"/>
  <c r="AY39" i="88"/>
  <c r="AX39" i="88"/>
  <c r="AW39" i="88"/>
  <c r="AV39" i="88"/>
  <c r="AU39" i="88"/>
  <c r="BH39" i="88" s="1"/>
  <c r="AT39" i="88"/>
  <c r="AS39" i="88"/>
  <c r="AR39" i="88"/>
  <c r="AM39" i="88"/>
  <c r="AL39" i="88"/>
  <c r="AK39" i="88"/>
  <c r="AJ39" i="88"/>
  <c r="AI39" i="88"/>
  <c r="AH39" i="88"/>
  <c r="BI39" i="88" s="1"/>
  <c r="AG39" i="88"/>
  <c r="AF39" i="88"/>
  <c r="AE39" i="88"/>
  <c r="AD39" i="88"/>
  <c r="K39" i="88"/>
  <c r="AT38" i="88"/>
  <c r="BG38" i="88" s="1"/>
  <c r="AS38" i="88"/>
  <c r="BF38" i="88" s="1"/>
  <c r="AR38" i="88"/>
  <c r="BE38" i="88" s="1"/>
  <c r="AQ38" i="88"/>
  <c r="AP38" i="88"/>
  <c r="BC38" i="88" s="1"/>
  <c r="AF38" i="88"/>
  <c r="AG38" i="88" s="1"/>
  <c r="AE38" i="88"/>
  <c r="AD38" i="88"/>
  <c r="AC38" i="88"/>
  <c r="AB38" i="88"/>
  <c r="K38" i="88"/>
  <c r="BJ37" i="88"/>
  <c r="AU37" i="88"/>
  <c r="AT37" i="88"/>
  <c r="AS37" i="88"/>
  <c r="AR37" i="88"/>
  <c r="AQ37" i="88"/>
  <c r="BD37" i="88" s="1"/>
  <c r="AP37" i="88"/>
  <c r="AM37" i="88"/>
  <c r="BN37" i="88" s="1"/>
  <c r="AL37" i="88"/>
  <c r="BM37" i="88" s="1"/>
  <c r="AK37" i="88"/>
  <c r="BL37" i="88" s="1"/>
  <c r="AJ37" i="88"/>
  <c r="BK37" i="88" s="1"/>
  <c r="AI37" i="88"/>
  <c r="AH37" i="88"/>
  <c r="BI37" i="88" s="1"/>
  <c r="AG37" i="88"/>
  <c r="AF37" i="88"/>
  <c r="AE37" i="88"/>
  <c r="AD37" i="88"/>
  <c r="BE37" i="88" s="1"/>
  <c r="AC37" i="88"/>
  <c r="AB37" i="88"/>
  <c r="K37" i="88"/>
  <c r="BT36" i="88"/>
  <c r="BN36" i="88"/>
  <c r="BM36" i="88"/>
  <c r="BL36" i="88"/>
  <c r="BK36" i="88"/>
  <c r="BJ36" i="88"/>
  <c r="BI36" i="88"/>
  <c r="BH36" i="88"/>
  <c r="BG36" i="88"/>
  <c r="BF36" i="88"/>
  <c r="BE36" i="88"/>
  <c r="BD36" i="88"/>
  <c r="AP36" i="88"/>
  <c r="BC36" i="88" s="1"/>
  <c r="AO36" i="88"/>
  <c r="AN36" i="88"/>
  <c r="K36" i="88"/>
  <c r="BT35" i="88"/>
  <c r="BG35" i="88"/>
  <c r="BA35" i="88"/>
  <c r="AZ35" i="88"/>
  <c r="AY35" i="88"/>
  <c r="AX35" i="88"/>
  <c r="BK35" i="88" s="1"/>
  <c r="AW35" i="88"/>
  <c r="BJ35" i="88" s="1"/>
  <c r="AV35" i="88"/>
  <c r="BI35" i="88" s="1"/>
  <c r="AU35" i="88"/>
  <c r="BH35" i="88" s="1"/>
  <c r="AT35" i="88"/>
  <c r="AS35" i="88"/>
  <c r="BF35" i="88" s="1"/>
  <c r="AR35" i="88"/>
  <c r="BE35" i="88" s="1"/>
  <c r="AQ35" i="88"/>
  <c r="BD35" i="88" s="1"/>
  <c r="AP35" i="88"/>
  <c r="BC35" i="88" s="1"/>
  <c r="AO35" i="88"/>
  <c r="AN35" i="88"/>
  <c r="K35" i="88"/>
  <c r="BT34" i="88"/>
  <c r="BN34" i="88"/>
  <c r="BM34" i="88"/>
  <c r="BK34" i="88"/>
  <c r="BJ34" i="88"/>
  <c r="BI34" i="88"/>
  <c r="BG34" i="88"/>
  <c r="AU34" i="88"/>
  <c r="BH34" i="88" s="1"/>
  <c r="AT34" i="88"/>
  <c r="AS34" i="88"/>
  <c r="BF34" i="88" s="1"/>
  <c r="AR34" i="88"/>
  <c r="BE34" i="88" s="1"/>
  <c r="AQ34" i="88"/>
  <c r="BD34" i="88" s="1"/>
  <c r="AP34" i="88"/>
  <c r="BC34" i="88" s="1"/>
  <c r="AO34" i="88"/>
  <c r="AN34" i="88"/>
  <c r="AK34" i="88"/>
  <c r="BL34" i="88" s="1"/>
  <c r="K34" i="88"/>
  <c r="BT33" i="88"/>
  <c r="BQ33" i="88"/>
  <c r="BN33" i="88"/>
  <c r="BM33" i="88"/>
  <c r="BL33" i="88"/>
  <c r="BK33" i="88"/>
  <c r="BJ33" i="88"/>
  <c r="BI33" i="88"/>
  <c r="BH33" i="88"/>
  <c r="BG33" i="88"/>
  <c r="BF33" i="88"/>
  <c r="BE33" i="88"/>
  <c r="BD33" i="88"/>
  <c r="BC33" i="88"/>
  <c r="BB33" i="88"/>
  <c r="AO33" i="88"/>
  <c r="W33" i="88" s="1"/>
  <c r="AN33" i="88"/>
  <c r="K33" i="88"/>
  <c r="BQ32" i="88"/>
  <c r="BJ32" i="88"/>
  <c r="BE32" i="88"/>
  <c r="BD32" i="88"/>
  <c r="BB32" i="88"/>
  <c r="AM32" i="88"/>
  <c r="BN32" i="88" s="1"/>
  <c r="AL32" i="88"/>
  <c r="BM32" i="88" s="1"/>
  <c r="AK32" i="88"/>
  <c r="BL32" i="88" s="1"/>
  <c r="AJ32" i="88"/>
  <c r="BK32" i="88" s="1"/>
  <c r="AI32" i="88"/>
  <c r="AH32" i="88"/>
  <c r="BI32" i="88" s="1"/>
  <c r="AG32" i="88"/>
  <c r="AF32" i="88"/>
  <c r="BG32" i="88" s="1"/>
  <c r="AE32" i="88"/>
  <c r="BF32" i="88" s="1"/>
  <c r="AB32" i="88"/>
  <c r="BT32" i="88" s="1"/>
  <c r="K32" i="88"/>
  <c r="BQ31" i="88"/>
  <c r="BB31" i="88"/>
  <c r="AM31" i="88"/>
  <c r="BN31" i="88" s="1"/>
  <c r="AL31" i="88"/>
  <c r="BM31" i="88" s="1"/>
  <c r="AK31" i="88"/>
  <c r="BL31" i="88" s="1"/>
  <c r="AJ31" i="88"/>
  <c r="BK31" i="88" s="1"/>
  <c r="AI31" i="88"/>
  <c r="BJ31" i="88" s="1"/>
  <c r="AH31" i="88"/>
  <c r="BI31" i="88" s="1"/>
  <c r="AG31" i="88"/>
  <c r="AF31" i="88"/>
  <c r="BG31" i="88" s="1"/>
  <c r="AE31" i="88"/>
  <c r="BF31" i="88" s="1"/>
  <c r="AD31" i="88"/>
  <c r="BE31" i="88" s="1"/>
  <c r="AC31" i="88"/>
  <c r="BD31" i="88" s="1"/>
  <c r="AB31" i="88"/>
  <c r="K31" i="88"/>
  <c r="BQ30" i="88"/>
  <c r="BB30" i="88"/>
  <c r="AM30" i="88"/>
  <c r="BN30" i="88" s="1"/>
  <c r="AL30" i="88"/>
  <c r="BM30" i="88" s="1"/>
  <c r="AK30" i="88"/>
  <c r="BL30" i="88" s="1"/>
  <c r="AJ30" i="88"/>
  <c r="BK30" i="88" s="1"/>
  <c r="AI30" i="88"/>
  <c r="BJ30" i="88" s="1"/>
  <c r="AH30" i="88"/>
  <c r="BI30" i="88" s="1"/>
  <c r="AG30" i="88"/>
  <c r="BH30" i="88" s="1"/>
  <c r="AF30" i="88"/>
  <c r="BG30" i="88" s="1"/>
  <c r="AE30" i="88"/>
  <c r="BF30" i="88" s="1"/>
  <c r="AD30" i="88"/>
  <c r="BE30" i="88" s="1"/>
  <c r="AC30" i="88"/>
  <c r="BD30" i="88" s="1"/>
  <c r="AB30" i="88"/>
  <c r="K30" i="88"/>
  <c r="AQ29" i="88"/>
  <c r="AP29" i="88"/>
  <c r="AM29" i="88"/>
  <c r="BN29" i="88" s="1"/>
  <c r="AL29" i="88"/>
  <c r="BM29" i="88" s="1"/>
  <c r="AK29" i="88"/>
  <c r="BL29" i="88" s="1"/>
  <c r="AJ29" i="88"/>
  <c r="BK29" i="88" s="1"/>
  <c r="AI29" i="88"/>
  <c r="BJ29" i="88" s="1"/>
  <c r="AH29" i="88"/>
  <c r="BI29" i="88" s="1"/>
  <c r="AG29" i="88"/>
  <c r="AF29" i="88"/>
  <c r="BG29" i="88" s="1"/>
  <c r="AE29" i="88"/>
  <c r="BF29" i="88" s="1"/>
  <c r="AD29" i="88"/>
  <c r="BE29" i="88" s="1"/>
  <c r="AC29" i="88"/>
  <c r="AB29" i="88"/>
  <c r="K29" i="88"/>
  <c r="BQ28" i="88"/>
  <c r="BN28" i="88"/>
  <c r="BM28" i="88"/>
  <c r="BL28" i="88"/>
  <c r="BK28" i="88"/>
  <c r="BJ28" i="88"/>
  <c r="BI28" i="88"/>
  <c r="BH28" i="88"/>
  <c r="BG28" i="88"/>
  <c r="BF28" i="88"/>
  <c r="BE28" i="88"/>
  <c r="BB28" i="88"/>
  <c r="AO28" i="88"/>
  <c r="AC28" i="88"/>
  <c r="BD28" i="88" s="1"/>
  <c r="AB28" i="88"/>
  <c r="K28" i="88"/>
  <c r="BT27" i="88"/>
  <c r="BQ27" i="88"/>
  <c r="BN27" i="88"/>
  <c r="BM27" i="88"/>
  <c r="BL27" i="88"/>
  <c r="BK27" i="88"/>
  <c r="BJ27" i="88"/>
  <c r="BI27" i="88"/>
  <c r="BH27" i="88"/>
  <c r="BG27" i="88"/>
  <c r="BF27" i="88"/>
  <c r="BE27" i="88"/>
  <c r="BD27" i="88"/>
  <c r="BC27" i="88"/>
  <c r="BB27" i="88"/>
  <c r="AO27" i="88"/>
  <c r="W27" i="88" s="1"/>
  <c r="AN27" i="88"/>
  <c r="K27" i="88"/>
  <c r="AT26" i="88"/>
  <c r="AS26" i="88"/>
  <c r="BB26" i="88" s="1"/>
  <c r="AM26" i="88"/>
  <c r="BN26" i="88" s="1"/>
  <c r="AL26" i="88"/>
  <c r="BM26" i="88" s="1"/>
  <c r="AK26" i="88"/>
  <c r="BL26" i="88" s="1"/>
  <c r="AJ26" i="88"/>
  <c r="BK26" i="88" s="1"/>
  <c r="AI26" i="88"/>
  <c r="BJ26" i="88" s="1"/>
  <c r="AH26" i="88"/>
  <c r="BI26" i="88" s="1"/>
  <c r="AG26" i="88"/>
  <c r="BH26" i="88" s="1"/>
  <c r="AF26" i="88"/>
  <c r="BG26" i="88" s="1"/>
  <c r="AE26" i="88"/>
  <c r="BF26" i="88" s="1"/>
  <c r="AD26" i="88"/>
  <c r="BE26" i="88" s="1"/>
  <c r="AC26" i="88"/>
  <c r="BD26" i="88" s="1"/>
  <c r="AB26" i="88"/>
  <c r="BC26" i="88" s="1"/>
  <c r="K26" i="88"/>
  <c r="BQ25" i="88"/>
  <c r="BB25" i="88"/>
  <c r="AM25" i="88"/>
  <c r="BN25" i="88" s="1"/>
  <c r="AL25" i="88"/>
  <c r="BM25" i="88" s="1"/>
  <c r="AK25" i="88"/>
  <c r="BL25" i="88" s="1"/>
  <c r="AJ25" i="88"/>
  <c r="BK25" i="88" s="1"/>
  <c r="AI25" i="88"/>
  <c r="BJ25" i="88" s="1"/>
  <c r="AH25" i="88"/>
  <c r="BI25" i="88" s="1"/>
  <c r="AG25" i="88"/>
  <c r="BH25" i="88" s="1"/>
  <c r="AF25" i="88"/>
  <c r="BG25" i="88" s="1"/>
  <c r="AE25" i="88"/>
  <c r="BF25" i="88" s="1"/>
  <c r="AD25" i="88"/>
  <c r="BE25" i="88" s="1"/>
  <c r="AC25" i="88"/>
  <c r="BD25" i="88" s="1"/>
  <c r="AB25" i="88"/>
  <c r="K25" i="88"/>
  <c r="BT24" i="88"/>
  <c r="BJ24" i="88"/>
  <c r="BI24" i="88"/>
  <c r="BF24" i="88"/>
  <c r="BE24" i="88"/>
  <c r="BD24" i="88"/>
  <c r="BC24" i="88"/>
  <c r="AT24" i="88"/>
  <c r="AS24" i="88"/>
  <c r="AR24" i="88"/>
  <c r="BQ24" i="88" s="1"/>
  <c r="AM24" i="88"/>
  <c r="BN24" i="88" s="1"/>
  <c r="AL24" i="88"/>
  <c r="BM24" i="88" s="1"/>
  <c r="AK24" i="88"/>
  <c r="BL24" i="88" s="1"/>
  <c r="AJ24" i="88"/>
  <c r="BK24" i="88" s="1"/>
  <c r="AI24" i="88"/>
  <c r="AH24" i="88"/>
  <c r="AG24" i="88"/>
  <c r="BH24" i="88" s="1"/>
  <c r="V24" i="88"/>
  <c r="V152" i="88" s="1"/>
  <c r="V153" i="88" s="1"/>
  <c r="K24" i="88"/>
  <c r="BQ23" i="88"/>
  <c r="BB23" i="88"/>
  <c r="AM23" i="88"/>
  <c r="BN23" i="88" s="1"/>
  <c r="AL23" i="88"/>
  <c r="BM23" i="88" s="1"/>
  <c r="AK23" i="88"/>
  <c r="BL23" i="88" s="1"/>
  <c r="AJ23" i="88"/>
  <c r="BK23" i="88" s="1"/>
  <c r="AI23" i="88"/>
  <c r="BJ23" i="88" s="1"/>
  <c r="AH23" i="88"/>
  <c r="AG23" i="88"/>
  <c r="BH23" i="88" s="1"/>
  <c r="AF23" i="88"/>
  <c r="BG23" i="88" s="1"/>
  <c r="AE23" i="88"/>
  <c r="BF23" i="88" s="1"/>
  <c r="AD23" i="88"/>
  <c r="AC23" i="88"/>
  <c r="BD23" i="88" s="1"/>
  <c r="AB23" i="88"/>
  <c r="BC23" i="88" s="1"/>
  <c r="K23" i="88"/>
  <c r="BQ22" i="88"/>
  <c r="BN22" i="88"/>
  <c r="BM22" i="88"/>
  <c r="BL22" i="88"/>
  <c r="BK22" i="88"/>
  <c r="BJ22" i="88"/>
  <c r="BI22" i="88"/>
  <c r="BH22" i="88"/>
  <c r="BG22" i="88"/>
  <c r="BF22" i="88"/>
  <c r="BE22" i="88"/>
  <c r="BD22" i="88"/>
  <c r="BB22" i="88"/>
  <c r="AO22" i="88"/>
  <c r="AB22" i="88"/>
  <c r="K22" i="88"/>
  <c r="BT21" i="88"/>
  <c r="BQ21" i="88"/>
  <c r="BN21" i="88"/>
  <c r="BM21" i="88"/>
  <c r="BL21" i="88"/>
  <c r="BK21" i="88"/>
  <c r="BJ21" i="88"/>
  <c r="BI21" i="88"/>
  <c r="BH21" i="88"/>
  <c r="BG21" i="88"/>
  <c r="BF21" i="88"/>
  <c r="BE21" i="88"/>
  <c r="BD21" i="88"/>
  <c r="BC21" i="88"/>
  <c r="BB21" i="88"/>
  <c r="AO21" i="88"/>
  <c r="W21" i="88" s="1"/>
  <c r="AN21" i="88"/>
  <c r="X153" i="88" s="1"/>
  <c r="K21" i="88"/>
  <c r="BT20" i="88"/>
  <c r="BQ20" i="88"/>
  <c r="BN20" i="88"/>
  <c r="BM20" i="88"/>
  <c r="BL20" i="88"/>
  <c r="BK20" i="88"/>
  <c r="BJ20" i="88"/>
  <c r="BI20" i="88"/>
  <c r="BH20" i="88"/>
  <c r="BG20" i="88"/>
  <c r="BF20" i="88"/>
  <c r="BE20" i="88"/>
  <c r="BD20" i="88"/>
  <c r="BC20" i="88"/>
  <c r="BB20" i="88"/>
  <c r="AO20" i="88"/>
  <c r="W20" i="88" s="1"/>
  <c r="AN20" i="88"/>
  <c r="K20" i="88"/>
  <c r="BT19" i="88"/>
  <c r="BQ19" i="88"/>
  <c r="BN19" i="88"/>
  <c r="BM19" i="88"/>
  <c r="BL19" i="88"/>
  <c r="BK19" i="88"/>
  <c r="BJ19" i="88"/>
  <c r="BI19" i="88"/>
  <c r="BH19" i="88"/>
  <c r="BG19" i="88"/>
  <c r="BF19" i="88"/>
  <c r="BE19" i="88"/>
  <c r="BD19" i="88"/>
  <c r="BC19" i="88"/>
  <c r="BB19" i="88"/>
  <c r="AO19" i="88"/>
  <c r="W19" i="88" s="1"/>
  <c r="Y19" i="88" s="1"/>
  <c r="AN19" i="88"/>
  <c r="K19" i="88"/>
  <c r="BT18" i="88"/>
  <c r="BQ18" i="88"/>
  <c r="BN18" i="88"/>
  <c r="BM18" i="88"/>
  <c r="BL18" i="88"/>
  <c r="BK18" i="88"/>
  <c r="BJ18" i="88"/>
  <c r="BI18" i="88"/>
  <c r="BH18" i="88"/>
  <c r="BG18" i="88"/>
  <c r="BF18" i="88"/>
  <c r="BE18" i="88"/>
  <c r="BD18" i="88"/>
  <c r="BC18" i="88"/>
  <c r="BB18" i="88"/>
  <c r="AO18" i="88"/>
  <c r="W18" i="88" s="1"/>
  <c r="Y18" i="88" s="1"/>
  <c r="AN18" i="88"/>
  <c r="K18" i="88"/>
  <c r="BT17" i="88"/>
  <c r="BQ17" i="88"/>
  <c r="BN17" i="88"/>
  <c r="BM17" i="88"/>
  <c r="BL17" i="88"/>
  <c r="BK17" i="88"/>
  <c r="BJ17" i="88"/>
  <c r="BI17" i="88"/>
  <c r="BH17" i="88"/>
  <c r="BG17" i="88"/>
  <c r="BF17" i="88"/>
  <c r="BE17" i="88"/>
  <c r="BD17" i="88"/>
  <c r="BC17" i="88"/>
  <c r="BB17" i="88"/>
  <c r="AO17" i="88"/>
  <c r="W17" i="88" s="1"/>
  <c r="AN17" i="88"/>
  <c r="K17" i="88"/>
  <c r="BT16" i="88"/>
  <c r="BQ16" i="88"/>
  <c r="BN16" i="88"/>
  <c r="BM16" i="88"/>
  <c r="BL16" i="88"/>
  <c r="BK16" i="88"/>
  <c r="BJ16" i="88"/>
  <c r="BI16" i="88"/>
  <c r="BH16" i="88"/>
  <c r="BG16" i="88"/>
  <c r="BF16" i="88"/>
  <c r="BE16" i="88"/>
  <c r="BD16" i="88"/>
  <c r="BC16" i="88"/>
  <c r="BB16" i="88"/>
  <c r="AO16" i="88"/>
  <c r="W16" i="88" s="1"/>
  <c r="AN16" i="88"/>
  <c r="K16" i="88"/>
  <c r="BT15" i="88"/>
  <c r="BQ15" i="88"/>
  <c r="BN15" i="88"/>
  <c r="BM15" i="88"/>
  <c r="BL15" i="88"/>
  <c r="BK15" i="88"/>
  <c r="BJ15" i="88"/>
  <c r="BI15" i="88"/>
  <c r="BH15" i="88"/>
  <c r="BG15" i="88"/>
  <c r="BF15" i="88"/>
  <c r="BE15" i="88"/>
  <c r="BD15" i="88"/>
  <c r="BC15" i="88"/>
  <c r="BB15" i="88"/>
  <c r="AO15" i="88"/>
  <c r="W15" i="88" s="1"/>
  <c r="AN15" i="88"/>
  <c r="K15" i="88"/>
  <c r="BT14" i="88"/>
  <c r="BQ14" i="88"/>
  <c r="BN14" i="88"/>
  <c r="BM14" i="88"/>
  <c r="BL14" i="88"/>
  <c r="BK14" i="88"/>
  <c r="BJ14" i="88"/>
  <c r="BI14" i="88"/>
  <c r="BH14" i="88"/>
  <c r="BG14" i="88"/>
  <c r="BF14" i="88"/>
  <c r="BE14" i="88"/>
  <c r="BD14" i="88"/>
  <c r="BC14" i="88"/>
  <c r="BB14" i="88"/>
  <c r="AO14" i="88"/>
  <c r="W14" i="88" s="1"/>
  <c r="Y14" i="88" s="1"/>
  <c r="AN14" i="88"/>
  <c r="K14" i="88"/>
  <c r="BT13" i="88"/>
  <c r="BQ13" i="88"/>
  <c r="BN13" i="88"/>
  <c r="BM13" i="88"/>
  <c r="BL13" i="88"/>
  <c r="BK13" i="88"/>
  <c r="BJ13" i="88"/>
  <c r="BI13" i="88"/>
  <c r="BH13" i="88"/>
  <c r="BG13" i="88"/>
  <c r="BF13" i="88"/>
  <c r="BE13" i="88"/>
  <c r="BD13" i="88"/>
  <c r="BC13" i="88"/>
  <c r="BB13" i="88"/>
  <c r="AO13" i="88"/>
  <c r="W13" i="88" s="1"/>
  <c r="AN13" i="88"/>
  <c r="K13" i="88"/>
  <c r="BQ12" i="88"/>
  <c r="BB12" i="88"/>
  <c r="AM12" i="88"/>
  <c r="BN12" i="88" s="1"/>
  <c r="AL12" i="88"/>
  <c r="BM12" i="88" s="1"/>
  <c r="AK12" i="88"/>
  <c r="BL12" i="88" s="1"/>
  <c r="AJ12" i="88"/>
  <c r="BK12" i="88" s="1"/>
  <c r="AI12" i="88"/>
  <c r="BJ12" i="88" s="1"/>
  <c r="AH12" i="88"/>
  <c r="BI12" i="88" s="1"/>
  <c r="AG12" i="88"/>
  <c r="AF12" i="88"/>
  <c r="BG12" i="88" s="1"/>
  <c r="AE12" i="88"/>
  <c r="BF12" i="88" s="1"/>
  <c r="AD12" i="88"/>
  <c r="BE12" i="88" s="1"/>
  <c r="AC12" i="88"/>
  <c r="BD12" i="88" s="1"/>
  <c r="AB12" i="88"/>
  <c r="K12" i="88"/>
  <c r="BT11" i="88"/>
  <c r="BN11" i="88"/>
  <c r="BM11" i="88"/>
  <c r="BL11" i="88"/>
  <c r="BK11" i="88"/>
  <c r="BJ11" i="88"/>
  <c r="BI11" i="88"/>
  <c r="BG11" i="88"/>
  <c r="BE11" i="88"/>
  <c r="BD11" i="88"/>
  <c r="AU11" i="88"/>
  <c r="AT11" i="88"/>
  <c r="AS11" i="88"/>
  <c r="BF11" i="88" s="1"/>
  <c r="AP11" i="88"/>
  <c r="BQ11" i="88" s="1"/>
  <c r="AM11" i="88"/>
  <c r="AO11" i="88" s="1"/>
  <c r="K11" i="88"/>
  <c r="BT10" i="88"/>
  <c r="BQ10" i="88"/>
  <c r="BN10" i="88"/>
  <c r="BM10" i="88"/>
  <c r="BL10" i="88"/>
  <c r="BK10" i="88"/>
  <c r="BJ10" i="88"/>
  <c r="BI10" i="88"/>
  <c r="BH10" i="88"/>
  <c r="BG10" i="88"/>
  <c r="BF10" i="88"/>
  <c r="BE10" i="88"/>
  <c r="BD10" i="88"/>
  <c r="BC10" i="88"/>
  <c r="BB10" i="88"/>
  <c r="AO10" i="88"/>
  <c r="W10" i="88" s="1"/>
  <c r="AN10" i="88"/>
  <c r="K10" i="88"/>
  <c r="BQ9" i="88"/>
  <c r="BN9" i="88"/>
  <c r="BL9" i="88"/>
  <c r="BJ9" i="88"/>
  <c r="BB9" i="88"/>
  <c r="AL9" i="88"/>
  <c r="BM9" i="88" s="1"/>
  <c r="AK9" i="88"/>
  <c r="AJ9" i="88"/>
  <c r="BK9" i="88" s="1"/>
  <c r="AI9" i="88"/>
  <c r="AH9" i="88"/>
  <c r="BI9" i="88" s="1"/>
  <c r="AG9" i="88"/>
  <c r="AF9" i="88"/>
  <c r="BG9" i="88" s="1"/>
  <c r="AE9" i="88"/>
  <c r="BF9" i="88" s="1"/>
  <c r="AD9" i="88"/>
  <c r="BE9" i="88" s="1"/>
  <c r="AC9" i="88"/>
  <c r="BD9" i="88" s="1"/>
  <c r="AB9" i="88"/>
  <c r="AN9" i="88" s="1"/>
  <c r="K9" i="88"/>
  <c r="BT8" i="88"/>
  <c r="BQ8" i="88"/>
  <c r="BM8" i="88"/>
  <c r="BL8" i="88"/>
  <c r="BK8" i="88"/>
  <c r="BJ8" i="88"/>
  <c r="BI8" i="88"/>
  <c r="BH8" i="88"/>
  <c r="BG8" i="88"/>
  <c r="BF8" i="88"/>
  <c r="BE8" i="88"/>
  <c r="BD8" i="88"/>
  <c r="BC8" i="88"/>
  <c r="BB8" i="88"/>
  <c r="AM8" i="88"/>
  <c r="BN8" i="88" s="1"/>
  <c r="K8" i="88"/>
  <c r="BT7" i="88"/>
  <c r="BQ7" i="88"/>
  <c r="BN7" i="88"/>
  <c r="BM7" i="88"/>
  <c r="BL7" i="88"/>
  <c r="BK7" i="88"/>
  <c r="BJ7" i="88"/>
  <c r="BI7" i="88"/>
  <c r="BH7" i="88"/>
  <c r="BG7" i="88"/>
  <c r="BF7" i="88"/>
  <c r="BE7" i="88"/>
  <c r="BD7" i="88"/>
  <c r="BC7" i="88"/>
  <c r="BB7" i="88"/>
  <c r="AO7" i="88"/>
  <c r="W7" i="88" s="1"/>
  <c r="AN7" i="88"/>
  <c r="K7" i="88"/>
  <c r="BT6" i="88"/>
  <c r="BQ6" i="88"/>
  <c r="BN6" i="88"/>
  <c r="BM6" i="88"/>
  <c r="BL6" i="88"/>
  <c r="BK6" i="88"/>
  <c r="BJ6" i="88"/>
  <c r="BI6" i="88"/>
  <c r="BH6" i="88"/>
  <c r="BG6" i="88"/>
  <c r="BF6" i="88"/>
  <c r="BE6" i="88"/>
  <c r="BD6" i="88"/>
  <c r="BC6" i="88"/>
  <c r="BB6" i="88"/>
  <c r="AO6" i="88"/>
  <c r="W6" i="88" s="1"/>
  <c r="AN6" i="88"/>
  <c r="K6" i="88"/>
  <c r="BT5" i="88"/>
  <c r="BQ5" i="88"/>
  <c r="BN5" i="88"/>
  <c r="BM5" i="88"/>
  <c r="BL5" i="88"/>
  <c r="BK5" i="88"/>
  <c r="BJ5" i="88"/>
  <c r="BI5" i="88"/>
  <c r="BH5" i="88"/>
  <c r="BG5" i="88"/>
  <c r="BF5" i="88"/>
  <c r="BE5" i="88"/>
  <c r="BD5" i="88"/>
  <c r="BC5" i="88"/>
  <c r="BB5" i="88"/>
  <c r="AM5" i="88"/>
  <c r="AO5" i="88" s="1"/>
  <c r="K5" i="88"/>
  <c r="BT4" i="88"/>
  <c r="BQ4" i="88"/>
  <c r="BN4" i="88"/>
  <c r="BM4" i="88"/>
  <c r="BL4" i="88"/>
  <c r="BK4" i="88"/>
  <c r="BJ4" i="88"/>
  <c r="BI4" i="88"/>
  <c r="BH4" i="88"/>
  <c r="BG4" i="88"/>
  <c r="BF4" i="88"/>
  <c r="BE4" i="88"/>
  <c r="BD4" i="88"/>
  <c r="BC4" i="88"/>
  <c r="BB4" i="88"/>
  <c r="AO4" i="88"/>
  <c r="AN4" i="88"/>
  <c r="K4" i="88"/>
  <c r="AT3" i="88"/>
  <c r="AS3" i="88"/>
  <c r="BF3" i="88" s="1"/>
  <c r="AR3" i="88"/>
  <c r="BE3" i="88" s="1"/>
  <c r="AQ3" i="88"/>
  <c r="AP3" i="88"/>
  <c r="AM3" i="88"/>
  <c r="BN3" i="88" s="1"/>
  <c r="AL3" i="88"/>
  <c r="BM3" i="88" s="1"/>
  <c r="AK3" i="88"/>
  <c r="BL3" i="88" s="1"/>
  <c r="AJ3" i="88"/>
  <c r="BK3" i="88" s="1"/>
  <c r="AI3" i="88"/>
  <c r="BJ3" i="88" s="1"/>
  <c r="AH3" i="88"/>
  <c r="BI3" i="88" s="1"/>
  <c r="AG3" i="88"/>
  <c r="AF3" i="88"/>
  <c r="AE3" i="88"/>
  <c r="AD3" i="88"/>
  <c r="AC3" i="88"/>
  <c r="BD3" i="88" s="1"/>
  <c r="AB3" i="88"/>
  <c r="K3" i="88"/>
  <c r="AT2" i="88"/>
  <c r="AS2" i="88"/>
  <c r="AR2" i="88"/>
  <c r="AQ2" i="88"/>
  <c r="AP2" i="88"/>
  <c r="AM2" i="88"/>
  <c r="AL2" i="88"/>
  <c r="AK2" i="88"/>
  <c r="AJ2" i="88"/>
  <c r="AI2" i="88"/>
  <c r="BJ2" i="88" s="1"/>
  <c r="AH2" i="88"/>
  <c r="BI2" i="88" s="1"/>
  <c r="AG2" i="88"/>
  <c r="BH2" i="88" s="1"/>
  <c r="AF2" i="88"/>
  <c r="BG2" i="88" s="1"/>
  <c r="AE2" i="88"/>
  <c r="AD2" i="88"/>
  <c r="AC2" i="88"/>
  <c r="AB2" i="88"/>
  <c r="K2" i="88"/>
  <c r="F13" i="83"/>
  <c r="AR152" i="88" l="1"/>
  <c r="BT3" i="88"/>
  <c r="BG3" i="88"/>
  <c r="BD38" i="88"/>
  <c r="BK39" i="88"/>
  <c r="AN40" i="88"/>
  <c r="BT40" i="88"/>
  <c r="BH42" i="88"/>
  <c r="AO68" i="88"/>
  <c r="W68" i="88" s="1"/>
  <c r="BD68" i="88"/>
  <c r="BL71" i="88"/>
  <c r="BQ76" i="88"/>
  <c r="AO94" i="88"/>
  <c r="W94" i="88" s="1"/>
  <c r="BL94" i="88"/>
  <c r="BF100" i="88"/>
  <c r="BN100" i="88"/>
  <c r="AO122" i="88"/>
  <c r="BG122" i="88"/>
  <c r="AO37" i="88"/>
  <c r="AN39" i="88"/>
  <c r="BL39" i="88"/>
  <c r="BH122" i="88"/>
  <c r="AT152" i="88"/>
  <c r="AO31" i="88"/>
  <c r="W31" i="88" s="1"/>
  <c r="W35" i="88"/>
  <c r="Y35" i="88" s="1"/>
  <c r="BE39" i="88"/>
  <c r="BM39" i="88"/>
  <c r="BQ51" i="88"/>
  <c r="BB60" i="88"/>
  <c r="BF68" i="88"/>
  <c r="BG82" i="88"/>
  <c r="BB93" i="88"/>
  <c r="BI122" i="88"/>
  <c r="BC9" i="88"/>
  <c r="BF37" i="88"/>
  <c r="AO39" i="88"/>
  <c r="BF39" i="88"/>
  <c r="BN39" i="88"/>
  <c r="AO40" i="88"/>
  <c r="W40" i="88" s="1"/>
  <c r="X40" i="88" s="1"/>
  <c r="AN41" i="88"/>
  <c r="BB41" i="88"/>
  <c r="BC42" i="88"/>
  <c r="AN47" i="88"/>
  <c r="BH47" i="88"/>
  <c r="BG59" i="88"/>
  <c r="BG68" i="88"/>
  <c r="BB92" i="88"/>
  <c r="AN122" i="88"/>
  <c r="AS152" i="88"/>
  <c r="BC3" i="88"/>
  <c r="AO9" i="88"/>
  <c r="BT9" i="88"/>
  <c r="BB24" i="88"/>
  <c r="AO32" i="88"/>
  <c r="W32" i="88" s="1"/>
  <c r="BT37" i="88"/>
  <c r="BG37" i="88"/>
  <c r="AU38" i="88"/>
  <c r="AV38" i="88" s="1"/>
  <c r="AW38" i="88" s="1"/>
  <c r="AW152" i="88" s="1"/>
  <c r="BG39" i="88"/>
  <c r="AO41" i="88"/>
  <c r="W41" i="88" s="1"/>
  <c r="AO42" i="88"/>
  <c r="W42" i="88" s="1"/>
  <c r="BD42" i="88"/>
  <c r="W60" i="88"/>
  <c r="BQ82" i="88"/>
  <c r="BE92" i="88"/>
  <c r="BO92" i="88" s="1"/>
  <c r="BH94" i="88"/>
  <c r="BD122" i="88"/>
  <c r="BT122" i="88"/>
  <c r="AO3" i="88"/>
  <c r="W3" i="88" s="1"/>
  <c r="BB11" i="88"/>
  <c r="BT31" i="88"/>
  <c r="BH37" i="88"/>
  <c r="BJ39" i="88"/>
  <c r="BQ41" i="88"/>
  <c r="BE42" i="88"/>
  <c r="BQ60" i="88"/>
  <c r="BJ82" i="88"/>
  <c r="BC100" i="88"/>
  <c r="BK100" i="88"/>
  <c r="BT107" i="88"/>
  <c r="BB76" i="88"/>
  <c r="BB82" i="88"/>
  <c r="BC82" i="88"/>
  <c r="BT94" i="88"/>
  <c r="BH100" i="88"/>
  <c r="Z149" i="88"/>
  <c r="BR74" i="88"/>
  <c r="BS74" i="88" s="1"/>
  <c r="BU74" i="88" s="1"/>
  <c r="BR144" i="88"/>
  <c r="BS144" i="88" s="1"/>
  <c r="BU144" i="88" s="1"/>
  <c r="BR50" i="88"/>
  <c r="BS50" i="88" s="1"/>
  <c r="BU50" i="88" s="1"/>
  <c r="BR54" i="88"/>
  <c r="BR148" i="88"/>
  <c r="BR63" i="88"/>
  <c r="BR138" i="88"/>
  <c r="BS138" i="88" s="1"/>
  <c r="BU138" i="88" s="1"/>
  <c r="BR6" i="88"/>
  <c r="BS6" i="88" s="1"/>
  <c r="BU6" i="88" s="1"/>
  <c r="BR27" i="88"/>
  <c r="BS27" i="88" s="1"/>
  <c r="BU27" i="88" s="1"/>
  <c r="BR111" i="88"/>
  <c r="BS111" i="88" s="1"/>
  <c r="BU111" i="88" s="1"/>
  <c r="BR142" i="88"/>
  <c r="BS142" i="88" s="1"/>
  <c r="BU142" i="88" s="1"/>
  <c r="BR126" i="88"/>
  <c r="BS126" i="88" s="1"/>
  <c r="BU126" i="88" s="1"/>
  <c r="BR134" i="88"/>
  <c r="BS134" i="88" s="1"/>
  <c r="BU134" i="88" s="1"/>
  <c r="BR16" i="88"/>
  <c r="BS16" i="88" s="1"/>
  <c r="BU16" i="88" s="1"/>
  <c r="BR139" i="88"/>
  <c r="BS139" i="88" s="1"/>
  <c r="BU139" i="88" s="1"/>
  <c r="AE152" i="88"/>
  <c r="AN28" i="88"/>
  <c r="AN30" i="88"/>
  <c r="BR7" i="88"/>
  <c r="BS7" i="88" s="1"/>
  <c r="BU7" i="88" s="1"/>
  <c r="BR43" i="88"/>
  <c r="BS43" i="88" s="1"/>
  <c r="BU43" i="88" s="1"/>
  <c r="BR55" i="88"/>
  <c r="BS55" i="88" s="1"/>
  <c r="BU55" i="88" s="1"/>
  <c r="BO63" i="88"/>
  <c r="Y53" i="88"/>
  <c r="Z53" i="88" s="1"/>
  <c r="BR49" i="88"/>
  <c r="BS49" i="88" s="1"/>
  <c r="BU49" i="88" s="1"/>
  <c r="BO137" i="88"/>
  <c r="AF152" i="88"/>
  <c r="AO12" i="88"/>
  <c r="W12" i="88" s="1"/>
  <c r="BR46" i="88"/>
  <c r="BS46" i="88" s="1"/>
  <c r="BU46" i="88" s="1"/>
  <c r="BO106" i="88"/>
  <c r="BO110" i="88"/>
  <c r="BO115" i="88"/>
  <c r="AB152" i="88"/>
  <c r="AC152" i="88"/>
  <c r="AD152" i="88"/>
  <c r="BD29" i="88"/>
  <c r="X33" i="88"/>
  <c r="Y33" i="88"/>
  <c r="BR130" i="88"/>
  <c r="BS130" i="88" s="1"/>
  <c r="BU130" i="88" s="1"/>
  <c r="Y130" i="88"/>
  <c r="X130" i="88"/>
  <c r="BR75" i="88"/>
  <c r="BS75" i="88" s="1"/>
  <c r="BU75" i="88" s="1"/>
  <c r="X75" i="88"/>
  <c r="BR79" i="88"/>
  <c r="BS79" i="88" s="1"/>
  <c r="BU79" i="88" s="1"/>
  <c r="X79" i="88"/>
  <c r="BR101" i="88"/>
  <c r="BS101" i="88" s="1"/>
  <c r="BU101" i="88" s="1"/>
  <c r="X101" i="88"/>
  <c r="Y101" i="88"/>
  <c r="BR58" i="88"/>
  <c r="BS58" i="88" s="1"/>
  <c r="BU58" i="88" s="1"/>
  <c r="Y58" i="88"/>
  <c r="X58" i="88"/>
  <c r="BR88" i="88"/>
  <c r="BS88" i="88" s="1"/>
  <c r="BU88" i="88" s="1"/>
  <c r="X88" i="88"/>
  <c r="BR45" i="88"/>
  <c r="BS45" i="88" s="1"/>
  <c r="BU45" i="88" s="1"/>
  <c r="Y45" i="88"/>
  <c r="X45" i="88"/>
  <c r="BR84" i="88"/>
  <c r="BS84" i="88" s="1"/>
  <c r="BU84" i="88" s="1"/>
  <c r="X84" i="88"/>
  <c r="BO7" i="88"/>
  <c r="X27" i="88"/>
  <c r="BC29" i="88"/>
  <c r="BO45" i="88"/>
  <c r="X55" i="88"/>
  <c r="X74" i="88"/>
  <c r="BO75" i="88"/>
  <c r="BO83" i="88"/>
  <c r="BO90" i="88"/>
  <c r="BR95" i="88"/>
  <c r="BS95" i="88" s="1"/>
  <c r="BU95" i="88" s="1"/>
  <c r="X117" i="88"/>
  <c r="Z117" i="88" s="1"/>
  <c r="X134" i="88"/>
  <c r="BO10" i="88"/>
  <c r="BH12" i="88"/>
  <c r="BO14" i="88"/>
  <c r="BO15" i="88"/>
  <c r="BO21" i="88"/>
  <c r="AO29" i="88"/>
  <c r="W29" i="88" s="1"/>
  <c r="BO46" i="88"/>
  <c r="BO48" i="88"/>
  <c r="BO49" i="88"/>
  <c r="BR65" i="88"/>
  <c r="BS65" i="88" s="1"/>
  <c r="BU65" i="88" s="1"/>
  <c r="BO84" i="88"/>
  <c r="BO91" i="88"/>
  <c r="BO127" i="88"/>
  <c r="BO129" i="88"/>
  <c r="Y134" i="88"/>
  <c r="BO145" i="88"/>
  <c r="BO148" i="88"/>
  <c r="AN12" i="88"/>
  <c r="BO16" i="88"/>
  <c r="AO23" i="88"/>
  <c r="W23" i="88" s="1"/>
  <c r="BO36" i="88"/>
  <c r="BO54" i="88"/>
  <c r="BO77" i="88"/>
  <c r="BO79" i="88"/>
  <c r="BO81" i="88"/>
  <c r="BO97" i="88"/>
  <c r="BO105" i="88"/>
  <c r="X126" i="88"/>
  <c r="BO130" i="88"/>
  <c r="BO132" i="88"/>
  <c r="BO138" i="88"/>
  <c r="BO142" i="88"/>
  <c r="BO143" i="88"/>
  <c r="BO135" i="88"/>
  <c r="BO13" i="88"/>
  <c r="BT28" i="88"/>
  <c r="BH29" i="88"/>
  <c r="AH38" i="88"/>
  <c r="AI38" i="88" s="1"/>
  <c r="AJ38" i="88" s="1"/>
  <c r="AK38" i="88" s="1"/>
  <c r="AL38" i="88" s="1"/>
  <c r="AM38" i="88" s="1"/>
  <c r="X54" i="88"/>
  <c r="BO58" i="88"/>
  <c r="BO86" i="88"/>
  <c r="BO88" i="88"/>
  <c r="BO101" i="88"/>
  <c r="X111" i="88"/>
  <c r="W113" i="88"/>
  <c r="Y126" i="88"/>
  <c r="X138" i="88"/>
  <c r="BO139" i="88"/>
  <c r="X142" i="88"/>
  <c r="BO17" i="88"/>
  <c r="BI23" i="88"/>
  <c r="BO27" i="88"/>
  <c r="AN29" i="88"/>
  <c r="AO30" i="88"/>
  <c r="W30" i="88" s="1"/>
  <c r="BC30" i="88"/>
  <c r="BO30" i="88" s="1"/>
  <c r="BT30" i="88"/>
  <c r="BO33" i="88"/>
  <c r="BO50" i="88"/>
  <c r="Y54" i="88"/>
  <c r="BO55" i="88"/>
  <c r="BO71" i="88"/>
  <c r="BO73" i="88"/>
  <c r="BO80" i="88"/>
  <c r="Y111" i="88"/>
  <c r="BO116" i="88"/>
  <c r="BO124" i="88"/>
  <c r="BO131" i="88"/>
  <c r="BO133" i="88"/>
  <c r="Y138" i="88"/>
  <c r="Y142" i="88"/>
  <c r="BO144" i="88"/>
  <c r="BO4" i="88"/>
  <c r="BO5" i="88"/>
  <c r="BO8" i="88"/>
  <c r="BO19" i="88"/>
  <c r="AO25" i="88"/>
  <c r="W25" i="88" s="1"/>
  <c r="BO26" i="88"/>
  <c r="BO41" i="88"/>
  <c r="BO57" i="88"/>
  <c r="BO64" i="88"/>
  <c r="BO65" i="88"/>
  <c r="BO69" i="88"/>
  <c r="BO70" i="88"/>
  <c r="BO74" i="88"/>
  <c r="W91" i="88"/>
  <c r="BR91" i="88" s="1"/>
  <c r="BS91" i="88" s="1"/>
  <c r="BU91" i="88" s="1"/>
  <c r="BO121" i="88"/>
  <c r="BO134" i="88"/>
  <c r="BO136" i="88"/>
  <c r="BO146" i="88"/>
  <c r="BS148" i="88"/>
  <c r="BU148" i="88" s="1"/>
  <c r="BO6" i="88"/>
  <c r="BO18" i="88"/>
  <c r="BO44" i="88"/>
  <c r="BO47" i="88"/>
  <c r="BO53" i="88"/>
  <c r="BO72" i="88"/>
  <c r="BO96" i="88"/>
  <c r="BO123" i="88"/>
  <c r="BO125" i="88"/>
  <c r="BO147" i="88"/>
  <c r="E21" i="89"/>
  <c r="D92" i="89"/>
  <c r="E92" i="89"/>
  <c r="D42" i="89"/>
  <c r="D147" i="89"/>
  <c r="F21" i="89"/>
  <c r="D59" i="89"/>
  <c r="G52" i="89"/>
  <c r="G82" i="89"/>
  <c r="H93" i="89"/>
  <c r="H101" i="89" s="1"/>
  <c r="G101" i="89"/>
  <c r="H124" i="89"/>
  <c r="H127" i="89" s="1"/>
  <c r="G127" i="89"/>
  <c r="G146" i="89"/>
  <c r="H133" i="89"/>
  <c r="H146" i="89" s="1"/>
  <c r="G84" i="89"/>
  <c r="H83" i="89"/>
  <c r="H84" i="89" s="1"/>
  <c r="E15" i="89"/>
  <c r="E42" i="89"/>
  <c r="G132" i="89"/>
  <c r="H128" i="89"/>
  <c r="H132" i="89" s="1"/>
  <c r="D15" i="89"/>
  <c r="F42" i="89"/>
  <c r="H55" i="89"/>
  <c r="H60" i="89"/>
  <c r="H63" i="89" s="1"/>
  <c r="G63" i="89"/>
  <c r="H80" i="89"/>
  <c r="G20" i="89"/>
  <c r="E59" i="89"/>
  <c r="D73" i="89"/>
  <c r="H71" i="89"/>
  <c r="H72" i="89" s="1"/>
  <c r="G72" i="89"/>
  <c r="G4" i="89"/>
  <c r="F92" i="89"/>
  <c r="G22" i="89"/>
  <c r="G102" i="89"/>
  <c r="G11" i="89"/>
  <c r="G43" i="89"/>
  <c r="G67" i="89"/>
  <c r="F72" i="89"/>
  <c r="F73" i="89" s="1"/>
  <c r="G91" i="89"/>
  <c r="E101" i="89"/>
  <c r="G16" i="89"/>
  <c r="G40" i="89"/>
  <c r="H40" i="89" s="1"/>
  <c r="G48" i="89"/>
  <c r="G56" i="89"/>
  <c r="H56" i="89" s="1"/>
  <c r="G64" i="89"/>
  <c r="G80" i="89"/>
  <c r="G112" i="89"/>
  <c r="E146" i="89"/>
  <c r="G5" i="89"/>
  <c r="G53" i="89"/>
  <c r="F58" i="89"/>
  <c r="F59" i="89" s="1"/>
  <c r="E63" i="89"/>
  <c r="E73" i="89" s="1"/>
  <c r="G85" i="89"/>
  <c r="E127" i="89"/>
  <c r="F111" i="89"/>
  <c r="F147" i="89" s="1"/>
  <c r="H2" i="89"/>
  <c r="H4" i="89" s="1"/>
  <c r="H18" i="89"/>
  <c r="H20" i="89" s="1"/>
  <c r="G39" i="89"/>
  <c r="H50" i="89"/>
  <c r="H52" i="89" s="1"/>
  <c r="G12" i="89"/>
  <c r="G68" i="89"/>
  <c r="BR15" i="88"/>
  <c r="BS15" i="88" s="1"/>
  <c r="BU15" i="88" s="1"/>
  <c r="Y15" i="88"/>
  <c r="X15" i="88"/>
  <c r="W11" i="88"/>
  <c r="Y13" i="88"/>
  <c r="X13" i="88"/>
  <c r="BR13" i="88"/>
  <c r="BS13" i="88" s="1"/>
  <c r="BU13" i="88" s="1"/>
  <c r="Y10" i="88"/>
  <c r="X10" i="88"/>
  <c r="BR10" i="88"/>
  <c r="BS10" i="88" s="1"/>
  <c r="BU10" i="88" s="1"/>
  <c r="Y17" i="88"/>
  <c r="X17" i="88"/>
  <c r="BR17" i="88"/>
  <c r="BS17" i="88" s="1"/>
  <c r="BU17" i="88" s="1"/>
  <c r="Y21" i="88"/>
  <c r="X21" i="88"/>
  <c r="BR21" i="88"/>
  <c r="BS21" i="88" s="1"/>
  <c r="BU21" i="88" s="1"/>
  <c r="W5" i="88"/>
  <c r="X20" i="88"/>
  <c r="BR20" i="88"/>
  <c r="BS20" i="88" s="1"/>
  <c r="BU20" i="88" s="1"/>
  <c r="Y20" i="88"/>
  <c r="W9" i="88"/>
  <c r="BC12" i="88"/>
  <c r="BT12" i="88"/>
  <c r="W37" i="88"/>
  <c r="BR41" i="88"/>
  <c r="BS41" i="88" s="1"/>
  <c r="BU41" i="88" s="1"/>
  <c r="Y41" i="88"/>
  <c r="X41" i="88"/>
  <c r="X52" i="88"/>
  <c r="BR52" i="88"/>
  <c r="BS52" i="88" s="1"/>
  <c r="BU52" i="88" s="1"/>
  <c r="Y52" i="88"/>
  <c r="AN8" i="88"/>
  <c r="BR18" i="88"/>
  <c r="BS18" i="88" s="1"/>
  <c r="BU18" i="88" s="1"/>
  <c r="BT22" i="88"/>
  <c r="BC22" i="88"/>
  <c r="BO22" i="88" s="1"/>
  <c r="AN23" i="88"/>
  <c r="BE23" i="88"/>
  <c r="BT23" i="88"/>
  <c r="BQ2" i="88"/>
  <c r="X6" i="88"/>
  <c r="W4" i="88"/>
  <c r="AN5" i="88"/>
  <c r="Y6" i="88"/>
  <c r="AO8" i="88"/>
  <c r="BC11" i="88"/>
  <c r="BR14" i="88"/>
  <c r="BS14" i="88" s="1"/>
  <c r="BU14" i="88" s="1"/>
  <c r="X16" i="88"/>
  <c r="BR19" i="88"/>
  <c r="BS19" i="88" s="1"/>
  <c r="BU19" i="88" s="1"/>
  <c r="AN22" i="88"/>
  <c r="BB2" i="88"/>
  <c r="X7" i="88"/>
  <c r="AN11" i="88"/>
  <c r="Y16" i="88"/>
  <c r="W22" i="88"/>
  <c r="BT25" i="88"/>
  <c r="AN2" i="88"/>
  <c r="BC2" i="88"/>
  <c r="BK2" i="88"/>
  <c r="BT2" i="88"/>
  <c r="BH3" i="88"/>
  <c r="BQ3" i="88"/>
  <c r="Y7" i="88"/>
  <c r="AN24" i="88"/>
  <c r="W39" i="88"/>
  <c r="AG152" i="88"/>
  <c r="BL2" i="88"/>
  <c r="X18" i="88"/>
  <c r="Z18" i="88" s="1"/>
  <c r="BO20" i="88"/>
  <c r="Y47" i="88"/>
  <c r="X47" i="88"/>
  <c r="BR47" i="88"/>
  <c r="BS47" i="88" s="1"/>
  <c r="BU47" i="88" s="1"/>
  <c r="BD2" i="88"/>
  <c r="AP152" i="88"/>
  <c r="BE2" i="88"/>
  <c r="BM2" i="88"/>
  <c r="BB3" i="88"/>
  <c r="BH9" i="88"/>
  <c r="BO9" i="88" s="1"/>
  <c r="X14" i="88"/>
  <c r="Z14" i="88" s="1"/>
  <c r="X19" i="88"/>
  <c r="Z19" i="88" s="1"/>
  <c r="BO34" i="88"/>
  <c r="AO2" i="88"/>
  <c r="AQ152" i="88"/>
  <c r="BF2" i="88"/>
  <c r="BN2" i="88"/>
  <c r="AN3" i="88"/>
  <c r="BH11" i="88"/>
  <c r="X48" i="88"/>
  <c r="BR48" i="88"/>
  <c r="BS48" i="88" s="1"/>
  <c r="BU48" i="88" s="1"/>
  <c r="Y48" i="88"/>
  <c r="AN26" i="88"/>
  <c r="BQ29" i="88"/>
  <c r="AN32" i="88"/>
  <c r="BH32" i="88"/>
  <c r="W34" i="88"/>
  <c r="BQ37" i="88"/>
  <c r="BQ39" i="88"/>
  <c r="BG51" i="88"/>
  <c r="BO51" i="88" s="1"/>
  <c r="W67" i="88"/>
  <c r="W78" i="88"/>
  <c r="Y86" i="88"/>
  <c r="X86" i="88"/>
  <c r="BR86" i="88"/>
  <c r="BS86" i="88" s="1"/>
  <c r="BU86" i="88" s="1"/>
  <c r="AO26" i="88"/>
  <c r="BQ35" i="88"/>
  <c r="BR35" i="88" s="1"/>
  <c r="BS35" i="88" s="1"/>
  <c r="AN44" i="88"/>
  <c r="X49" i="88"/>
  <c r="AN51" i="88"/>
  <c r="X73" i="88"/>
  <c r="BR73" i="88"/>
  <c r="BS73" i="88" s="1"/>
  <c r="BU73" i="88" s="1"/>
  <c r="Y73" i="88"/>
  <c r="W87" i="88"/>
  <c r="AO24" i="88"/>
  <c r="AN25" i="88"/>
  <c r="BQ26" i="88"/>
  <c r="Y27" i="88"/>
  <c r="W28" i="88"/>
  <c r="BB29" i="88"/>
  <c r="X35" i="88"/>
  <c r="Z35" i="88" s="1"/>
  <c r="AN37" i="88"/>
  <c r="BB37" i="88"/>
  <c r="BQ38" i="88"/>
  <c r="BB39" i="88"/>
  <c r="X43" i="88"/>
  <c r="AO44" i="88"/>
  <c r="X46" i="88"/>
  <c r="Y49" i="88"/>
  <c r="W51" i="88"/>
  <c r="Y55" i="88"/>
  <c r="X56" i="88"/>
  <c r="Z56" i="88" s="1"/>
  <c r="BE59" i="88"/>
  <c r="BT59" i="88"/>
  <c r="BR62" i="88"/>
  <c r="BS62" i="88" s="1"/>
  <c r="BU62" i="88" s="1"/>
  <c r="Y62" i="88"/>
  <c r="X62" i="88"/>
  <c r="BR66" i="88"/>
  <c r="BS66" i="88" s="1"/>
  <c r="BU66" i="88" s="1"/>
  <c r="Y66" i="88"/>
  <c r="X66" i="88"/>
  <c r="BO67" i="88"/>
  <c r="Y69" i="88"/>
  <c r="X69" i="88"/>
  <c r="BR69" i="88"/>
  <c r="BS69" i="88" s="1"/>
  <c r="BU69" i="88" s="1"/>
  <c r="BG24" i="88"/>
  <c r="BO24" i="88" s="1"/>
  <c r="BC28" i="88"/>
  <c r="BO28" i="88" s="1"/>
  <c r="BT29" i="88"/>
  <c r="BC32" i="88"/>
  <c r="BR33" i="88"/>
  <c r="BS33" i="88" s="1"/>
  <c r="BU33" i="88" s="1"/>
  <c r="BQ34" i="88"/>
  <c r="BB35" i="88"/>
  <c r="BC37" i="88"/>
  <c r="BT39" i="88"/>
  <c r="BF40" i="88"/>
  <c r="BO40" i="88" s="1"/>
  <c r="BQ42" i="88"/>
  <c r="Y43" i="88"/>
  <c r="Y46" i="88"/>
  <c r="X50" i="88"/>
  <c r="BR53" i="88"/>
  <c r="BS53" i="88" s="1"/>
  <c r="BU53" i="88" s="1"/>
  <c r="BR56" i="88"/>
  <c r="BS56" i="88" s="1"/>
  <c r="BU56" i="88" s="1"/>
  <c r="W57" i="88"/>
  <c r="BB59" i="88"/>
  <c r="AN68" i="88"/>
  <c r="AN31" i="88"/>
  <c r="BH31" i="88"/>
  <c r="BQ36" i="88"/>
  <c r="AN42" i="88"/>
  <c r="BN43" i="88"/>
  <c r="BO43" i="88" s="1"/>
  <c r="Y50" i="88"/>
  <c r="BS54" i="88"/>
  <c r="BU54" i="88" s="1"/>
  <c r="AN59" i="88"/>
  <c r="Y64" i="88"/>
  <c r="X64" i="88"/>
  <c r="BR64" i="88"/>
  <c r="BS64" i="88" s="1"/>
  <c r="BU64" i="88" s="1"/>
  <c r="BR70" i="88"/>
  <c r="BS70" i="88" s="1"/>
  <c r="BU70" i="88" s="1"/>
  <c r="Y70" i="88"/>
  <c r="X70" i="88"/>
  <c r="BO89" i="88"/>
  <c r="BC25" i="88"/>
  <c r="BO25" i="88" s="1"/>
  <c r="BT26" i="88"/>
  <c r="BB34" i="88"/>
  <c r="AV152" i="88"/>
  <c r="BL35" i="88"/>
  <c r="BT38" i="88"/>
  <c r="BB42" i="88"/>
  <c r="BO52" i="88"/>
  <c r="AO59" i="88"/>
  <c r="W71" i="88"/>
  <c r="Y80" i="88"/>
  <c r="X80" i="88"/>
  <c r="BR80" i="88"/>
  <c r="BS80" i="88" s="1"/>
  <c r="BU80" i="88" s="1"/>
  <c r="W82" i="88"/>
  <c r="X83" i="88"/>
  <c r="BR83" i="88"/>
  <c r="BS83" i="88" s="1"/>
  <c r="BU83" i="88" s="1"/>
  <c r="Y83" i="88"/>
  <c r="BM35" i="88"/>
  <c r="BB36" i="88"/>
  <c r="BO56" i="88"/>
  <c r="BQ59" i="88"/>
  <c r="BO60" i="88"/>
  <c r="W61" i="88"/>
  <c r="BO62" i="88"/>
  <c r="X65" i="88"/>
  <c r="BO66" i="88"/>
  <c r="BC31" i="88"/>
  <c r="BN35" i="88"/>
  <c r="W36" i="88"/>
  <c r="BO61" i="88"/>
  <c r="Y63" i="88"/>
  <c r="X63" i="88"/>
  <c r="BS63" i="88"/>
  <c r="BU63" i="88" s="1"/>
  <c r="Y65" i="88"/>
  <c r="Y72" i="88"/>
  <c r="X72" i="88"/>
  <c r="BR72" i="88"/>
  <c r="BS72" i="88" s="1"/>
  <c r="BU72" i="88" s="1"/>
  <c r="Y77" i="88"/>
  <c r="X77" i="88"/>
  <c r="BR77" i="88"/>
  <c r="BS77" i="88" s="1"/>
  <c r="BU77" i="88" s="1"/>
  <c r="X81" i="88"/>
  <c r="BR81" i="88"/>
  <c r="BS81" i="88" s="1"/>
  <c r="BU81" i="88" s="1"/>
  <c r="Y81" i="88"/>
  <c r="BR90" i="88"/>
  <c r="BS90" i="88" s="1"/>
  <c r="BU90" i="88" s="1"/>
  <c r="Y90" i="88"/>
  <c r="X90" i="88"/>
  <c r="Y96" i="88"/>
  <c r="X96" i="88"/>
  <c r="BR96" i="88"/>
  <c r="BS96" i="88" s="1"/>
  <c r="BU96" i="88" s="1"/>
  <c r="W98" i="88"/>
  <c r="AN82" i="88"/>
  <c r="BH82" i="88"/>
  <c r="BT92" i="88"/>
  <c r="BC93" i="88"/>
  <c r="BO93" i="88" s="1"/>
  <c r="BR97" i="88"/>
  <c r="BS97" i="88" s="1"/>
  <c r="BU97" i="88" s="1"/>
  <c r="AO100" i="88"/>
  <c r="BB102" i="88"/>
  <c r="W103" i="88"/>
  <c r="BD103" i="88"/>
  <c r="BO103" i="88" s="1"/>
  <c r="Y120" i="88"/>
  <c r="X120" i="88"/>
  <c r="BR143" i="88"/>
  <c r="BS143" i="88" s="1"/>
  <c r="BU143" i="88" s="1"/>
  <c r="Y143" i="88"/>
  <c r="X143" i="88"/>
  <c r="Y145" i="88"/>
  <c r="X145" i="88"/>
  <c r="BR145" i="88"/>
  <c r="BS145" i="88" s="1"/>
  <c r="BU145" i="88" s="1"/>
  <c r="BB68" i="88"/>
  <c r="BB85" i="88"/>
  <c r="AN94" i="88"/>
  <c r="BJ99" i="88"/>
  <c r="Y119" i="88"/>
  <c r="X119" i="88"/>
  <c r="W128" i="88"/>
  <c r="Y137" i="88"/>
  <c r="X137" i="88"/>
  <c r="BR137" i="88"/>
  <c r="BS137" i="88" s="1"/>
  <c r="BU137" i="88" s="1"/>
  <c r="BC68" i="88"/>
  <c r="BT68" i="88"/>
  <c r="Y74" i="88"/>
  <c r="AO76" i="88"/>
  <c r="BC76" i="88"/>
  <c r="BO76" i="88" s="1"/>
  <c r="BN78" i="88"/>
  <c r="BO78" i="88" s="1"/>
  <c r="Y84" i="88"/>
  <c r="W85" i="88"/>
  <c r="BN87" i="88"/>
  <c r="BO87" i="88" s="1"/>
  <c r="AO89" i="88"/>
  <c r="AN92" i="88"/>
  <c r="BJ94" i="88"/>
  <c r="BH98" i="88"/>
  <c r="AL99" i="88"/>
  <c r="BK99" i="88"/>
  <c r="BD100" i="88"/>
  <c r="BL100" i="88"/>
  <c r="BB103" i="88"/>
  <c r="W107" i="88"/>
  <c r="BO113" i="88"/>
  <c r="BE119" i="88"/>
  <c r="BO119" i="88" s="1"/>
  <c r="BB119" i="88"/>
  <c r="BQ119" i="88"/>
  <c r="BR119" i="88" s="1"/>
  <c r="BS119" i="88" s="1"/>
  <c r="W121" i="88"/>
  <c r="W122" i="88"/>
  <c r="BQ61" i="88"/>
  <c r="AO92" i="88"/>
  <c r="W93" i="88"/>
  <c r="BB94" i="88"/>
  <c r="W102" i="88"/>
  <c r="BN104" i="88"/>
  <c r="BO104" i="88" s="1"/>
  <c r="AO104" i="88"/>
  <c r="AN104" i="88"/>
  <c r="BO109" i="88"/>
  <c r="AO112" i="88"/>
  <c r="Y116" i="88"/>
  <c r="X116" i="88"/>
  <c r="BR116" i="88"/>
  <c r="BS116" i="88" s="1"/>
  <c r="BU116" i="88" s="1"/>
  <c r="W124" i="88"/>
  <c r="Y133" i="88"/>
  <c r="X133" i="88"/>
  <c r="BR133" i="88"/>
  <c r="BS133" i="88" s="1"/>
  <c r="BU133" i="88" s="1"/>
  <c r="BD141" i="88"/>
  <c r="BO141" i="88" s="1"/>
  <c r="BQ141" i="88"/>
  <c r="W141" i="88"/>
  <c r="X146" i="88"/>
  <c r="Z146" i="88" s="1"/>
  <c r="BR146" i="88"/>
  <c r="BS146" i="88" s="1"/>
  <c r="BU146" i="88" s="1"/>
  <c r="W150" i="88"/>
  <c r="Y75" i="88"/>
  <c r="AN78" i="88"/>
  <c r="Y79" i="88"/>
  <c r="AN87" i="88"/>
  <c r="Y88" i="88"/>
  <c r="Z88" i="88" s="1"/>
  <c r="BQ93" i="88"/>
  <c r="BO95" i="88"/>
  <c r="BB99" i="88"/>
  <c r="AN100" i="88"/>
  <c r="BT100" i="88"/>
  <c r="BO107" i="88"/>
  <c r="W108" i="88"/>
  <c r="Y115" i="88"/>
  <c r="X115" i="88"/>
  <c r="BO117" i="88"/>
  <c r="W140" i="88"/>
  <c r="BR147" i="88"/>
  <c r="BS147" i="88" s="1"/>
  <c r="BU147" i="88" s="1"/>
  <c r="Y147" i="88"/>
  <c r="X147" i="88"/>
  <c r="BB61" i="88"/>
  <c r="BF85" i="88"/>
  <c r="BO85" i="88" s="1"/>
  <c r="BQ92" i="88"/>
  <c r="X97" i="88"/>
  <c r="Z97" i="88" s="1"/>
  <c r="AN98" i="88"/>
  <c r="BQ99" i="88"/>
  <c r="BC99" i="88"/>
  <c r="BB100" i="88"/>
  <c r="BQ100" i="88"/>
  <c r="BD102" i="88"/>
  <c r="BO102" i="88" s="1"/>
  <c r="BQ102" i="88"/>
  <c r="Y110" i="88"/>
  <c r="X110" i="88"/>
  <c r="BR110" i="88"/>
  <c r="BS110" i="88" s="1"/>
  <c r="BU110" i="88" s="1"/>
  <c r="BO114" i="88"/>
  <c r="BR115" i="88"/>
  <c r="BS115" i="88" s="1"/>
  <c r="BU115" i="88" s="1"/>
  <c r="Y129" i="88"/>
  <c r="X129" i="88"/>
  <c r="BR129" i="88"/>
  <c r="BS129" i="88" s="1"/>
  <c r="BU129" i="88" s="1"/>
  <c r="W136" i="88"/>
  <c r="BO140" i="88"/>
  <c r="BO150" i="88"/>
  <c r="AN71" i="88"/>
  <c r="X95" i="88"/>
  <c r="Z95" i="88" s="1"/>
  <c r="BQ103" i="88"/>
  <c r="AO105" i="88"/>
  <c r="AN105" i="88"/>
  <c r="BO108" i="88"/>
  <c r="W109" i="88"/>
  <c r="BO111" i="88"/>
  <c r="BT112" i="88"/>
  <c r="BR117" i="88"/>
  <c r="BS117" i="88" s="1"/>
  <c r="BU117" i="88" s="1"/>
  <c r="BQ118" i="88"/>
  <c r="BQ122" i="88"/>
  <c r="BC94" i="88"/>
  <c r="BT98" i="88"/>
  <c r="BC98" i="88"/>
  <c r="BB105" i="88"/>
  <c r="BQ105" i="88"/>
  <c r="W106" i="88"/>
  <c r="BF118" i="88"/>
  <c r="BO118" i="88" s="1"/>
  <c r="BB118" i="88"/>
  <c r="BB122" i="88"/>
  <c r="Y125" i="88"/>
  <c r="X125" i="88"/>
  <c r="BR125" i="88"/>
  <c r="BS125" i="88" s="1"/>
  <c r="BU125" i="88" s="1"/>
  <c r="BO126" i="88"/>
  <c r="BO128" i="88"/>
  <c r="W132" i="88"/>
  <c r="AN112" i="88"/>
  <c r="BH112" i="88"/>
  <c r="BO112" i="88" s="1"/>
  <c r="W114" i="88"/>
  <c r="W118" i="88"/>
  <c r="W123" i="88"/>
  <c r="W127" i="88"/>
  <c r="W131" i="88"/>
  <c r="W135" i="88"/>
  <c r="X139" i="88"/>
  <c r="X144" i="88"/>
  <c r="X148" i="88"/>
  <c r="BF120" i="88"/>
  <c r="BO120" i="88" s="1"/>
  <c r="Y139" i="88"/>
  <c r="BQ140" i="88"/>
  <c r="BB141" i="88"/>
  <c r="Y144" i="88"/>
  <c r="Y148" i="88"/>
  <c r="BQ120" i="88"/>
  <c r="BR120" i="88" s="1"/>
  <c r="BS120" i="88" s="1"/>
  <c r="BB140" i="88"/>
  <c r="BO122" i="88" l="1"/>
  <c r="BH38" i="88"/>
  <c r="BH152" i="88" s="1"/>
  <c r="BR60" i="88"/>
  <c r="BS60" i="88" s="1"/>
  <c r="BU60" i="88" s="1"/>
  <c r="AI152" i="88"/>
  <c r="AH152" i="88"/>
  <c r="BR40" i="88"/>
  <c r="BS40" i="88" s="1"/>
  <c r="BU40" i="88" s="1"/>
  <c r="AU152" i="88"/>
  <c r="Y40" i="88"/>
  <c r="Z40" i="88" s="1"/>
  <c r="BO82" i="88"/>
  <c r="BO39" i="88"/>
  <c r="BO42" i="88"/>
  <c r="BO68" i="88"/>
  <c r="X60" i="88"/>
  <c r="BO59" i="88"/>
  <c r="Y60" i="88"/>
  <c r="BO37" i="88"/>
  <c r="Z79" i="88"/>
  <c r="X91" i="88"/>
  <c r="BI38" i="88"/>
  <c r="BI152" i="88" s="1"/>
  <c r="Z125" i="88"/>
  <c r="Z55" i="88"/>
  <c r="Z74" i="88"/>
  <c r="BO29" i="88"/>
  <c r="BO98" i="88"/>
  <c r="BO23" i="88"/>
  <c r="Z75" i="88"/>
  <c r="AN38" i="88"/>
  <c r="BO32" i="88"/>
  <c r="Z119" i="88"/>
  <c r="Y91" i="88"/>
  <c r="Z21" i="88"/>
  <c r="Z130" i="88"/>
  <c r="Z129" i="88"/>
  <c r="Z54" i="88"/>
  <c r="BO31" i="88"/>
  <c r="Z84" i="88"/>
  <c r="Z120" i="88"/>
  <c r="Z17" i="88"/>
  <c r="Z80" i="88"/>
  <c r="BO35" i="88"/>
  <c r="AJ152" i="88"/>
  <c r="Z48" i="88"/>
  <c r="Z13" i="88"/>
  <c r="Z96" i="88"/>
  <c r="Z66" i="88"/>
  <c r="Z15" i="88"/>
  <c r="Z142" i="88"/>
  <c r="Z45" i="88"/>
  <c r="Z101" i="88"/>
  <c r="AK152" i="88"/>
  <c r="Z110" i="88"/>
  <c r="Z58" i="88"/>
  <c r="Z27" i="88"/>
  <c r="Z20" i="88"/>
  <c r="BO100" i="88"/>
  <c r="Z145" i="88"/>
  <c r="Z72" i="88"/>
  <c r="Z138" i="88"/>
  <c r="Z83" i="88"/>
  <c r="Z52" i="88"/>
  <c r="BR113" i="88"/>
  <c r="BS113" i="88" s="1"/>
  <c r="BU113" i="88" s="1"/>
  <c r="Y113" i="88"/>
  <c r="X113" i="88"/>
  <c r="AO38" i="88"/>
  <c r="W38" i="88" s="1"/>
  <c r="BR38" i="88" s="1"/>
  <c r="BS38" i="88" s="1"/>
  <c r="BU38" i="88" s="1"/>
  <c r="Z134" i="88"/>
  <c r="Z115" i="88"/>
  <c r="BO12" i="88"/>
  <c r="Z111" i="88"/>
  <c r="Z126" i="88"/>
  <c r="BO94" i="88"/>
  <c r="Z69" i="88"/>
  <c r="Z41" i="88"/>
  <c r="Z33" i="88"/>
  <c r="D149" i="89"/>
  <c r="G58" i="89"/>
  <c r="F149" i="89"/>
  <c r="G41" i="89"/>
  <c r="H39" i="89"/>
  <c r="H41" i="89" s="1"/>
  <c r="H53" i="89"/>
  <c r="H54" i="89" s="1"/>
  <c r="G54" i="89"/>
  <c r="G111" i="89"/>
  <c r="G147" i="89" s="1"/>
  <c r="H102" i="89"/>
  <c r="H111" i="89" s="1"/>
  <c r="G9" i="89"/>
  <c r="H5" i="89"/>
  <c r="H9" i="89" s="1"/>
  <c r="G17" i="89"/>
  <c r="G21" i="89" s="1"/>
  <c r="H16" i="89"/>
  <c r="H17" i="89" s="1"/>
  <c r="H21" i="89" s="1"/>
  <c r="H22" i="89"/>
  <c r="H38" i="89" s="1"/>
  <c r="H42" i="89" s="1"/>
  <c r="G38" i="89"/>
  <c r="G42" i="89" s="1"/>
  <c r="E147" i="89"/>
  <c r="E149" i="89" s="1"/>
  <c r="H112" i="89"/>
  <c r="H123" i="89" s="1"/>
  <c r="G123" i="89"/>
  <c r="H68" i="89"/>
  <c r="H70" i="89" s="1"/>
  <c r="G70" i="89"/>
  <c r="G89" i="89"/>
  <c r="G92" i="89" s="1"/>
  <c r="H85" i="89"/>
  <c r="H89" i="89" s="1"/>
  <c r="H92" i="89" s="1"/>
  <c r="G65" i="89"/>
  <c r="G73" i="89" s="1"/>
  <c r="H64" i="89"/>
  <c r="H65" i="89" s="1"/>
  <c r="G47" i="89"/>
  <c r="H43" i="89"/>
  <c r="H47" i="89" s="1"/>
  <c r="H58" i="89"/>
  <c r="H12" i="89"/>
  <c r="H14" i="89" s="1"/>
  <c r="G14" i="89"/>
  <c r="G49" i="89"/>
  <c r="H48" i="89"/>
  <c r="H49" i="89" s="1"/>
  <c r="BR127" i="88"/>
  <c r="BS127" i="88" s="1"/>
  <c r="BU127" i="88" s="1"/>
  <c r="Y127" i="88"/>
  <c r="X127" i="88"/>
  <c r="W105" i="88"/>
  <c r="Y136" i="88"/>
  <c r="X136" i="88"/>
  <c r="BR136" i="88"/>
  <c r="BS136" i="88" s="1"/>
  <c r="BU136" i="88" s="1"/>
  <c r="X108" i="88"/>
  <c r="BR108" i="88"/>
  <c r="BS108" i="88" s="1"/>
  <c r="BU108" i="88" s="1"/>
  <c r="Y108" i="88"/>
  <c r="Z116" i="88"/>
  <c r="Z90" i="88"/>
  <c r="Z77" i="88"/>
  <c r="Z64" i="88"/>
  <c r="Z62" i="88"/>
  <c r="Y28" i="88"/>
  <c r="X28" i="88"/>
  <c r="BR28" i="88"/>
  <c r="BS28" i="88" s="1"/>
  <c r="BU28" i="88" s="1"/>
  <c r="BG152" i="88"/>
  <c r="Y37" i="88"/>
  <c r="X37" i="88"/>
  <c r="BR37" i="88"/>
  <c r="BS37" i="88" s="1"/>
  <c r="BU37" i="88" s="1"/>
  <c r="BR23" i="88"/>
  <c r="BS23" i="88" s="1"/>
  <c r="BU23" i="88" s="1"/>
  <c r="Y23" i="88"/>
  <c r="X23" i="88"/>
  <c r="Z10" i="88"/>
  <c r="Y102" i="88"/>
  <c r="BR102" i="88"/>
  <c r="BS102" i="88" s="1"/>
  <c r="BU102" i="88" s="1"/>
  <c r="X102" i="88"/>
  <c r="BR36" i="88"/>
  <c r="BS36" i="88" s="1"/>
  <c r="BU36" i="88" s="1"/>
  <c r="Y36" i="88"/>
  <c r="X36" i="88"/>
  <c r="Z65" i="88"/>
  <c r="Y82" i="88"/>
  <c r="BR82" i="88"/>
  <c r="BS82" i="88" s="1"/>
  <c r="BU82" i="88" s="1"/>
  <c r="X82" i="88"/>
  <c r="Y51" i="88"/>
  <c r="X51" i="88"/>
  <c r="BR51" i="88"/>
  <c r="BS51" i="88" s="1"/>
  <c r="BU51" i="88" s="1"/>
  <c r="W26" i="88"/>
  <c r="X68" i="88"/>
  <c r="BR68" i="88"/>
  <c r="BS68" i="88" s="1"/>
  <c r="BU68" i="88" s="1"/>
  <c r="Y68" i="88"/>
  <c r="Y39" i="88"/>
  <c r="BR39" i="88"/>
  <c r="BS39" i="88" s="1"/>
  <c r="BU39" i="88" s="1"/>
  <c r="X39" i="88"/>
  <c r="W8" i="88"/>
  <c r="Y12" i="88"/>
  <c r="BR12" i="88"/>
  <c r="BS12" i="88" s="1"/>
  <c r="BU12" i="88" s="1"/>
  <c r="X12" i="88"/>
  <c r="X118" i="88"/>
  <c r="BR118" i="88"/>
  <c r="BS118" i="88" s="1"/>
  <c r="BU118" i="88" s="1"/>
  <c r="Y118" i="88"/>
  <c r="Y150" i="88"/>
  <c r="X150" i="88"/>
  <c r="BR150" i="88"/>
  <c r="BS150" i="88" s="1"/>
  <c r="BU150" i="88" s="1"/>
  <c r="Y122" i="88"/>
  <c r="X122" i="88"/>
  <c r="BR122" i="88"/>
  <c r="BS122" i="88" s="1"/>
  <c r="BU122" i="88" s="1"/>
  <c r="BR103" i="88"/>
  <c r="BS103" i="88" s="1"/>
  <c r="BU103" i="88" s="1"/>
  <c r="Y103" i="88"/>
  <c r="X103" i="88"/>
  <c r="BR34" i="88"/>
  <c r="BS34" i="88" s="1"/>
  <c r="BU34" i="88" s="1"/>
  <c r="Y34" i="88"/>
  <c r="X34" i="88"/>
  <c r="BF152" i="88"/>
  <c r="Y31" i="88"/>
  <c r="BR31" i="88"/>
  <c r="BS31" i="88" s="1"/>
  <c r="BU31" i="88" s="1"/>
  <c r="X31" i="88"/>
  <c r="BR114" i="88"/>
  <c r="BS114" i="88" s="1"/>
  <c r="BU114" i="88" s="1"/>
  <c r="X114" i="88"/>
  <c r="Y114" i="88"/>
  <c r="Z147" i="88"/>
  <c r="Z133" i="88"/>
  <c r="W112" i="88"/>
  <c r="W76" i="88"/>
  <c r="Z137" i="88"/>
  <c r="Z63" i="88"/>
  <c r="Y61" i="88"/>
  <c r="X61" i="88"/>
  <c r="BR61" i="88"/>
  <c r="BS61" i="88" s="1"/>
  <c r="BU61" i="88" s="1"/>
  <c r="BR71" i="88"/>
  <c r="BS71" i="88" s="1"/>
  <c r="BU71" i="88" s="1"/>
  <c r="Y71" i="88"/>
  <c r="X71" i="88"/>
  <c r="Z70" i="88"/>
  <c r="X57" i="88"/>
  <c r="BR57" i="88"/>
  <c r="BS57" i="88" s="1"/>
  <c r="BU57" i="88" s="1"/>
  <c r="Y57" i="88"/>
  <c r="Z73" i="88"/>
  <c r="Z86" i="88"/>
  <c r="Y67" i="88"/>
  <c r="X67" i="88"/>
  <c r="BR67" i="88"/>
  <c r="BS67" i="88" s="1"/>
  <c r="BU67" i="88" s="1"/>
  <c r="BE152" i="88"/>
  <c r="Z47" i="88"/>
  <c r="Z7" i="88"/>
  <c r="Y42" i="88"/>
  <c r="X42" i="88"/>
  <c r="BR42" i="88"/>
  <c r="BS42" i="88" s="1"/>
  <c r="BU42" i="88" s="1"/>
  <c r="Y32" i="88"/>
  <c r="X32" i="88"/>
  <c r="BR32" i="88"/>
  <c r="BS32" i="88" s="1"/>
  <c r="BU32" i="88" s="1"/>
  <c r="Y5" i="88"/>
  <c r="X5" i="88"/>
  <c r="BR5" i="88"/>
  <c r="BS5" i="88" s="1"/>
  <c r="BU5" i="88" s="1"/>
  <c r="Z144" i="88"/>
  <c r="BR93" i="88"/>
  <c r="BS93" i="88" s="1"/>
  <c r="BU93" i="88" s="1"/>
  <c r="Y93" i="88"/>
  <c r="X93" i="88"/>
  <c r="W89" i="88"/>
  <c r="W100" i="88"/>
  <c r="Y98" i="88"/>
  <c r="X98" i="88"/>
  <c r="BR98" i="88"/>
  <c r="BS98" i="88" s="1"/>
  <c r="BU98" i="88" s="1"/>
  <c r="W59" i="88"/>
  <c r="W24" i="88"/>
  <c r="BJ38" i="88"/>
  <c r="AX38" i="88"/>
  <c r="Y4" i="88"/>
  <c r="X4" i="88"/>
  <c r="BR4" i="88"/>
  <c r="BS4" i="88" s="1"/>
  <c r="BU4" i="88" s="1"/>
  <c r="BR9" i="88"/>
  <c r="BS9" i="88" s="1"/>
  <c r="BU9" i="88" s="1"/>
  <c r="Y9" i="88"/>
  <c r="X9" i="88"/>
  <c r="X3" i="88"/>
  <c r="BR3" i="88"/>
  <c r="BS3" i="88" s="1"/>
  <c r="BU3" i="88" s="1"/>
  <c r="Y3" i="88"/>
  <c r="Z148" i="88"/>
  <c r="Y106" i="88"/>
  <c r="X106" i="88"/>
  <c r="BR106" i="88"/>
  <c r="BS106" i="88" s="1"/>
  <c r="BU106" i="88" s="1"/>
  <c r="Z139" i="88"/>
  <c r="Y109" i="88"/>
  <c r="X109" i="88"/>
  <c r="BR109" i="88"/>
  <c r="BS109" i="88" s="1"/>
  <c r="BU109" i="88" s="1"/>
  <c r="W92" i="88"/>
  <c r="AM99" i="88"/>
  <c r="AO99" i="88" s="1"/>
  <c r="BM99" i="88"/>
  <c r="Z46" i="88"/>
  <c r="Z49" i="88"/>
  <c r="BD152" i="88"/>
  <c r="BC152" i="88"/>
  <c r="BO2" i="88"/>
  <c r="Z16" i="88"/>
  <c r="Y25" i="88"/>
  <c r="BR25" i="88"/>
  <c r="BS25" i="88" s="1"/>
  <c r="BU25" i="88" s="1"/>
  <c r="X25" i="88"/>
  <c r="Y141" i="88"/>
  <c r="BR141" i="88"/>
  <c r="BS141" i="88" s="1"/>
  <c r="BU141" i="88" s="1"/>
  <c r="X141" i="88"/>
  <c r="Y121" i="88"/>
  <c r="X121" i="88"/>
  <c r="BR121" i="88"/>
  <c r="BS121" i="88" s="1"/>
  <c r="BU121" i="88" s="1"/>
  <c r="Y140" i="88"/>
  <c r="BR140" i="88"/>
  <c r="BS140" i="88" s="1"/>
  <c r="BU140" i="88" s="1"/>
  <c r="X140" i="88"/>
  <c r="Y124" i="88"/>
  <c r="X124" i="88"/>
  <c r="BR124" i="88"/>
  <c r="BS124" i="88" s="1"/>
  <c r="BU124" i="88" s="1"/>
  <c r="W104" i="88"/>
  <c r="Y107" i="88"/>
  <c r="BR107" i="88"/>
  <c r="BS107" i="88" s="1"/>
  <c r="BU107" i="88" s="1"/>
  <c r="X107" i="88"/>
  <c r="Y85" i="88"/>
  <c r="X85" i="88"/>
  <c r="BR85" i="88"/>
  <c r="BS85" i="88" s="1"/>
  <c r="BU85" i="88" s="1"/>
  <c r="Y128" i="88"/>
  <c r="X128" i="88"/>
  <c r="BR128" i="88"/>
  <c r="BS128" i="88" s="1"/>
  <c r="BU128" i="88" s="1"/>
  <c r="Z81" i="88"/>
  <c r="W44" i="88"/>
  <c r="BR78" i="88"/>
  <c r="BS78" i="88" s="1"/>
  <c r="BU78" i="88" s="1"/>
  <c r="Y78" i="88"/>
  <c r="X78" i="88"/>
  <c r="BR30" i="88"/>
  <c r="BS30" i="88" s="1"/>
  <c r="BU30" i="88" s="1"/>
  <c r="X30" i="88"/>
  <c r="Y30" i="88"/>
  <c r="W2" i="88"/>
  <c r="X29" i="88"/>
  <c r="BR29" i="88"/>
  <c r="BS29" i="88" s="1"/>
  <c r="BU29" i="88" s="1"/>
  <c r="Y29" i="88"/>
  <c r="X22" i="88"/>
  <c r="BR22" i="88"/>
  <c r="BS22" i="88" s="1"/>
  <c r="BU22" i="88" s="1"/>
  <c r="Y22" i="88"/>
  <c r="Z6" i="88"/>
  <c r="BO3" i="88"/>
  <c r="BR123" i="88"/>
  <c r="BS123" i="88" s="1"/>
  <c r="BU123" i="88" s="1"/>
  <c r="Y123" i="88"/>
  <c r="X123" i="88"/>
  <c r="BU120" i="88"/>
  <c r="BR135" i="88"/>
  <c r="BS135" i="88" s="1"/>
  <c r="BU135" i="88" s="1"/>
  <c r="Y135" i="88"/>
  <c r="X135" i="88"/>
  <c r="BR131" i="88"/>
  <c r="BS131" i="88" s="1"/>
  <c r="BU131" i="88" s="1"/>
  <c r="Y131" i="88"/>
  <c r="X131" i="88"/>
  <c r="Y132" i="88"/>
  <c r="X132" i="88"/>
  <c r="BR132" i="88"/>
  <c r="BS132" i="88" s="1"/>
  <c r="BU132" i="88" s="1"/>
  <c r="BU119" i="88"/>
  <c r="Z143" i="88"/>
  <c r="Y94" i="88"/>
  <c r="BR94" i="88"/>
  <c r="BS94" i="88" s="1"/>
  <c r="BU94" i="88" s="1"/>
  <c r="X94" i="88"/>
  <c r="Z50" i="88"/>
  <c r="Z43" i="88"/>
  <c r="BR87" i="88"/>
  <c r="BS87" i="88" s="1"/>
  <c r="BU87" i="88" s="1"/>
  <c r="Y87" i="88"/>
  <c r="X87" i="88"/>
  <c r="BU35" i="88"/>
  <c r="AL152" i="88"/>
  <c r="BO11" i="88"/>
  <c r="BQ152" i="88"/>
  <c r="X11" i="88"/>
  <c r="BR11" i="88"/>
  <c r="BS11" i="88" s="1"/>
  <c r="BU11" i="88" s="1"/>
  <c r="Y11" i="88"/>
  <c r="Z91" i="88" l="1"/>
  <c r="Z60" i="88"/>
  <c r="Z132" i="88"/>
  <c r="AO152" i="88"/>
  <c r="Z135" i="88"/>
  <c r="Z23" i="88"/>
  <c r="Y38" i="88"/>
  <c r="Z140" i="88"/>
  <c r="Z93" i="88"/>
  <c r="Z32" i="88"/>
  <c r="Z31" i="88"/>
  <c r="Z103" i="88"/>
  <c r="Z39" i="88"/>
  <c r="Z136" i="88"/>
  <c r="Z68" i="88"/>
  <c r="Z114" i="88"/>
  <c r="Z113" i="88"/>
  <c r="Z25" i="88"/>
  <c r="Z128" i="88"/>
  <c r="Z106" i="88"/>
  <c r="Z82" i="88"/>
  <c r="Z87" i="88"/>
  <c r="Z85" i="88"/>
  <c r="Z36" i="88"/>
  <c r="Z28" i="88"/>
  <c r="X38" i="88"/>
  <c r="Z94" i="88"/>
  <c r="Z78" i="88"/>
  <c r="Z124" i="88"/>
  <c r="Z121" i="88"/>
  <c r="Z98" i="88"/>
  <c r="Z34" i="88"/>
  <c r="Z127" i="88"/>
  <c r="G59" i="89"/>
  <c r="G15" i="89"/>
  <c r="H147" i="89"/>
  <c r="H73" i="89"/>
  <c r="G149" i="89"/>
  <c r="H15" i="89"/>
  <c r="H59" i="89"/>
  <c r="H149" i="89" s="1"/>
  <c r="BR24" i="88"/>
  <c r="BS24" i="88" s="1"/>
  <c r="BU24" i="88" s="1"/>
  <c r="Y24" i="88"/>
  <c r="X24" i="88"/>
  <c r="BR112" i="88"/>
  <c r="BS112" i="88" s="1"/>
  <c r="BU112" i="88" s="1"/>
  <c r="X112" i="88"/>
  <c r="Y112" i="88"/>
  <c r="Z102" i="88"/>
  <c r="Z37" i="88"/>
  <c r="Y100" i="88"/>
  <c r="BR100" i="88"/>
  <c r="BS100" i="88" s="1"/>
  <c r="BU100" i="88" s="1"/>
  <c r="X100" i="88"/>
  <c r="Z5" i="88"/>
  <c r="Z61" i="88"/>
  <c r="Z150" i="88"/>
  <c r="Y8" i="88"/>
  <c r="X8" i="88"/>
  <c r="BR8" i="88"/>
  <c r="BS8" i="88" s="1"/>
  <c r="BU8" i="88" s="1"/>
  <c r="X104" i="88"/>
  <c r="BR104" i="88"/>
  <c r="BS104" i="88" s="1"/>
  <c r="BU104" i="88" s="1"/>
  <c r="Y104" i="88"/>
  <c r="Z109" i="88"/>
  <c r="Z4" i="88"/>
  <c r="Y89" i="88"/>
  <c r="X89" i="88"/>
  <c r="BR89" i="88"/>
  <c r="BS89" i="88" s="1"/>
  <c r="BU89" i="88" s="1"/>
  <c r="Z57" i="88"/>
  <c r="BR26" i="88"/>
  <c r="BS26" i="88" s="1"/>
  <c r="BU26" i="88" s="1"/>
  <c r="Y26" i="88"/>
  <c r="X26" i="88"/>
  <c r="Y105" i="88"/>
  <c r="X105" i="88"/>
  <c r="BR105" i="88"/>
  <c r="BS105" i="88" s="1"/>
  <c r="BU105" i="88" s="1"/>
  <c r="Z11" i="88"/>
  <c r="Z29" i="88"/>
  <c r="Y59" i="88"/>
  <c r="X59" i="88"/>
  <c r="BR59" i="88"/>
  <c r="BS59" i="88" s="1"/>
  <c r="BU59" i="88" s="1"/>
  <c r="W152" i="88"/>
  <c r="Y2" i="88"/>
  <c r="X2" i="88"/>
  <c r="BR2" i="88"/>
  <c r="BS2" i="88" s="1"/>
  <c r="BU2" i="88" s="1"/>
  <c r="Y44" i="88"/>
  <c r="X44" i="88"/>
  <c r="BR44" i="88"/>
  <c r="BS44" i="88" s="1"/>
  <c r="BU44" i="88" s="1"/>
  <c r="Z67" i="88"/>
  <c r="Z71" i="88"/>
  <c r="Z118" i="88"/>
  <c r="Z131" i="88"/>
  <c r="Z22" i="88"/>
  <c r="Z107" i="88"/>
  <c r="BN99" i="88"/>
  <c r="BO99" i="88" s="1"/>
  <c r="AM152" i="88"/>
  <c r="AN99" i="88"/>
  <c r="AN152" i="88" s="1"/>
  <c r="Z3" i="88"/>
  <c r="BK38" i="88"/>
  <c r="BK152" i="88" s="1"/>
  <c r="AY38" i="88"/>
  <c r="AX152" i="88"/>
  <c r="Y76" i="88"/>
  <c r="X76" i="88"/>
  <c r="BR76" i="88"/>
  <c r="BS76" i="88" s="1"/>
  <c r="BU76" i="88" s="1"/>
  <c r="Z122" i="88"/>
  <c r="Z12" i="88"/>
  <c r="Z123" i="88"/>
  <c r="Z30" i="88"/>
  <c r="W99" i="88"/>
  <c r="Z141" i="88"/>
  <c r="BR92" i="88"/>
  <c r="BS92" i="88" s="1"/>
  <c r="BU92" i="88" s="1"/>
  <c r="Y92" i="88"/>
  <c r="X92" i="88"/>
  <c r="Z9" i="88"/>
  <c r="BJ152" i="88"/>
  <c r="Z42" i="88"/>
  <c r="Z51" i="88"/>
  <c r="Z108" i="88"/>
  <c r="Z38" i="88" l="1"/>
  <c r="Z76" i="88"/>
  <c r="Z44" i="88"/>
  <c r="Z100" i="88"/>
  <c r="Z92" i="88"/>
  <c r="Z26" i="88"/>
  <c r="Z24" i="88"/>
  <c r="Z89" i="88"/>
  <c r="Z105" i="88"/>
  <c r="Z59" i="88"/>
  <c r="BL38" i="88"/>
  <c r="BL152" i="88" s="1"/>
  <c r="AZ38" i="88"/>
  <c r="AY152" i="88"/>
  <c r="Z8" i="88"/>
  <c r="Z112" i="88"/>
  <c r="Y152" i="88"/>
  <c r="Z104" i="88"/>
  <c r="Z2" i="88"/>
  <c r="Y99" i="88"/>
  <c r="X99" i="88"/>
  <c r="BR99" i="88"/>
  <c r="BS99" i="88" s="1"/>
  <c r="BU99" i="88" s="1"/>
  <c r="AN8" i="87"/>
  <c r="AO8" i="87"/>
  <c r="BB8" i="87"/>
  <c r="AR8" i="87"/>
  <c r="Z99" i="88" l="1"/>
  <c r="X152" i="88"/>
  <c r="Z152" i="88"/>
  <c r="BM38" i="88"/>
  <c r="BA38" i="88"/>
  <c r="AZ152" i="88"/>
  <c r="BN38" i="88" l="1"/>
  <c r="BN152" i="88" s="1"/>
  <c r="BA152" i="88"/>
  <c r="BB38" i="88"/>
  <c r="BB152" i="88" s="1"/>
  <c r="BM152" i="88"/>
  <c r="BO38" i="88"/>
  <c r="BO152" i="88" s="1"/>
  <c r="J3" i="65"/>
  <c r="AJ5" i="87" l="1"/>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AM2" i="87" l="1"/>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N10" i="87" l="1"/>
  <c r="W6" i="87"/>
  <c r="AO10" i="87"/>
  <c r="W5" i="87"/>
  <c r="Y4" i="87"/>
  <c r="X4" i="87"/>
  <c r="Y7" i="87"/>
  <c r="Z7" i="87" s="1"/>
  <c r="Y3" i="87"/>
  <c r="Z3" i="87" s="1"/>
  <c r="W10" i="87" l="1"/>
  <c r="Y6" i="87"/>
  <c r="X6" i="87"/>
  <c r="X5" i="87"/>
  <c r="Y5" i="87"/>
  <c r="Z4" i="87"/>
  <c r="AN2" i="87"/>
  <c r="AO2" i="87"/>
  <c r="Z5" i="87" l="1"/>
  <c r="X10" i="87"/>
  <c r="Y10" i="87"/>
  <c r="Z6" i="87"/>
  <c r="Z10" i="87" s="1"/>
  <c r="E25" i="65" l="1"/>
  <c r="F25" i="65"/>
  <c r="C25" i="65"/>
  <c r="D25" i="65"/>
  <c r="B25" i="65"/>
  <c r="W2" i="87" l="1"/>
  <c r="X2" i="87" l="1"/>
  <c r="Y2" i="87"/>
  <c r="Z2" i="87" l="1"/>
</calcChain>
</file>

<file path=xl/sharedStrings.xml><?xml version="1.0" encoding="utf-8"?>
<sst xmlns="http://schemas.openxmlformats.org/spreadsheetml/2006/main" count="3471" uniqueCount="752">
  <si>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</si>
  <si>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</si>
  <si>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</si>
  <si>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</si>
  <si>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</si>
  <si>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</si>
  <si>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</si>
  <si>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</si>
  <si>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</si>
  <si>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</si>
  <si>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</si>
  <si>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</si>
  <si>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</si>
  <si>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</si>
  <si>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</si>
  <si>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</si>
  <si>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</si>
  <si>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</si>
  <si>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</si>
  <si>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</si>
  <si>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</si>
  <si>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</si>
  <si>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</si>
  <si>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</si>
  <si>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</si>
  <si>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</si>
  <si>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</si>
  <si>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</si>
  <si>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</si>
  <si>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</si>
  <si>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</si>
  <si>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</si>
  <si>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</si>
  <si>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</si>
  <si>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</si>
  <si>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</si>
  <si>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</si>
  <si>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</si>
  <si>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</si>
  <si>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</si>
  <si>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</si>
  <si>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</si>
  <si>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</si>
  <si>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</si>
  <si>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</si>
  <si>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</si>
  <si>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</si>
  <si>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</si>
  <si>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</si>
  <si>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</si>
  <si>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</si>
  <si>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</si>
  <si>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</si>
  <si>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</si>
  <si>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</si>
  <si>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</si>
  <si>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</si>
  <si>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</si>
  <si>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</si>
  <si>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</si>
  <si>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</si>
  <si>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</si>
  <si>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</si>
  <si>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</si>
  <si>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</si>
  <si>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</si>
  <si>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</si>
  <si>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</si>
  <si>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</si>
  <si>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</si>
  <si>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</si>
  <si>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</si>
  <si>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</si>
  <si>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</si>
  <si>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</si>
  <si>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</si>
  <si>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</si>
  <si>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</si>
  <si>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</si>
  <si>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</si>
  <si>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</si>
  <si>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</si>
  <si>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</si>
  <si>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</si>
  <si>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</si>
  <si>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</si>
  <si>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</si>
  <si>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</si>
  <si>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</si>
  <si>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</si>
  <si>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</si>
  <si>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</si>
  <si>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</si>
  <si>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</si>
  <si>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</si>
  <si>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</si>
  <si>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</si>
  <si>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</si>
  <si>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</si>
  <si>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</si>
  <si>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</si>
  <si>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</si>
  <si>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</si>
  <si>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</si>
  <si>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</si>
  <si>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</si>
  <si>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</si>
  <si>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</si>
  <si>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</si>
  <si>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</si>
  <si>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</si>
  <si>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</si>
  <si>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</si>
  <si>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</si>
  <si>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</si>
  <si>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</si>
  <si>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</si>
  <si>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</si>
  <si>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</si>
  <si>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</si>
  <si>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</si>
  <si>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</si>
  <si>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</si>
  <si>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</si>
  <si>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</si>
  <si>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</si>
  <si>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</si>
  <si>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</si>
  <si>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</si>
  <si>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</si>
  <si>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</si>
  <si>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</si>
  <si>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</si>
  <si>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</si>
  <si>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</si>
  <si>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</si>
  <si>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</si>
  <si>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</si>
  <si>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</si>
  <si>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</si>
  <si>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</si>
  <si>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</si>
  <si>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</si>
  <si>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</si>
  <si>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</si>
  <si>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</si>
  <si>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</si>
  <si>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</si>
  <si>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</si>
  <si>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</si>
  <si>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</si>
  <si>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</si>
  <si>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</si>
  <si>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</si>
  <si>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</si>
  <si>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</si>
  <si>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</si>
  <si>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</si>
  <si>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</si>
  <si>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</si>
  <si>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</si>
  <si>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</si>
  <si>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</si>
  <si>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</si>
  <si>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</si>
  <si>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</si>
  <si>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</si>
  <si>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</si>
  <si>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</si>
  <si>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</si>
  <si>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</si>
  <si>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</si>
  <si>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</si>
  <si>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</si>
  <si>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</si>
  <si>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</si>
  <si>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</si>
  <si>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</si>
  <si>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</si>
  <si>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</si>
  <si>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</si>
  <si>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</si>
  <si>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</si>
  <si>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</si>
  <si>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</si>
  <si>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</si>
  <si>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</si>
  <si>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</si>
  <si>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</si>
  <si>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</si>
  <si>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</si>
  <si>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</si>
  <si>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</si>
  <si>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</si>
  <si>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</si>
  <si>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</si>
  <si>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QA SOW FPC - [KA - Feb23] - Updated forecast from Mar to Dec based on the new contract that superseeded the original one</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</si>
  <si>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</si>
  <si>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</si>
  <si>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</si>
  <si>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</si>
  <si>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</si>
  <si>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</si>
  <si>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</si>
  <si>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</si>
  <si>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</si>
  <si>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</si>
  <si>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</si>
  <si>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</si>
  <si>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</si>
  <si>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</si>
  <si>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</si>
  <si>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</si>
  <si>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</si>
  <si>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</si>
  <si>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</si>
  <si>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</si>
  <si>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</si>
  <si>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</si>
  <si>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</si>
  <si>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</si>
  <si>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</si>
  <si>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</si>
  <si>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</si>
  <si>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</si>
  <si>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</si>
  <si>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</si>
  <si>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</si>
  <si>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</si>
  <si>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</si>
  <si>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</si>
  <si>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</si>
  <si>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</si>
  <si>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</si>
  <si>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</si>
  <si>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</si>
  <si>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</si>
  <si>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</si>
  <si>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</si>
  <si>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</si>
  <si>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</si>
  <si>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</si>
  <si>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</si>
  <si>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</si>
  <si>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</si>
  <si>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</si>
  <si>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</si>
  <si>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</si>
  <si>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</si>
  <si>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</si>
  <si>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</si>
  <si>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</si>
  <si>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</si>
  <si>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</si>
  <si>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</si>
  <si>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</si>
  <si>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</si>
  <si>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</si>
  <si>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</si>
  <si>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</si>
  <si>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</si>
  <si>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</si>
  <si>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</si>
  <si>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</si>
  <si>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</si>
  <si>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</si>
  <si>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</si>
  <si>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</si>
  <si>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</si>
  <si>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</si>
  <si>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</si>
  <si>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</si>
  <si>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</si>
  <si>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</si>
  <si>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</si>
  <si>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</si>
  <si>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</si>
  <si>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</si>
  <si>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</si>
  <si>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</si>
  <si>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</si>
  <si>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</si>
  <si>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</si>
  <si>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</si>
  <si>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</si>
  <si>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</si>
  <si>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</si>
  <si>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</si>
  <si>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</si>
  <si>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</si>
  <si>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</si>
  <si>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</si>
  <si>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</si>
  <si>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</si>
  <si>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</si>
  <si>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</si>
  <si>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</si>
  <si>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</si>
  <si>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</si>
  <si>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</si>
  <si>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</si>
  <si>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</si>
  <si>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</si>
  <si>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</si>
  <si>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</si>
  <si>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</si>
  <si>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</si>
  <si>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</si>
  <si>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</si>
  <si>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</si>
  <si>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</si>
  <si>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</si>
  <si>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</si>
  <si>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</si>
  <si>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</si>
  <si>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</si>
  <si>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</si>
  <si>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</si>
  <si>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</si>
  <si>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</si>
  <si>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</si>
  <si>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</si>
  <si>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</si>
  <si>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</si>
  <si>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</si>
  <si>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</si>
  <si>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</si>
  <si>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</si>
  <si>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</si>
  <si>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</si>
  <si>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</si>
  <si>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</si>
  <si>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</si>
  <si>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</si>
  <si>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</si>
  <si>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</si>
  <si>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</si>
  <si>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</si>
  <si>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</si>
  <si>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</si>
  <si>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</si>
  <si>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</si>
  <si>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</si>
  <si>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</si>
  <si>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</si>
  <si>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</si>
  <si>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</si>
  <si>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</si>
  <si>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</si>
  <si>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</si>
  <si>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</si>
  <si>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</si>
  <si>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</si>
  <si>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</si>
  <si>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</si>
  <si>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</si>
  <si>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</si>
  <si>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</si>
  <si>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</si>
  <si>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</si>
  <si>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</si>
  <si>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</si>
  <si>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</si>
  <si>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</si>
  <si>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</si>
  <si>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</si>
  <si>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</si>
  <si>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</si>
  <si>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</si>
  <si>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</si>
  <si>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</si>
  <si>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</si>
  <si>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</si>
  <si>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</si>
  <si>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</si>
  <si>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</si>
  <si>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</si>
  <si>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</si>
  <si>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</si>
  <si>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</si>
  <si>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</si>
  <si>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</si>
  <si>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</si>
  <si>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</si>
  <si>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</si>
  <si>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</si>
  <si>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</si>
  <si>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</si>
  <si>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</si>
  <si>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</si>
  <si>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</si>
  <si>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</si>
  <si>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</si>
  <si>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</si>
  <si>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</si>
  <si>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</si>
  <si>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</si>
  <si>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</si>
  <si>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</si>
  <si>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</si>
  <si>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</si>
  <si>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</si>
  <si>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</si>
  <si>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</si>
  <si>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</si>
  <si>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</si>
  <si>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</si>
  <si>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</si>
  <si>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</si>
  <si>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</si>
  <si>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</si>
  <si>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</si>
  <si>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</si>
  <si>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</si>
  <si>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</si>
  <si>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</si>
  <si>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</si>
  <si>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</si>
  <si>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</si>
  <si>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</si>
  <si>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</si>
  <si>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</si>
  <si>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</si>
  <si>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</si>
  <si>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</si>
  <si>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</si>
  <si>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</si>
  <si>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</si>
  <si>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</si>
  <si>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</si>
  <si>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</si>
  <si>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</si>
  <si>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</si>
  <si>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Prepaid-Prepaid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</si>
  <si>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</si>
  <si>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</si>
  <si>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</si>
  <si>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</si>
  <si>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</si>
  <si>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</si>
  <si>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</si>
  <si>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</si>
  <si>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</si>
  <si>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</si>
  <si>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</si>
  <si>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</si>
  <si>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</si>
  <si>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</si>
  <si>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</si>
  <si>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</si>
  <si>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</si>
  <si>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</si>
  <si>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</si>
  <si>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</si>
  <si>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</si>
  <si>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</si>
  <si>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</si>
  <si>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</si>
  <si>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</si>
  <si>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</si>
  <si>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</si>
  <si>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</si>
  <si>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</si>
  <si>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</si>
  <si>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</si>
  <si>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</si>
  <si>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</si>
  <si>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</si>
  <si>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</si>
  <si>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</si>
  <si>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</si>
  <si>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</si>
  <si>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</si>
  <si>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</si>
  <si>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</si>
  <si>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</si>
  <si>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Prj000469-Support - Prod Support for Ops Apps</t>
  </si>
  <si>
    <t>Extra added in Dec for extra support work requested by Melissa</t>
  </si>
  <si>
    <t>Norske Finansielle Referanser AS</t>
  </si>
  <si>
    <t>Nore is data source provider for Refinitive - not part of initial budget</t>
  </si>
  <si>
    <t>This was to be charged back to Cyber, but now tech has to bear the cost. Danny's email is proof</t>
  </si>
  <si>
    <t>Sum of 2026 Net Position</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</si>
  <si>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</si>
  <si>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</si>
  <si>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</si>
  <si>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</si>
  <si>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</si>
  <si>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</si>
  <si>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</si>
  <si>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</si>
  <si>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</si>
  <si>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</si>
  <si>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</si>
  <si>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</si>
  <si>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</si>
  <si>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</si>
  <si>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</si>
  <si>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</si>
  <si>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</si>
  <si>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</si>
  <si>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</si>
  <si>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</si>
  <si>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</si>
  <si>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</si>
  <si>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</si>
  <si>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</si>
  <si>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</si>
  <si>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</si>
  <si>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</si>
  <si>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</si>
  <si>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</si>
  <si>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</si>
  <si>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15% - Chicago Personal Property Lease Transaction Tax (PPLTT)</t>
  </si>
  <si>
    <t>Concur project reimbursement cost can't be predicted, hence buffer kept in Dec</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</si>
  <si>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</si>
  <si>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</si>
  <si>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</si>
  <si>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</si>
  <si>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</si>
  <si>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</si>
  <si>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</si>
  <si>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</si>
  <si>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</si>
  <si>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</si>
  <si>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</si>
  <si>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</si>
  <si>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</si>
  <si>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</si>
  <si>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</si>
  <si>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</si>
  <si>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</si>
  <si>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</si>
  <si>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</si>
  <si>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</si>
  <si>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Microsoft 365 E5 &amp; Teams Room Pro</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</si>
  <si>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</si>
  <si>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</si>
  <si>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</si>
  <si>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</si>
  <si>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</si>
  <si>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</si>
  <si>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</si>
  <si>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</si>
  <si>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</si>
  <si>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Notes - Risk/Opportunity</t>
  </si>
  <si>
    <t>Risk/Opportunity Type</t>
  </si>
  <si>
    <t>Soft Opportunity</t>
  </si>
  <si>
    <t>Neutral</t>
  </si>
  <si>
    <t>FPC Total</t>
  </si>
  <si>
    <t>Hardware Total</t>
  </si>
  <si>
    <t>Soft Risk</t>
  </si>
  <si>
    <t>Infrastructure Total</t>
  </si>
  <si>
    <t>Labor/ T&amp;M Total</t>
  </si>
  <si>
    <t>MS Total</t>
  </si>
  <si>
    <t>On track. Subscription tracking to budget.
Driver: Tracking to plan.</t>
  </si>
  <si>
    <t>On track. Subscription paid, tracking to budget.
Driver: Tracking to plan.</t>
  </si>
  <si>
    <t>On track. No material R/O.
Driver: Tracking to plan.</t>
  </si>
  <si>
    <t>On track. Sales tax placeholder, no material R/O.
Driver: Tracking to plan.</t>
  </si>
  <si>
    <t>On track. Training budget tracking to plan.
Driver: Tracking to plan.</t>
  </si>
  <si>
    <t>N/A Total</t>
  </si>
  <si>
    <t>OOE Total</t>
  </si>
  <si>
    <t>On track. Tracking to budget.
Driver: Tracking to plan.</t>
  </si>
  <si>
    <t>On track. Prepaid tracking to budget.
Driver: Tracking to plan.</t>
  </si>
  <si>
    <t>On track. Certificate costs tracking to budget.
Driver: Tracking to plan.</t>
  </si>
  <si>
    <t>On track. Control M tracking to budget.
Driver: Tracking to plan.</t>
  </si>
  <si>
    <t>On track. Minor variance (&lt;$100).
Driver: Tracking to plan.</t>
  </si>
  <si>
    <t>On track. License paid, tracking to budget.
Driver: Tracking to plan.</t>
  </si>
  <si>
    <t>Software Total</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</si>
  <si>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</si>
  <si>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</si>
  <si>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</si>
  <si>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</si>
  <si>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</si>
  <si>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</si>
  <si>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</si>
  <si>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</si>
  <si>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</si>
  <si>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</si>
  <si>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</si>
  <si>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</si>
  <si>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</si>
  <si>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</si>
  <si>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</si>
  <si>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</si>
  <si>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</si>
  <si>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</si>
  <si>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</si>
  <si>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</si>
  <si>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</si>
  <si>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</si>
  <si>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</si>
  <si>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</si>
  <si>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</si>
  <si>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</si>
  <si>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</si>
  <si>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</si>
  <si>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</si>
  <si>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</si>
  <si>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</si>
  <si>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</si>
  <si>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</si>
  <si>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</si>
  <si>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</si>
  <si>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</si>
  <si>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</si>
  <si>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</si>
  <si>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</si>
  <si>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</si>
  <si>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</si>
  <si>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</si>
  <si>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</si>
  <si>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</si>
  <si>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</si>
  <si>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</si>
  <si>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</si>
  <si>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</si>
  <si>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</si>
  <si>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</si>
  <si>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</si>
  <si>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</si>
  <si>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</si>
  <si>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</si>
  <si>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</si>
  <si>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</si>
  <si>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</si>
  <si>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</si>
  <si>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</si>
  <si>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Jun-Dec FC</t>
  </si>
  <si>
    <t>Variable Monthly Usage - Not budgeted</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</si>
  <si>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</si>
  <si>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</si>
  <si>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</si>
  <si>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</si>
  <si>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</si>
  <si>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</si>
  <si>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</si>
  <si>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</si>
  <si>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</si>
  <si>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</si>
  <si>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</si>
  <si>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</si>
  <si>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</si>
  <si>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</si>
  <si>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</si>
  <si>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</si>
  <si>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Jan-May Actuals</t>
  </si>
  <si>
    <t xml:space="preserve">Jan-May Forecast </t>
  </si>
  <si>
    <t>Forecast Jun-Dec</t>
  </si>
  <si>
    <t>Forecast Jan-May</t>
  </si>
  <si>
    <t>Actual+Forecast</t>
  </si>
  <si>
    <t>This cost is not fixed and will be fluctuating per month,</t>
  </si>
  <si>
    <t>L2 DBA resource starting July 1 to expand coverage</t>
  </si>
  <si>
    <t>New UAT hired, New 2026 BoW utilised, WSO</t>
  </si>
  <si>
    <t>Unbudgeted tax</t>
  </si>
  <si>
    <t>Surface laptop 7, Logitech keyboard and Mouse, Starlite Cable, Monitor unbudgeted, 3 laptops to be charged back to Private Credit</t>
  </si>
  <si>
    <t>New 2026 BoW, WSO not to be utilised</t>
  </si>
  <si>
    <t>Placeholder funds for new initiatives have been forecasted as per Leon's instruction for utilisation and potential opportunities. Onetime implementation cost for WSO migration web to hosting</t>
  </si>
  <si>
    <t>New 2026 BoW, WSO</t>
  </si>
  <si>
    <t xml:space="preserve"> Onetime implementation cost for WSO migration web to hosting,$10K is part of WSO web to hosting transistion and should be part of $504K</t>
  </si>
  <si>
    <t>Unbudgeted, New risk - CME Group SOFR License, $1K per month charge back expected from</t>
  </si>
  <si>
    <t>Actuals (Jan-May)</t>
  </si>
  <si>
    <t>Forecast (Jun - Dec)</t>
  </si>
  <si>
    <t>2026 Risk/(Opportunity)</t>
  </si>
  <si>
    <t>$98K Opportunity: L1/L2 COE BoW 2026 - unutilized funds for new initiatives planned in 2026.
Driver: Unutilized funds for planned initiatives.</t>
  </si>
  <si>
    <t>$884K Opportunity:
• IVP Implementation $384K saving on contract (Budget $1.34M vs Actual $960K)
• IVP Internal Audit BoW 2026 $500K - unutilized funds
Driver: Contract savings + unutilized funds for planned initiatives.</t>
  </si>
  <si>
    <t>Dark Green Font</t>
  </si>
  <si>
    <t>Dark Green Fill, white font</t>
  </si>
  <si>
    <t>Dark Red Font</t>
  </si>
  <si>
    <t>Dark Red Fill, white font</t>
  </si>
  <si>
    <t>$100K Opportunity: Placeholder budget for future Fund Accounting projects - unutilized funds forecasted for potential utilization.
Driver: Unutilized placeholder funds.</t>
  </si>
  <si>
    <t>Light Green Font</t>
  </si>
  <si>
    <t>Light Green Fill, white font</t>
  </si>
  <si>
    <t>$50K Opportunity: FPC BoW 2026 - unutilized funds for new LIQ initiatives.
Driver: Unutilized funds for planned initiatives.</t>
  </si>
  <si>
    <t>Light Red Font</t>
  </si>
  <si>
    <t>Light Red Fill, white font</t>
  </si>
  <si>
    <t>$706K Opportunity: Markit BoW 2026 - unutilized funds for new initiatives planned in 2026. ($500K - Balance sheet reporting + $206K WSO)
Driver: Unutilized funds for planned initiatives.</t>
  </si>
  <si>
    <t>$100K Opportunity: FPC Coforge QA COE - unutilized funds for 2026 initiatives.
Driver: Unutilized funds for planned initiatives.</t>
  </si>
  <si>
    <t>On track. Placeholder budget tracking to plan.
Driver: Tracking to plan.</t>
  </si>
  <si>
    <t>$100K Opportunity: BoW 2026 - unutilized funds for new initiatives - PMO Governance &amp; Reporting
Driver: Unutilized funds for planned initiatives.</t>
  </si>
  <si>
    <t>$66K Risk: Unbudgeted 2026 laptops ($75K committed spend per Danny) partially offset by favorable variance on other hardware -$9k Budget $34k v/s Actual+FC $25K
Driver: Unbudgeted hardware purchases.</t>
  </si>
  <si>
    <t>$20K Risk: Unplanned and unbudgeted hardware purchases due to Chicago office expansion.
Driver: Unbudgeted spend.</t>
  </si>
  <si>
    <t>On track. Minor variance (&lt;$1K).
Driver: Tracking to plan.</t>
  </si>
  <si>
    <t>$15K Opportunity: Favorable variance - Budget $180K vs Net Position $165K.
Driver: Favorable budget vs actual variance.</t>
  </si>
  <si>
    <t>$1.7K Opportunity: Webex service cancelled in Dec'25 - Budget $1.7K, no 2026 spend expected.
Driver: Service cancellation generating savings.</t>
  </si>
  <si>
    <t>$14K Opportunity: Wireless costs tracking favorable to budget. Budget $421K v/s Actual + Forecast $407K
Driver: Favorable budget vs actual variance.</t>
  </si>
  <si>
    <t>$39K Opportunity: 1Rivet monthly run rate higher then planned due to May billing overlap on resource replacement $21K (Austin/Talha)
$19K L1/L2 support resources moved from Devang to Dan (Aakash/Anosh)
Driver: additional resources</t>
  </si>
  <si>
    <t xml:space="preserve"> $155K risk identified: Driven by unplanned resource usage in Q1. 1 running resource
Primary driver of risk: 5 unbudgeted resources supporting Prj000353 – L1/L2 CoE for Additional Platforms. (Eshaan Kaul , Akshath Ashok , Deepak Gupta , Vishal Pandita, Mayank Verma)
Driver: Unplanned staffing is contributing to an approximate $154K Q1 overage</t>
  </si>
  <si>
    <t>$1,830K Risk: IVP Management T&amp;M - $272K 4 resources (Rahul, Vaibhav, Josep, Vedang) vs 2 budgeted.
$1.56M unbudgeted H2 (Jul-Dec) extension. Forecast stepped up materially vs prior view.
Driver: Unbudgeted resources + H2 extension.</t>
  </si>
  <si>
    <t>$542K Risk: $606K IBP (Intellibus) Jul-Dec 2026 contract extension unbudgeted; 5 resources supporting the T&amp;M work. H2 forecast stepped up vs prior view per capacity planning.
$65K offset by saving on resources time off and holidays
Driver: Unbudgeted H2 extension.</t>
  </si>
  <si>
    <t>$57K Opportunity: Saving $96K on Piyush's exit offset by unbudgeted risk for Arif $38K
Driver: Favorable variance from resource allocation.</t>
  </si>
  <si>
    <t>$270K Opportunity: $90K saving on Nilesh's exit since June and $147K on Akram's exit since August.
$99K April &amp; May billing below budget due to resource movement from Devang to Dan L1/L2 support resource (Anosh, Akash, Keval, Jiten)
Driver: Favorable variance from resource allocation.</t>
  </si>
  <si>
    <t>$7K Opportunity: T&amp;M tracking  below budget due to resrouce time off and holidays. 1 running resoruce
Driver: Favorable budget vs actual variance.</t>
  </si>
  <si>
    <t>$305K Opportunity: $286K on Raymond's exit offsets risk of $247K in MS for QA contract restructuring.
$7K offset by new hire overlap with replacement in May (Anand/Vivek)  1 running resource
Driver: Unutilized funds + resource billing overlap.</t>
  </si>
  <si>
    <t xml:space="preserve">$71K Risk: $71K - Swati Yadav added from 1Rivet (unbudgeted replacement for Shanky Modi from Coforge 
Resource swap net impact: ($1k) +$71K Anderson/1Rivet offset with $72K for Coforge
Driver: Unbudgeted resource additions. </t>
  </si>
  <si>
    <t>$76K Opportunity: $72K - Shanky Modi exit savings (offset by $71K risk for Swati/Anderson)
$5K - actuals ($46K) below forecast ($51K), 1 running resource
Driver: Actual spend under budget.</t>
  </si>
  <si>
    <t>$5K Opportunity: Cognizant T&amp;M (4 resources) - YTD actuals tracking ~10% below forecast due to resource time off/holidays.
Driver: Resource time off/holiday driving favorable variance.</t>
  </si>
  <si>
    <t>$87K Risk: New L2 DBA resource starting Jul 1 to expand coverage (unbudgeted),  Budget $1,525K vs Net Position $1,611K.
Driver: Unbudgeted resource.</t>
  </si>
  <si>
    <t>$4K Opportunity: IVP L2 Tech MS tracking expected to be below budget.
Driver: Favorable budget vs actual variance.</t>
  </si>
  <si>
    <t>$73K Opportunity: Budget $190K vs Contract $180K. Revised contract at $5,950/mo (Previously $15K/mo) tracking favorable.
Driver: Contract favorable vs budget.</t>
  </si>
  <si>
    <t>$4K Opportunity: NewRocket ServiceNow MS - Budget $179K vs FC $174K tracking favorable.
Driver: Favorable budget vs actual variance.</t>
  </si>
  <si>
    <t>On track. Archetype Finance App Support - Budget $100K tracking to plan. Minor variance from additional April work invoiced in May.
Driver: Tracking to plan.</t>
  </si>
  <si>
    <t>$247K risk identified: QA Contract Restructure - 4 QA resources hired to replace Raymond Alfonso's T&amp;M exit $286K. 
Budget: $345K vs Revised QA Contract/FC: $592K
Driver: Unbudgeted resource additions.</t>
  </si>
  <si>
    <t>On track. IVP MS tracking to budget.
Driver: Tracking to plan.</t>
  </si>
  <si>
    <t>On track. BWise prepaid tracking to budget - minor $391 favorable variance.
Driver: Tracking to plan.</t>
  </si>
  <si>
    <t>$574 Risk: Minor actual over budget variance due to AUD currency fluctuation.
Driver: Currency variance.</t>
  </si>
  <si>
    <t>$2K Opportunity: Subscription costs tracking below budget.
Driver: Favorable budget vs actual variance.</t>
  </si>
  <si>
    <t>$400 Opportunity: Subscription tracking below budget.
Driver: Favorable budget vs actual variance.</t>
  </si>
  <si>
    <t>$15K Risk: New vendor cost not budgeted (Refinitiv data source requirement).
Driver: Unbudgeted new vendor.</t>
  </si>
  <si>
    <t>On track. Subscription tracking to budget - minor $495 variance.
Driver: Tracking to plan.</t>
  </si>
  <si>
    <t>$50K Opportunity: T&amp;E saving expected based on projected travel plan. YTD tracking under plan.
Driver: Budget buffer.</t>
  </si>
  <si>
    <t>$198K Risk: Amortisation expense relating to pre-2025 capitalised costs was missed from budget. We recommend offsetting this gap against a placeholder.
Driver: Amortization timing variance.</t>
  </si>
  <si>
    <t>$63K Opportunity: Alation prepaid - Budget $192K vs Actuals $171K ($22K savings) + $43K timing variance on prepaid recognition (Jan-Mar 2027).
Driver: Prepaid/timing variance.</t>
  </si>
  <si>
    <t>$5K Opportunity: UiPath license favorable - Budget $101K vs $96K actual.
Driver: Favorable license cost vs budget.</t>
  </si>
  <si>
    <t>$216K Opportunity: IVP software (EDM/Polaris/SecMaster) tracking below budget. Prepaid terms favorable. If renewed in November, opportunity will be utilised.
Driver: Favorable budget vs actual variance.</t>
  </si>
  <si>
    <t>$2K Risk: Salesforce - Budget $52K vs FC $54K. Minor overspend on licensing.
Driver: Minor budget variance.</t>
  </si>
  <si>
    <t>On track. Quest/Adobe/Erwin licenses tracking to budget.
Driver: Tracking to plan.</t>
  </si>
  <si>
    <t>On track. NCE M365 E5, Proofpoint, Syskit tracking to budget.
Driver: Tracking to plan.</t>
  </si>
  <si>
    <t>On track. Minor variance.
Driver: Tracking to plan.</t>
  </si>
  <si>
    <t>$325K Risk: Microsoft D365 F&amp;O/CRM - true-up costs higher than budgeted. Renewed 6/1/26 with anniversary date true-up.
Driver: True-up costs exceeding budget.</t>
  </si>
  <si>
    <t>$2K Opportunity: Monday.com favorable savings
Driver: Prepaid/timing variance.</t>
  </si>
  <si>
    <t>$73K Risk: Additional ServiceNow licenses ($101K) absorbed by IT - was to be charged to Cybersecurity per Danny's email, but IT now bears the cost.
Driver: Cost absorption from Cybersecurity budget.</t>
  </si>
  <si>
    <t>On track. No material spend expected.
Driver: Tracking to plan.</t>
  </si>
  <si>
    <t>$86K Risk: CPI increase + tax component not budgeted in original estimate.
Driver: CPI increase and tax not budgeted.</t>
  </si>
  <si>
    <t>$102K Risk: SOFR license not in initial budget - new requirement.
Driver: Unbudgeted new license requirement.</t>
  </si>
  <si>
    <t>$456K Risk: Sales tax + Jan 1-14 maintenance fees unbudgeted. Recurring license transition from Jan to subscription model (15-Jan-2026 to 14-Jan-2027).
Driver: Unbudgeted sales tax and maintenance fees.</t>
  </si>
  <si>
    <t>$41K Risk: Unbudgeted Solvexia Bank Reconciliation ImplementationFees
Driver: Unplanned cost</t>
  </si>
  <si>
    <t>$600 Opportunity: Minor favorable spend.
Driver: Favorable budget vs actual variance.</t>
  </si>
  <si>
    <t>$5K Risk: Recon costs slightly over budget - annual cost $101K vs $96K budget due to threshold overage.
Driver: Minor budget variance.</t>
  </si>
  <si>
    <t>On track. Minor variance (&lt;$500).
Driver: Tracking to plan.</t>
  </si>
  <si>
    <t>$118K Risk: WSO AUM 2025 overusage variance expected to be charged back to Operations. 
Driver: Overusage chargeback from prior year.</t>
  </si>
  <si>
    <t>$14K Opportunity: Budget vs actuals favorable (prepaid).
Driver: Favorable budget vs actual variance.</t>
  </si>
  <si>
    <t>$133K Risk: Contract $544K vs $411K POC budget. To be capitalized in Q2.
Driver: Contract exceeds POC budget.</t>
  </si>
  <si>
    <t>$6K Opportunity: Favorable contract saving.
Driver: Favorable budget vs actual variance.</t>
  </si>
  <si>
    <t>On track. Tracking to budget (prepaid).
Driver: Tracking to plan.</t>
  </si>
  <si>
    <t>$6K Opportunity: Minor favorable variance (prepaid).
Driver: Favorable budget vs actual variance.</t>
  </si>
  <si>
    <t>$6K Risk: Thinkcell renewal higher then budgeted 
Driver: Minor budget variance.</t>
  </si>
  <si>
    <t>$13K Risk: Unbudgeted Tax
Driver: Minor budget variance.</t>
  </si>
  <si>
    <t>$3K Opportunity: Actuals below budget.
Driver: Favorable budget vs actual variance.</t>
  </si>
  <si>
    <t xml:space="preserve">$122 Opportunity: YTD actual slightly under budget </t>
  </si>
  <si>
    <t>PH-TBC</t>
  </si>
  <si>
    <t>L2 SOW FPC, CHANGE</t>
  </si>
  <si>
    <t>T&amp;M- Implementing CoE for L1/L2 Platforms, new 2026 bow, offset with amortisation, CHANGE</t>
  </si>
  <si>
    <t>New 2026 BoW (Capitalizable), CHANGE</t>
  </si>
  <si>
    <t>New 2026 BoW, CHANGE</t>
  </si>
  <si>
    <t>Not part of original budget; risk added, category updated from software to hardware since laptop purchase, Unplanned expansion not budgeted by HR and Tech, CHANGE</t>
  </si>
  <si>
    <t>CHANGE</t>
  </si>
  <si>
    <t>80K - Network engineer consultant T&amp;M
, CHANGE</t>
  </si>
  <si>
    <t>T&amp;M- H2-2026 Risk unbudgeted extension, CHANGE</t>
  </si>
  <si>
    <t>Amortisation expense relating to pre-2025 capitalised costs was missed from budget. We recommend offsetting this gap against a placeholder., CHANGE</t>
  </si>
  <si>
    <t>$100K not to be utilised as per Leon's instructions, CHANGE</t>
  </si>
  <si>
    <t>Non-Comitted</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</si>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</sst>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3"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theme="9" tint="-0.249977111117893"/>
      <name val="Aptos Narrow"/>
      <family val="2"/>
      <scheme val="minor"/>
    </font>
    <font>
      <sz val="11"/>
      <color rgb="FFBE5014"/>
      <name val="Aptos Narrow"/>
      <family val="2"/>
      <scheme val="minor"/>
    </font>
    <font>
      <sz val="11"/>
      <color theme="5" tint="-0.249977111117893"/>
      <name val="Aptos Narrow"/>
      <family val="2"/>
      <scheme val="minor"/>
    </font>
    <font>
      <sz val="11"/>
      <color rgb="FF006400"/>
      <name val="Aptos Narrow"/>
      <family val="2"/>
      <scheme val="minor"/>
    </font>
    <font>
      <sz val="11"/>
      <color rgb="FF595959"/>
      <name val="Aptos Narrow"/>
      <family val="2"/>
      <scheme val="minor"/>
    </font>
    <font>
      <sz val="11"/>
      <color rgb="FF8B0000"/>
      <name val="Aptos Narrow"/>
      <family val="2"/>
      <scheme val="minor"/>
    </font>
    <font>
      <sz val="11"/>
      <color rgb="FFCC6600"/>
      <name val="Aptos Narrow"/>
      <family val="2"/>
      <scheme val="minor"/>
    </font>
    <font>
      <b/>
      <sz val="11"/>
      <color rgb="FFFF0000"/>
      <name val="Aptos Narrow"/>
      <family val="2"/>
      <scheme val="minor"/>
    </font>
  </fonts>
  <fills count="26">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
      <patternFill patternType="solid">
        <fgColor rgb="FFC6EFCE"/>
        <bgColor indexed="64"/>
      </patternFill>
    </fill>
    <fill>
      <patternFill patternType="solid">
        <fgColor rgb="FFD9D9D9"/>
        <bgColor indexed="64"/>
      </patternFill>
    </fill>
    <fill>
      <patternFill patternType="solid">
        <fgColor rgb="FFD6DCE4"/>
        <bgColor indexed="64"/>
      </patternFill>
    </fill>
    <fill>
      <patternFill patternType="solid">
        <fgColor rgb="FFFFC7CE"/>
        <bgColor indexed="64"/>
      </patternFill>
    </fill>
    <fill>
      <patternFill patternType="solid">
        <fgColor rgb="FFFFEB9C"/>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
      <left style="thin">
        <color auto="1"/>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style="thin">
        <color auto="1"/>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auto="1"/>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style="thin">
        <color auto="1"/>
      </right>
      <top style="thin">
        <color rgb="FFD9D9D9"/>
      </top>
      <bottom style="thin">
        <color auto="1"/>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194">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164" fontId="3" fillId="3" borderId="1" xfId="0" applyNumberFormat="1" applyFont="1" applyFill="1" applyBorder="1"/>
    <xf numFmtId="6" fontId="8" fillId="11" borderId="1" xfId="0" applyNumberFormat="1" applyFont="1" applyFill="1" applyBorder="1" applyAlignment="1">
      <alignment horizontal="center"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6" fontId="0" fillId="0" borderId="0" xfId="0" applyNumberFormat="1"/>
    <xf numFmtId="166" fontId="0" fillId="12" borderId="1" xfId="1" applyNumberFormat="1" applyFont="1" applyFill="1" applyBorder="1"/>
    <xf numFmtId="166" fontId="0" fillId="6" borderId="7" xfId="1" applyNumberFormat="1" applyFont="1" applyFill="1" applyBorder="1"/>
    <xf numFmtId="166" fontId="0" fillId="6" borderId="7" xfId="1" applyNumberFormat="1" applyFont="1" applyFill="1" applyBorder="1" applyAlignment="1">
      <alignment vertical="center"/>
    </xf>
    <xf numFmtId="166" fontId="0" fillId="6" borderId="4" xfId="1" applyNumberFormat="1" applyFont="1" applyFill="1" applyBorder="1" applyAlignment="1">
      <alignment wrapText="1"/>
    </xf>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44" fontId="0" fillId="0" borderId="0" xfId="0" applyNumberFormat="1"/>
    <xf numFmtId="167" fontId="0" fillId="0" borderId="0" xfId="0" applyNumberFormat="1"/>
    <xf numFmtId="0" fontId="11" fillId="2" borderId="0" xfId="0" applyFont="1" applyFill="1" applyAlignment="1">
      <alignment horizontal="left"/>
    </xf>
    <xf numFmtId="44" fontId="11" fillId="2" borderId="0" xfId="2" applyFont="1" applyFill="1"/>
    <xf numFmtId="44" fontId="12" fillId="2" borderId="0" xfId="2" applyFont="1" applyFill="1"/>
    <xf numFmtId="0" fontId="0" fillId="0" borderId="0" xfId="0" pivotButton="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16" fillId="0" borderId="0" xfId="0" applyFont="1" applyAlignment="1">
      <alignment horizontal="center" vertical="center" wrapText="1"/>
    </xf>
    <xf numFmtId="0" fontId="17"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7" fontId="0" fillId="0" borderId="0" xfId="2" applyNumberFormat="1" applyFont="1"/>
    <xf numFmtId="166"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166" fontId="0" fillId="0" borderId="0" xfId="0" applyNumberFormat="1" applyAlignment="1">
      <alignment vertical="center"/>
    </xf>
    <xf numFmtId="3" fontId="0" fillId="0" borderId="0" xfId="0" applyNumberFormat="1"/>
    <xf numFmtId="0" fontId="14" fillId="18" borderId="22" xfId="0" applyFont="1" applyFill="1" applyBorder="1" applyAlignment="1">
      <alignment horizontal="center" vertical="center"/>
    </xf>
    <xf numFmtId="0" fontId="14" fillId="18" borderId="23" xfId="0" applyFont="1" applyFill="1" applyBorder="1" applyAlignment="1">
      <alignment horizontal="center" vertical="center"/>
    </xf>
    <xf numFmtId="0" fontId="14" fillId="18" borderId="23" xfId="0" applyFont="1" applyFill="1" applyBorder="1" applyAlignment="1">
      <alignment horizontal="center" vertical="center" wrapText="1"/>
    </xf>
    <xf numFmtId="0" fontId="14" fillId="18" borderId="24" xfId="0" applyFont="1" applyFill="1" applyBorder="1" applyAlignment="1">
      <alignment horizontal="center" vertical="center" wrapText="1"/>
    </xf>
    <xf numFmtId="0" fontId="0" fillId="0" borderId="25" xfId="0" applyBorder="1"/>
    <xf numFmtId="0" fontId="0" fillId="0" borderId="26" xfId="0" applyBorder="1"/>
    <xf numFmtId="166" fontId="0" fillId="0" borderId="26" xfId="0" applyNumberFormat="1" applyBorder="1"/>
    <xf numFmtId="0" fontId="15" fillId="0" borderId="26" xfId="0" applyFont="1" applyBorder="1" applyAlignment="1">
      <alignment horizontal="center" vertical="center" wrapText="1"/>
    </xf>
    <xf numFmtId="0" fontId="18" fillId="21" borderId="27" xfId="0" applyFont="1" applyFill="1" applyBorder="1" applyAlignment="1">
      <alignment horizontal="center" vertical="center" wrapText="1"/>
    </xf>
    <xf numFmtId="0" fontId="18" fillId="0" borderId="26" xfId="0" applyFont="1" applyBorder="1" applyAlignment="1">
      <alignment horizontal="center" vertical="center" wrapText="1"/>
    </xf>
    <xf numFmtId="0" fontId="3" fillId="0" borderId="25" xfId="0" applyFont="1" applyBorder="1"/>
    <xf numFmtId="0" fontId="3" fillId="0" borderId="26" xfId="0" applyFont="1" applyBorder="1"/>
    <xf numFmtId="166" fontId="3" fillId="0" borderId="26" xfId="0" applyNumberFormat="1" applyFont="1" applyBorder="1"/>
    <xf numFmtId="0" fontId="3" fillId="0" borderId="26" xfId="0" applyFont="1" applyBorder="1" applyAlignment="1">
      <alignment horizontal="center" vertical="center" wrapText="1"/>
    </xf>
    <xf numFmtId="0" fontId="3" fillId="0" borderId="27" xfId="0" applyFont="1" applyBorder="1" applyAlignment="1">
      <alignment horizontal="center" vertical="center" wrapText="1"/>
    </xf>
    <xf numFmtId="0" fontId="19" fillId="0" borderId="26" xfId="0" applyFont="1" applyBorder="1" applyAlignment="1">
      <alignment horizontal="center" vertical="center" wrapText="1"/>
    </xf>
    <xf numFmtId="0" fontId="19" fillId="22" borderId="27" xfId="0" applyFont="1" applyFill="1" applyBorder="1" applyAlignment="1">
      <alignment horizontal="center" vertical="center" wrapText="1"/>
    </xf>
    <xf numFmtId="0" fontId="3" fillId="23" borderId="25" xfId="0" applyFont="1" applyFill="1" applyBorder="1"/>
    <xf numFmtId="0" fontId="3" fillId="23" borderId="26" xfId="0" applyFont="1" applyFill="1" applyBorder="1"/>
    <xf numFmtId="166" fontId="3" fillId="23" borderId="26" xfId="0" applyNumberFormat="1" applyFont="1" applyFill="1" applyBorder="1"/>
    <xf numFmtId="0" fontId="20" fillId="0" borderId="26" xfId="0" applyFont="1" applyBorder="1" applyAlignment="1">
      <alignment horizontal="center" vertical="center" wrapText="1"/>
    </xf>
    <xf numFmtId="0" fontId="20" fillId="24" borderId="27" xfId="0" applyFont="1" applyFill="1" applyBorder="1" applyAlignment="1">
      <alignment horizontal="center" vertical="center" wrapText="1"/>
    </xf>
    <xf numFmtId="0" fontId="21" fillId="25" borderId="27" xfId="0" applyFont="1" applyFill="1" applyBorder="1" applyAlignment="1">
      <alignment horizontal="center" vertical="center" wrapText="1"/>
    </xf>
    <xf numFmtId="0" fontId="21" fillId="0" borderId="26" xfId="0" applyFont="1" applyBorder="1" applyAlignment="1">
      <alignment horizontal="center" vertical="center" wrapText="1"/>
    </xf>
    <xf numFmtId="0" fontId="3" fillId="23" borderId="28" xfId="0" applyFont="1" applyFill="1" applyBorder="1"/>
    <xf numFmtId="0" fontId="3" fillId="23" borderId="29" xfId="0" applyFont="1" applyFill="1" applyBorder="1"/>
    <xf numFmtId="166" fontId="3" fillId="23" borderId="29" xfId="0" applyNumberFormat="1" applyFont="1" applyFill="1" applyBorder="1"/>
    <xf numFmtId="0" fontId="3" fillId="0" borderId="29" xfId="0" applyFont="1" applyBorder="1" applyAlignment="1">
      <alignment horizontal="center" vertical="center" wrapText="1"/>
    </xf>
    <xf numFmtId="0" fontId="3" fillId="0" borderId="30" xfId="0" applyFont="1" applyBorder="1" applyAlignment="1">
      <alignment horizontal="center" vertical="center" wrapText="1"/>
    </xf>
    <xf numFmtId="166" fontId="13" fillId="0" borderId="0" xfId="0" applyNumberFormat="1" applyFont="1"/>
    <xf numFmtId="0" fontId="22" fillId="0" borderId="0" xfId="0" applyFont="1"/>
    <xf numFmtId="166" fontId="0" fillId="12" borderId="4" xfId="1" applyNumberFormat="1" applyFont="1" applyFill="1" applyBorder="1"/>
    <xf numFmtId="0" fontId="9" fillId="0" borderId="0" xfId="0" applyFont="1" applyAlignment="1">
      <alignment horizontal="left" vertical="center" wrapText="1"/>
    </xf>
    <xf numFmtId="0" fontId="13" fillId="17" borderId="0" xfId="0" applyFont="1" applyFill="1" applyAlignment="1">
      <alignment horizontal="center" vertical="center"/>
    </xf>
    <xf numFmtId="43" fontId="13" fillId="17" borderId="0" xfId="1" applyFont="1" applyFill="1" applyAlignment="1">
      <alignment horizontal="center" vertical="center"/>
    </xf>
    <xf numFmtId="44" fontId="13" fillId="13" borderId="17" xfId="2" applyFont="1" applyFill="1" applyBorder="1" applyAlignment="1">
      <alignment horizontal="center" vertical="center"/>
    </xf>
    <xf numFmtId="44" fontId="13" fillId="13" borderId="18" xfId="2" applyFont="1" applyFill="1" applyBorder="1" applyAlignment="1">
      <alignment horizontal="center" vertical="center"/>
    </xf>
    <xf numFmtId="44" fontId="13" fillId="13" borderId="19" xfId="2" applyFont="1" applyFill="1" applyBorder="1" applyAlignment="1">
      <alignment horizontal="center" vertical="center"/>
    </xf>
    <xf numFmtId="0" fontId="13" fillId="13" borderId="9" xfId="0" applyFont="1" applyFill="1" applyBorder="1" applyAlignment="1">
      <alignment horizontal="center" vertical="center" wrapText="1"/>
    </xf>
    <xf numFmtId="0" fontId="13" fillId="13" borderId="10" xfId="0" applyFont="1" applyFill="1" applyBorder="1" applyAlignment="1">
      <alignment horizontal="center" vertical="center" wrapText="1"/>
    </xf>
    <xf numFmtId="0" fontId="13" fillId="13" borderId="11" xfId="0" applyFont="1" applyFill="1" applyBorder="1" applyAlignment="1">
      <alignment horizontal="center" vertical="center" wrapText="1"/>
    </xf>
    <xf numFmtId="0" fontId="13" fillId="13" borderId="12" xfId="0" applyFont="1" applyFill="1" applyBorder="1" applyAlignment="1">
      <alignment horizontal="center" vertical="center" wrapText="1"/>
    </xf>
    <xf numFmtId="0" fontId="13" fillId="13" borderId="0" xfId="0" applyFont="1" applyFill="1" applyAlignment="1">
      <alignment horizontal="center" vertical="center" wrapText="1"/>
    </xf>
    <xf numFmtId="0" fontId="13" fillId="13" borderId="13" xfId="0" applyFont="1" applyFill="1" applyBorder="1" applyAlignment="1">
      <alignment horizontal="center" vertical="center" wrapText="1"/>
    </xf>
    <xf numFmtId="0" fontId="13" fillId="13" borderId="14" xfId="0" applyFont="1" applyFill="1" applyBorder="1" applyAlignment="1">
      <alignment horizontal="center" vertical="center" wrapText="1"/>
    </xf>
    <xf numFmtId="0" fontId="13" fillId="13" borderId="15" xfId="0" applyFont="1" applyFill="1" applyBorder="1" applyAlignment="1">
      <alignment horizontal="center" vertical="center" wrapText="1"/>
    </xf>
    <xf numFmtId="0" fontId="13" fillId="13" borderId="16" xfId="0" applyFont="1" applyFill="1" applyBorder="1" applyAlignment="1">
      <alignment horizontal="center" vertical="center" wrapText="1"/>
    </xf>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183">
    <dxf>
      <numFmt numFmtId="164" formatCode="_(* #,##0_);_(* \(#,##0\);_(* &quot;-&quot;??_);_(@_)"/>
    </dxf>
    <dxf>
      <numFmt numFmtId="167" formatCode="_(&quot;$&quot;* #,##0_);_(&quot;$&quot;* \(#,##0\);_(&quot;$&quot;* &quot;-&quot;??_);_(@_)"/>
    </dxf>
    <dxf>
      <numFmt numFmtId="166" formatCode="&quot;$&quot;#,##0"/>
    </dxf>
    <dxf>
      <alignment horizont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4" formatCode="_(* #,##0_);_(* \(#,##0\);_(* &quot;-&quot;??_);_(@_)"/>
    </dxf>
    <dxf>
      <numFmt numFmtId="167" formatCode="_(&quot;$&quot;* #,##0_);_(&quot;$&quot;* \(#,##0\);_(&quot;$&quot;* &quot;-&quot;??_);_(@_)"/>
    </dxf>
    <dxf>
      <numFmt numFmtId="166" formatCode="&quot;$&quot;#,##0"/>
    </dxf>
    <dxf>
      <alignment horizont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4" formatCode="_(* #,##0_);_(* \(#,##0\);_(* &quot;-&quot;??_);_(@_)"/>
    </dxf>
    <dxf>
      <numFmt numFmtId="167" formatCode="_(&quot;$&quot;* #,##0_);_(&quot;$&quot;* \(#,##0\);_(&quot;$&quot;* &quot;-&quot;??_);_(@_)"/>
    </dxf>
    <dxf>
      <numFmt numFmtId="166" formatCode="&quot;$&quot;#,##0"/>
    </dxf>
    <dxf>
      <alignment horizont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4" formatCode="_(* #,##0_);_(* \(#,##0\);_(* &quot;-&quot;??_);_(@_)"/>
    </dxf>
    <dxf>
      <numFmt numFmtId="167" formatCode="_(&quot;$&quot;* #,##0_);_(&quot;$&quot;* \(#,##0\);_(&quot;$&quot;* &quot;-&quot;??_);_(@_)"/>
    </dxf>
    <dxf>
      <numFmt numFmtId="166" formatCode="&quot;$&quot;#,##0"/>
    </dxf>
    <dxf>
      <alignment horizont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4" formatCode="_(* #,##0_);_(* \(#,##0\);_(* &quot;-&quot;??_);_(@_)"/>
    </dxf>
    <dxf>
      <numFmt numFmtId="167" formatCode="_(&quot;$&quot;* #,##0_);_(&quot;$&quot;* \(#,##0\);_(&quot;$&quot;* &quot;-&quot;??_);_(@_)"/>
    </dxf>
    <dxf>
      <numFmt numFmtId="166" formatCode="&quot;$&quot;#,##0"/>
    </dxf>
    <dxf>
      <alignment horizontal="center"/>
    </dxf>
    <dxf>
      <font>
        <b/>
        <i val="0"/>
        <color theme="0"/>
      </font>
      <fill>
        <patternFill>
          <bgColor rgb="FFFF0000"/>
        </patternFill>
      </fill>
    </dxf>
    <dxf>
      <font>
        <b/>
        <i val="0"/>
        <color theme="0"/>
      </font>
      <fill>
        <patternFill>
          <bgColor rgb="FFFF0000"/>
        </patternFill>
      </fill>
    </dxf>
    <dxf>
      <font>
        <b/>
        <i val="0"/>
        <color rgb="FFFFFFFF"/>
      </font>
      <fill>
        <patternFill patternType="solid">
          <fgColor indexed="64"/>
          <bgColor rgb="FFFF6347"/>
        </patternFill>
      </fill>
    </dxf>
    <dxf>
      <font>
        <b/>
        <i val="0"/>
        <color rgb="FFFFFFFF"/>
      </font>
      <fill>
        <patternFill patternType="solid">
          <fgColor indexed="64"/>
          <bgColor rgb="FF32CD32"/>
        </patternFill>
      </fill>
    </dxf>
    <dxf>
      <font>
        <b/>
        <i val="0"/>
        <color rgb="FFFFFFFF"/>
      </font>
      <fill>
        <patternFill patternType="solid">
          <fgColor indexed="64"/>
          <bgColor rgb="FFDC143C"/>
        </patternFill>
      </fill>
    </dxf>
    <dxf>
      <font>
        <b/>
        <i val="0"/>
        <color rgb="FFFFFFFF"/>
      </font>
      <fill>
        <patternFill patternType="solid">
          <fgColor indexed="64"/>
          <bgColor rgb="FF228B22"/>
        </patternFill>
      </fill>
    </dxf>
    <dxf>
      <font>
        <color rgb="FFCD5C5C"/>
      </font>
    </dxf>
    <dxf>
      <font>
        <color rgb="FF228B22"/>
      </font>
    </dxf>
    <dxf>
      <font>
        <b/>
        <i val="0"/>
        <color rgb="FFB22222"/>
      </font>
    </dxf>
    <dxf>
      <font>
        <b/>
        <i val="0"/>
        <color rgb="FF006400"/>
      </font>
    </dxf>
    <dxf>
      <numFmt numFmtId="164" formatCode="_(* #,##0_);_(* \(#,##0\);_(* &quot;-&quot;??_);_(@_)"/>
    </dxf>
    <dxf>
      <numFmt numFmtId="167" formatCode="_(&quot;$&quot;* #,##0_);_(&quot;$&quot;* \(#,##0\);_(&quot;$&quot;* &quot;-&quot;??_);_(@_)"/>
    </dxf>
    <dxf>
      <alignment vertical="center"/>
    </dxf>
    <dxf>
      <alignment vertical="center"/>
    </dxf>
    <dxf>
      <alignment vertical="center"/>
    </dxf>
    <dxf>
      <alignment horizontal="center"/>
    </dxf>
    <dxf>
      <alignment horizontal="center"/>
    </dxf>
    <dxf>
      <alignment horizontal="center"/>
    </dxf>
    <dxf>
      <alignment wrapText="1"/>
    </dxf>
    <dxf>
      <numFmt numFmtId="34" formatCode="_(&quot;$&quot;* #,##0.00_);_(&quot;$&quot;* \(#,##0.00\);_(&quot;$&quot;* &quot;-&quot;??_);_(@_)"/>
    </dxf>
    <dxf>
      <alignment horizontal="center"/>
    </dxf>
    <dxf>
      <numFmt numFmtId="166" formatCode="&quot;$&quot;#,##0"/>
    </dxf>
    <dxf>
      <numFmt numFmtId="166" formatCode="&quot;$&quot;#,##0"/>
    </dxf>
    <dxf>
      <numFmt numFmtId="166" formatCode="&quot;$&quot;#,##0"/>
    </dxf>
    <dxf>
      <numFmt numFmtId="166" formatCode="&quot;$&quot;#,##0"/>
    </dxf>
    <dxf>
      <numFmt numFmtId="166" formatCode="&quot;$&quot;#,##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pivotCacheDefinition" Target="pivotCache/pivotCacheDefinition1.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pivotCacheDefinition" Target="pivotCache/pivotCacheDefinition2.xml"/><Relationship Id="rId95" Type="http://schemas.openxmlformats.org/officeDocument/2006/relationships/customXml" Target="../customXml/item1.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externalLink" Target="externalLinks/externalLink82.xml"/><Relationship Id="rId91" Type="http://schemas.openxmlformats.org/officeDocument/2006/relationships/theme" Target="theme/theme1.xml"/><Relationship Id="rId9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94" Type="http://schemas.openxmlformats.org/officeDocument/2006/relationships/calcChain" Target="calcChain.xml"/><Relationship Id="rId99"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97" Type="http://schemas.openxmlformats.org/officeDocument/2006/relationships/customXml" Target="../customXml/item3.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92" Type="http://schemas.openxmlformats.org/officeDocument/2006/relationships/styles" Target="styles.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externalLink" Target="externalLinks/externalLink8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 Id="rId14" Type="http://schemas.openxmlformats.org/officeDocument/2006/relationships/externalLink" Target="externalLinks/externalLink8.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56" Type="http://schemas.openxmlformats.org/officeDocument/2006/relationships/externalLink" Target="externalLinks/externalLink50.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93" Type="http://schemas.openxmlformats.org/officeDocument/2006/relationships/sharedStrings" Target="sharedStrings.xml"/><Relationship Id="rId98" Type="http://schemas.openxmlformats.org/officeDocument/2006/relationships/customXml" Target="../customXml/item4.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Documents%20and%20Settings/Alex.Popov/Local%20Settings/Temporary%20Internet%20Files/OLK47/GDrive/Catalog%20Ventures/Serengeti/SGHOUSESEG.XLS" TargetMode="External"/><Relationship Id="rId1" Type="http://schemas.openxmlformats.org/officeDocument/2006/relationships/externalLinkPath" Target="/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Moody's%20Model%204y-%2025Nov%20syw%20v2.xlsb" TargetMode="External"/><Relationship Id="rId1" Type="http://schemas.openxmlformats.org/officeDocument/2006/relationships/externalLinkPath" Target="/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Excel/Files/METALS/KAISER/Kaiser.XLS" TargetMode="External"/><Relationship Id="rId1" Type="http://schemas.openxmlformats.org/officeDocument/2006/relationships/externalLinkPath" Target="/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GSF/2015/SG&amp;A/03.%20Planning/BP2/Current%20Model/2015%20Planning%20Model%20-%20Sponsor%20Sale.xlsm" TargetMode="External"/><Relationship Id="rId1" Type="http://schemas.openxmlformats.org/officeDocument/2006/relationships/externalLinkPath" Target="/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CDO/CDO%20-%20Houston/Deals%20E-L/GE-%20Arena%20Asset%20Co/Reports/2016/02.03.2016%20-%20Monthly%20Report/Arena%20Assetco%20-%20Non%20CDI%20Waterfall_02.03.2016.xlsm" TargetMode="External"/><Relationship Id="rId1" Type="http://schemas.openxmlformats.org/officeDocument/2006/relationships/externalLinkPath" Target="/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CLO%20Models/Auction%20Rate%20Preferred/Advance%20Rates%20-%202005-05-06.xls" TargetMode="External"/><Relationship Id="rId1" Type="http://schemas.openxmlformats.org/officeDocument/2006/relationships/externalLinkPath" Target="/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CLO%20Models/Money%20Market/2000%20Money%20Market%20Trades/Chase%20Bank%20MM%20Ticket%2004-03-00.xls" TargetMode="External"/><Relationship Id="rId1" Type="http://schemas.openxmlformats.org/officeDocument/2006/relationships/externalLinkPath" Target="/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v2%20Fitch%20Model%20-27%20Nov%20(4.0yrs)%20syw.xlsb" TargetMode="External"/><Relationship Id="rId1" Type="http://schemas.openxmlformats.org/officeDocument/2006/relationships/externalLinkPath" Target="/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personal/paul_barta_antares_com/Documents/Close/2017/Q1/Debt/03-31-17/JBN0000353%2083A%20AssetCo%20ACCRUAL%20Mar_17%20WATERFALL.XLSM" TargetMode="External"/><Relationship Id="rId1" Type="http://schemas.openxmlformats.org/officeDocument/2006/relationships/externalLinkPath" Target="/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Research/ETerrill/CLO%20project/Carlson%20CLO_Indicative%20Model%20Portfolio_2013%20August%20v9.xlsx" TargetMode="External"/><Relationship Id="rId1" Type="http://schemas.openxmlformats.org/officeDocument/2006/relationships/externalLinkPath" Target="/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Users/mrombom/AppData/Local/Temp/orion/KPMG%20Workpapers_Antares%20Draft%20PPA%20Model_162062437.xlsx" TargetMode="External"/><Relationship Id="rId1" Type="http://schemas.openxmlformats.org/officeDocument/2006/relationships/externalLinkPath" Target="/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2" Type="http://schemas.openxmlformats.org/officeDocument/2006/relationships/externalLinkPath" Target="../../../../../../../Users/hekaixi/AppData/Local/Microsoft/Windows/Temporary%20Internet%20Files/Content.Outlook/NPOBFAEY/Great%20Lakes%202016-1%20-%20Investor%20Model%20-%2017Oct%20(Lorelei).xlsm" TargetMode="External"/><Relationship Id="rId1" Type="http://schemas.openxmlformats.org/officeDocument/2006/relationships/externalLinkPath" Target="/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3" Type="http://schemas.openxmlformats.org/officeDocument/2006/relationships/externalLinkPath" Target="../../../../../../../Users/edmond.auyoung/Antares%20Capital%20LP/Finance%20-%20Valuation%20Team/VC%20Materials%20and%20Outputs/2020/2020-01-29%20-%20VC%20-%204Q19%20Reporting/Val%20Model%206.50%20-%202020-01-29%204Q19%20AM%20Reporting%20(Sent%202020-01-29%202230).xlsm" TargetMode="External"/><Relationship Id="rId2" Type="http://schemas.microsoft.com/office/2019/04/relationships/externalLinkLongPath" Target="/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2" Type="http://schemas.openxmlformats.org/officeDocument/2006/relationships/externalLinkPath" Target="../../../../../../../123Share/ACCT/FUND3/Fin%202001/Capitalized%20interest.xls" TargetMode="External"/><Relationship Id="rId1" Type="http://schemas.openxmlformats.org/officeDocument/2006/relationships/externalLinkPath" Target="/123Share/ACCT/FUND3/Fin%202001/Capitalized%20interest.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Genesis%20Arcadia/Quarterly%20Close%20and%20Financial%20Workpapers/Genesis%20Capital%20Master%20Fund,%20LLC/2Q/June/6%2030%202013%20Genesis%20Workpapers.xlsx" TargetMode="External"/><Relationship Id="rId1" Type="http://schemas.openxmlformats.org/officeDocument/2006/relationships/externalLinkPath" Target="/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2" Type="http://schemas.openxmlformats.org/officeDocument/2006/relationships/externalLinkPath" Target="../../../../../../../GSF/2015/SG&amp;A/03.%20Planning/BP2/Review%20Tool/2015%20Planning%20Review%20Tool%20-%20Template%20Sale.xlsm" TargetMode="External"/><Relationship Id="rId1" Type="http://schemas.openxmlformats.org/officeDocument/2006/relationships/externalLinkPath" Target="/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2" Type="http://schemas.openxmlformats.org/officeDocument/2006/relationships/externalLinkPath" Target="../../../../../../../RICData12/Global%20Finance/monthrec/Bank%20Product%20Controllers%20Group/Specialty%20Finance/CRA/2015/03.%20March/CRA%20Calculations_Template-Mar15.xlsm" TargetMode="External"/><Relationship Id="rId1" Type="http://schemas.openxmlformats.org/officeDocument/2006/relationships/externalLinkPath" Target="/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2" Type="http://schemas.openxmlformats.org/officeDocument/2006/relationships/externalLinkPath" Target="../../../../../../../ARC/SSB_Models/ARCmodel22_15_withlag_$30.xls" TargetMode="External"/><Relationship Id="rId1" Type="http://schemas.openxmlformats.org/officeDocument/2006/relationships/externalLinkPath" Target="/ARC/SSB_Models/ARCmodel22_15_withlag_$30.xls" TargetMode="External"/></Relationships>
</file>

<file path=xl/externalLinks/_rels/externalLink50.xml.rels><?xml version="1.0" encoding="UTF-8" standalone="yes"?>
<Relationships xmlns="http://schemas.openxmlformats.org/package/2006/relationships"><Relationship Id="rId2" Type="http://schemas.openxmlformats.org/officeDocument/2006/relationships/externalLinkPath" Target="../../../../../../../My%20Documents/My%20Documents/F-MOD-BLD1.XLS" TargetMode="External"/><Relationship Id="rId1" Type="http://schemas.openxmlformats.org/officeDocument/2006/relationships/externalLinkPath" Target="/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2" Type="http://schemas.openxmlformats.org/officeDocument/2006/relationships/externalLinkPath" Target="../../../../../../../PeterP/Structured%20Credit/Cash%20Tranches/FLTIR111/FLTIR111%20v20%2020120305.xls" TargetMode="External"/><Relationship Id="rId1" Type="http://schemas.openxmlformats.org/officeDocument/2006/relationships/externalLinkPath" Target="/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CDO/CDO%20-%20Houston/Deals%20E-L/GE-%20Arena%20Asset%20Co/Official%20Documents/Reporting/2017/06.2017/06.05/Arena%20Assetco%20-%20Non%20CDI%20Waterfall_06.05.17.xlsm" TargetMode="External"/><Relationship Id="rId1" Type="http://schemas.openxmlformats.org/officeDocument/2006/relationships/externalLinkPath" Target="/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2" Type="http://schemas.openxmlformats.org/officeDocument/2006/relationships/externalLinkPath" Target="../../../../../../../123Share/ACCT/FUND3/2002%20Financial%20Statements/4th%20Quarter%202002/1202PROJ.xls" TargetMode="External"/><Relationship Id="rId1" Type="http://schemas.openxmlformats.org/officeDocument/2006/relationships/externalLinkPath" Target="/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CLO/Collateral%20Management/OZLM14/CLO14%20Universe%20Summary%20Working%20Copy%20v2.xlsx" TargetMode="External"/><Relationship Id="rId1" Type="http://schemas.openxmlformats.org/officeDocument/2006/relationships/externalLinkPath" Target="/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Users/jmeccia/AppData/Local/Capital%20IQ/Office%20Plug-in/Templates/Plug-In%20Tools/Capital%20IQ%20Identifier%20Convertor.xls" TargetMode="External"/><Relationship Id="rId1" Type="http://schemas.openxmlformats.org/officeDocument/2006/relationships/externalLinkPath" Target="/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2" Type="http://schemas.openxmlformats.org/officeDocument/2006/relationships/externalLinkPath" Target="../../../../../../finance/Shared%20Documents/Funds%20-%20SMAs/Unitranche%20Fund/Funds%20flow/AUF%20Funds%20Flow_3_1_18_FINAL.xlsx" TargetMode="External"/><Relationship Id="rId1" Type="http://schemas.openxmlformats.org/officeDocument/2006/relationships/externalLinkPath" Target="/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2" Type="http://schemas.openxmlformats.org/officeDocument/2006/relationships/externalLinkPath" Target="../../../../../../../Users/epease/AppData/Local/Microsoft/Windows/Temporary%20Internet%20Files/Content.Outlook/O3K0A3G3/Antares%20Capital%20-%20Opening%20BS_Summary.xls" TargetMode="External"/><Relationship Id="rId1" Type="http://schemas.openxmlformats.org/officeDocument/2006/relationships/externalLinkPath" Target="/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2" Type="http://schemas.openxmlformats.org/officeDocument/2006/relationships/externalLinkPath" Target="../../../../../../../Users/703100585/440999167updated%20balances.xls" TargetMode="External"/><Relationship Id="rId1" Type="http://schemas.openxmlformats.org/officeDocument/2006/relationships/externalLinkPath" Target="/Users/703100585/440999167updated%20balances.xls"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Users/ppolanskyj/AppData/Local/Temp/Temp2_OZLM%20CLO%202012-1,%20LTD._20120508_004-xls.zip/OZLM%20CLO%202012-1,%20LTD._20120508_004.xls" TargetMode="External"/><Relationship Id="rId1" Type="http://schemas.openxmlformats.org/officeDocument/2006/relationships/externalLinkPath" Target="/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2" Type="http://schemas.openxmlformats.org/officeDocument/2006/relationships/externalLinkPath" Target="../../../../../../../DOCUME~1/rohaami/LOCALS~1/Temp/Fitch%20IR%20Stresses.xlsm" TargetMode="External"/><Relationship Id="rId1" Type="http://schemas.openxmlformats.org/officeDocument/2006/relationships/externalLinkPath" Target="/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row r="5">
          <cell r="B5">
            <v>35993</v>
          </cell>
        </row>
      </sheetData>
      <sheetData sheetId="108">
        <row r="5">
          <cell r="B5">
            <v>35993</v>
          </cell>
        </row>
      </sheetData>
      <sheetData sheetId="109">
        <row r="5">
          <cell r="B5">
            <v>35993</v>
          </cell>
        </row>
      </sheetData>
      <sheetData sheetId="110"/>
      <sheetData sheetId="11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sheetData sheetId="214"/>
      <sheetData sheetId="215"/>
      <sheetData sheetId="216" refreshError="1"/>
      <sheetData sheetId="217" refreshError="1"/>
      <sheetData sheetId="218" refreshError="1"/>
      <sheetData sheetId="219" refreshError="1"/>
      <sheetData sheetId="220"/>
      <sheetData sheetId="221"/>
      <sheetData sheetId="222" refreshError="1"/>
      <sheetData sheetId="223" refreshError="1"/>
      <sheetData sheetId="224" refreshError="1"/>
      <sheetData sheetId="225" refreshError="1"/>
      <sheetData sheetId="226" refreshError="1"/>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3"/>
    </xxl21:alternateUrls>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203.972414467593" createdVersion="8" refreshedVersion="8" minRefreshableVersion="3" recordCount="149" xr:uid="{14834CBE-76E0-4F7D-A076-F066E6A489B9}">
  <cacheSource type="worksheet">
    <worksheetSource name="Financials20263"/>
  </cacheSource>
  <cacheFields count="74">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ount="34">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haredItems>
    </cacheField>
    <cacheField name="Project Name" numFmtId="0">
      <sharedItems/>
    </cacheField>
    <cacheField name="Domain" numFmtId="0">
      <sharedItems containsBlank="1"/>
    </cacheField>
    <cacheField name="Domain Owner" numFmtId="0">
      <sharedItems count="7">
        <s v="Danny Borkowski"/>
        <s v="Melissa Tumminia"/>
        <s v="Devang Shah"/>
        <s v="John Spencer"/>
        <s v="Erik Wynkoop"/>
        <s v="Dan Royer"/>
        <s v="N/A"/>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unt="8">
        <s v="Software"/>
        <s v="OOE"/>
        <s v="MS"/>
        <s v="Infrastructure"/>
        <s v="Labor/ T&amp;M"/>
        <s v="FPC"/>
        <s v="Capitalization"/>
        <s v="Hardware"/>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ontainsBlank="1"/>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7499999.5600000005"/>
    </cacheField>
    <cacheField name="2026 Opportunity" numFmtId="166">
      <sharedItems containsSemiMixedTypes="0" containsString="0" containsNumber="1" minValue="-500000"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500000"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97431"/>
    </cacheField>
    <cacheField name="Jun-Dec FC" numFmtId="166">
      <sharedItems containsSemiMixedTypes="0" containsString="0" containsNumber="1" minValue="-2333333.333333333" maxValue="4372431"/>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633397.85"/>
    </cacheField>
    <cacheField name="Jun AC" numFmtId="166">
      <sharedItems containsString="0" containsBlank="1" containsNumber="1" minValue="-333333.33333333331" maxValue="333776.63"/>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31824"/>
    </cacheField>
    <cacheField name="May Opp./Risk" numFmtId="166">
      <sharedItems containsSemiMixedTypes="0" containsString="0" containsNumber="1" minValue="-88000" maxValue="50309.000000000015"/>
    </cacheField>
    <cacheField name="Jun Opp./Risk" numFmtId="166">
      <sharedItems containsSemiMixedTypes="0" containsString="0" containsNumber="1" minValue="-624426.15" maxValue="7764.78"/>
    </cacheField>
    <cacheField name="Jul Opp./Risk" numFmtId="166">
      <sharedItems containsSemiMixedTypes="0" containsString="0" containsNumber="1" minValue="-625000" maxValue="1.3333333336049691E-2"/>
    </cacheField>
    <cacheField name="Aug Opp./Risk" numFmtId="166">
      <sharedItems containsSemiMixedTypes="0" containsString="0" containsNumber="1" minValue="-625000" maxValue="1.3333333336049691E-2"/>
    </cacheField>
    <cacheField name="Sep Opp./Risk" numFmtId="166">
      <sharedItems containsSemiMixedTypes="0" containsString="0" containsNumber="1" minValue="-625000" maxValue="1.3333333336049691E-2"/>
    </cacheField>
    <cacheField name="Oct Opp./Risk" numFmtId="166">
      <sharedItems containsSemiMixedTypes="0" containsString="0" containsNumber="1" minValue="-625000" maxValue="1.3333333336049691E-2"/>
    </cacheField>
    <cacheField name="Nov Opp./Risk" numFmtId="166">
      <sharedItems containsSemiMixedTypes="0" containsString="0" containsNumber="1" minValue="-625000" maxValue="1.3333333336049691E-2"/>
    </cacheField>
    <cacheField name="Dec Opp./Risk" numFmtId="166">
      <sharedItems containsSemiMixedTypes="0" containsString="0" containsNumber="1" minValue="-725503" maxValue="1.3333333336049691E-2"/>
    </cacheField>
    <cacheField name="Total Opp./Risk" numFmtId="166">
      <sharedItems containsSemiMixedTypes="0" containsString="0" containsNumber="1" minValue="-4369288.59" maxValue="68155.81"/>
    </cacheField>
    <cacheField name="Notes - Swati" numFmtId="0">
      <sharedItems containsBlank="1" longText="1"/>
    </cacheField>
    <cacheField name="Jan-May Actuals" numFmtId="166">
      <sharedItems containsSemiMixedTypes="0" containsString="0" containsNumber="1" minValue="-1666666.6666666665" maxValue="3127568.56"/>
    </cacheField>
    <cacheField name="Jan-May Forecast " numFmtId="166">
      <sharedItems containsSemiMixedTypes="0" containsString="0" containsNumber="1" minValue="0" maxValue="232868.65"/>
    </cacheField>
    <cacheField name="Forecast Jun-Dec" numFmtId="166">
      <sharedItems containsSemiMixedTypes="0" containsString="0" containsNumber="1" minValue="-2333333.333333333" maxValue="4372431"/>
    </cacheField>
    <cacheField name="Forecast Jan-May" numFmtId="166">
      <sharedItems containsSemiMixedTypes="0" containsString="0" containsNumber="1" minValue="-1666666.6666666665" maxValue="3125000"/>
    </cacheField>
    <cacheField name="Actual+Forecast" numFmtId="166">
      <sharedItems containsSemiMixedTypes="0" containsString="0" containsNumber="1" minValue="-3999999.9999999995" maxValue="7499999.5600000005"/>
    </cacheField>
    <cacheField name="Non-Comitted" numFmtId="166">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x v="0"/>
    <s v="Microsoft Corporation"/>
    <s v="Microsoft D365 F&amp;O and CRM"/>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50416.66666666666"/>
    <n v="0"/>
    <n v="220976"/>
    <n v="150416.66666666666"/>
    <n v="371392.66666666663"/>
    <m/>
  </r>
  <r>
    <x v="0"/>
    <s v="Microsoft Corporation"/>
    <s v="Microsoft D365 F&amp;O and CRM"/>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74583.333333333328"/>
    <n v="0"/>
    <n v="199340.40000000002"/>
    <n v="74583.333333333328"/>
    <n v="273923.73333333334"/>
    <m/>
  </r>
  <r>
    <x v="1"/>
    <s v="T&amp;E - Refer to Concur"/>
    <m/>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229670.84999999998"/>
    <n v="-29778.150000000023"/>
    <n v="0"/>
    <n v="-29778.150000000023"/>
    <s v="$100K not to be utilised as per Leon's instructions, CHANGE"/>
    <n v="11185.549999999997"/>
    <n v="7399.97"/>
    <n v="16129.190000000002"/>
    <n v="25262"/>
    <n v="23681.14"/>
    <m/>
    <m/>
    <m/>
    <m/>
    <m/>
    <m/>
    <n v="146013"/>
    <n v="229670.85"/>
    <n v="146013"/>
    <n v="11185.549999999997"/>
    <n v="7399.97"/>
    <n v="16129.190000000002"/>
    <n v="25262"/>
    <n v="23681.14"/>
    <m/>
    <m/>
    <m/>
    <m/>
    <m/>
    <m/>
    <m/>
    <n v="83657.850000000006"/>
    <n v="0"/>
    <n v="0"/>
    <n v="0"/>
    <n v="0"/>
    <n v="0"/>
    <n v="0"/>
    <n v="0"/>
    <n v="0"/>
    <n v="0"/>
    <n v="0"/>
    <n v="0"/>
    <n v="-146013"/>
    <n v="-146013"/>
    <s v="Concur project reimbursement cost can't be predicted, hence buffer kept in Dec"/>
    <n v="83657.850000000006"/>
    <n v="0"/>
    <n v="146013"/>
    <n v="83657.850000000006"/>
    <n v="229670.85"/>
    <m/>
  </r>
  <r>
    <x v="0"/>
    <s v="Archetype Consulting, Inc."/>
    <m/>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00"/>
    <n v="0"/>
    <n v="0"/>
    <n v="0"/>
    <s v="check for contract copy"/>
    <n v="7600"/>
    <n v="7600"/>
    <n v="7600"/>
    <n v="7600"/>
    <n v="7600"/>
    <n v="7600"/>
    <n v="7600"/>
    <n v="7600"/>
    <n v="7600"/>
    <n v="7600"/>
    <n v="7600"/>
    <n v="7585"/>
    <n v="91185"/>
    <n v="53185"/>
    <n v="7600"/>
    <n v="7600"/>
    <n v="8675"/>
    <n v="7600"/>
    <n v="15340"/>
    <n v="7600"/>
    <m/>
    <m/>
    <m/>
    <m/>
    <m/>
    <m/>
    <n v="54415"/>
    <n v="0"/>
    <n v="0"/>
    <n v="1075"/>
    <n v="0"/>
    <n v="7740"/>
    <n v="0"/>
    <n v="-7600"/>
    <n v="-7600"/>
    <n v="-7600"/>
    <n v="-7600"/>
    <n v="-7600"/>
    <n v="-7585"/>
    <n v="-36770"/>
    <s v="Budget v/s Actuals, additional work for April'26 invoiced in May"/>
    <n v="46815"/>
    <n v="0"/>
    <n v="53185"/>
    <n v="38000"/>
    <n v="100000"/>
    <m/>
  </r>
  <r>
    <x v="0"/>
    <s v="VPMA Global Services LLC"/>
    <s v="Control M"/>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n v="0"/>
    <n v="39512"/>
    <n v="0"/>
    <n v="39512"/>
    <m/>
  </r>
  <r>
    <x v="0"/>
    <s v="G Treasury SS, LLC"/>
    <m/>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n v="0"/>
    <n v="14700"/>
    <n v="0"/>
    <n v="14700"/>
    <m/>
  </r>
  <r>
    <x v="0"/>
    <s v="G Treasury SS, LLC"/>
    <m/>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9900"/>
    <n v="0"/>
    <n v="31350"/>
    <n v="9900"/>
    <n v="41250"/>
    <m/>
  </r>
  <r>
    <x v="0"/>
    <s v="SuperTrader, Inc."/>
    <s v="LevPro"/>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42000"/>
    <n v="0"/>
    <n v="0"/>
    <n v="0"/>
    <s v="For LevPro Support work"/>
    <n v="3500"/>
    <n v="3500"/>
    <n v="3500"/>
    <n v="3500"/>
    <n v="3500"/>
    <n v="3500"/>
    <n v="3500"/>
    <n v="3500"/>
    <n v="3500"/>
    <n v="3500"/>
    <n v="3500"/>
    <n v="7000"/>
    <n v="45500"/>
    <n v="28000"/>
    <n v="1000"/>
    <n v="2500"/>
    <m/>
    <m/>
    <m/>
    <m/>
    <m/>
    <m/>
    <m/>
    <m/>
    <m/>
    <m/>
    <n v="3500"/>
    <n v="-2500"/>
    <n v="-1000"/>
    <n v="-3500"/>
    <n v="-3500"/>
    <n v="-3500"/>
    <n v="-3500"/>
    <n v="-3500"/>
    <n v="-3500"/>
    <n v="-3500"/>
    <n v="-3500"/>
    <n v="-3500"/>
    <n v="-7000"/>
    <n v="-42000"/>
    <s v="This cost is not fixed and will be fluctuating per month,"/>
    <n v="3500"/>
    <n v="10500"/>
    <n v="38500"/>
    <n v="17500"/>
    <n v="42000"/>
    <m/>
  </r>
  <r>
    <x v="0"/>
    <s v="CDW DIRECT LLC"/>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55025.7"/>
    <n v="0"/>
    <n v="110075"/>
    <n v="75000"/>
    <n v="165100.70000000001"/>
    <m/>
  </r>
  <r>
    <x v="0"/>
    <s v="COGENT COMMUNICATIONS, INC"/>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5103.55"/>
    <n v="0"/>
    <n v="20599"/>
    <n v="14715"/>
    <n v="35702.550000000003"/>
    <m/>
  </r>
  <r>
    <x v="0"/>
    <s v="LEVEL 3 COMMUNICATIONS"/>
    <s v="Lumen"/>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10096.52"/>
    <n v="0"/>
    <n v="14839.416666666664"/>
    <n v="10599.583333333332"/>
    <n v="24935.936666666665"/>
    <m/>
  </r>
  <r>
    <x v="0"/>
    <s v="Bell Mobility Inc."/>
    <m/>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n v="715.75"/>
    <n v="2863"/>
    <n v="715.75"/>
    <n v="2863"/>
    <m/>
  </r>
  <r>
    <x v="0"/>
    <s v="Zoom Video Communications, Inc."/>
    <m/>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n v="0"/>
    <n v="15750"/>
    <n v="0"/>
    <n v="15750"/>
    <m/>
  </r>
  <r>
    <x v="2"/>
    <s v="Other"/>
    <m/>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n v="0"/>
    <n v="52500"/>
    <n v="0"/>
    <n v="52500"/>
    <m/>
  </r>
  <r>
    <x v="0"/>
    <s v="Bloomberg Finance L.P."/>
    <m/>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5443.74"/>
    <n v="0"/>
    <n v="7621.3200000000006"/>
    <n v="5443.8"/>
    <n v="13065.060000000001"/>
    <m/>
  </r>
  <r>
    <x v="0"/>
    <s v="PitchBook Data, Inc."/>
    <m/>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n v="0"/>
    <n v="12200"/>
    <n v="0"/>
    <n v="12200"/>
    <m/>
  </r>
  <r>
    <x v="1"/>
    <s v="City of Chicago"/>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n v="0"/>
    <n v="236250"/>
    <n v="0"/>
    <n v="236250"/>
    <m/>
  </r>
  <r>
    <x v="1"/>
    <s v="New York State Department of Taxation and Finance"/>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n v="0"/>
    <n v="141750"/>
    <n v="0"/>
    <n v="141750"/>
    <m/>
  </r>
  <r>
    <x v="1"/>
    <s v="Nterone Corporation"/>
    <s v="Nterone"/>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n v="0"/>
    <n v="17099"/>
    <n v="0"/>
    <n v="17099"/>
    <m/>
  </r>
  <r>
    <x v="0"/>
    <s v="Coforge DPA NA Inc."/>
    <m/>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454747"/>
    <n v="1443640"/>
    <n v="-11107"/>
    <n v="0"/>
    <n v="-11107"/>
    <s v="L2 SOW FPC, CHANGE"/>
    <n v="113296"/>
    <n v="113296"/>
    <n v="113296"/>
    <n v="116743"/>
    <n v="120956"/>
    <n v="120190"/>
    <n v="120190"/>
    <n v="127356"/>
    <n v="127356"/>
    <n v="127356"/>
    <n v="127356"/>
    <n v="127356"/>
    <n v="1454747"/>
    <n v="877160"/>
    <n v="113296"/>
    <n v="113296"/>
    <n v="113296"/>
    <n v="113296"/>
    <n v="113296"/>
    <m/>
    <m/>
    <m/>
    <m/>
    <m/>
    <m/>
    <m/>
    <n v="566480"/>
    <n v="0"/>
    <n v="0"/>
    <n v="0"/>
    <n v="-3447"/>
    <n v="-7660"/>
    <n v="-120190"/>
    <n v="-120190"/>
    <n v="-127356"/>
    <n v="-127356"/>
    <n v="-127356"/>
    <n v="-127356"/>
    <n v="-127356"/>
    <n v="-888267"/>
    <s v="L2 DBA resource starting July 1 to expand coverage"/>
    <n v="566480"/>
    <n v="0"/>
    <n v="877160"/>
    <n v="577587"/>
    <n v="1443640"/>
    <m/>
  </r>
  <r>
    <x v="0"/>
    <s v="Cognizant Worldwide Limited"/>
    <m/>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85892"/>
    <n v="0"/>
    <n v="127680"/>
    <n v="91200"/>
    <n v="213572"/>
    <m/>
  </r>
  <r>
    <x v="0"/>
    <s v="Andersen Tax Holdings"/>
    <s v="1Rivet"/>
    <x v="8"/>
    <s v="T&amp;M"/>
    <s v=""/>
    <x v="5"/>
    <d v="2026-01-01T00:00:00"/>
    <d v="2026-12-31T00:00:00"/>
    <m/>
    <s v="T&amp;M-T&amp;M"/>
    <s v="Labor"/>
    <x v="4"/>
    <s v="RTB- T&amp;M"/>
    <s v="T&amp;M"/>
    <s v="Outsourced"/>
    <s v="Run the Business Contractors and Outsource Services"/>
    <s v="RTB Expenses - Contractor"/>
    <s v="Monthly Expensed"/>
    <n v="3007993"/>
    <n v="1580266.3960475361"/>
    <n v="1438080"/>
    <n v="1477609"/>
    <n v="0"/>
    <n v="39529"/>
    <n v="39529"/>
    <s v="Support SOW + Desktop Support- T&amp;M, QA is not part of our budget"/>
    <n v="119840"/>
    <n v="119840"/>
    <n v="119840"/>
    <n v="119840"/>
    <n v="119840"/>
    <n v="119840"/>
    <n v="119840"/>
    <n v="119840"/>
    <n v="119840"/>
    <n v="119840"/>
    <n v="119840"/>
    <n v="119840"/>
    <n v="1438080"/>
    <n v="838880"/>
    <n v="115160"/>
    <n v="107611"/>
    <n v="124972"/>
    <n v="151664"/>
    <n v="139322"/>
    <m/>
    <m/>
    <m/>
    <m/>
    <m/>
    <m/>
    <m/>
    <n v="638729"/>
    <n v="-4680"/>
    <n v="-12229"/>
    <n v="5132"/>
    <n v="31824"/>
    <n v="19482"/>
    <n v="-119840"/>
    <n v="-119840"/>
    <n v="-119840"/>
    <n v="-119840"/>
    <n v="-119840"/>
    <n v="-119840"/>
    <n v="-119840"/>
    <n v="-799351"/>
    <s v="Budget v/s Actuals, allocations are based on capacity planning forecast"/>
    <n v="638729"/>
    <n v="0"/>
    <n v="838880"/>
    <n v="599200"/>
    <n v="1477609"/>
    <m/>
  </r>
  <r>
    <x v="0"/>
    <s v="Andersen Tax Holdings"/>
    <s v="1Rivet"/>
    <x v="8"/>
    <s v="T&amp;M"/>
    <s v=""/>
    <x v="0"/>
    <d v="2026-01-01T00:00:00"/>
    <d v="2026-12-31T00:00:00"/>
    <m/>
    <s v="T&amp;M-T&amp;M"/>
    <s v="Labor"/>
    <x v="4"/>
    <s v="RTB- T&amp;M"/>
    <s v="T&amp;M"/>
    <s v="Outsourced"/>
    <s v="Run the Business Contractors and Outsource Services"/>
    <s v="RTB Expenses - Contractor"/>
    <s v="Monthly Expensed"/>
    <n v="3007993"/>
    <n v="424425.54146080924"/>
    <n v="414080"/>
    <n v="317902"/>
    <n v="-96178"/>
    <n v="0"/>
    <n v="-96178"/>
    <s v="Support SOW + Desktop Support- T&amp;M, QA is not part of our budget"/>
    <n v="38560"/>
    <n v="38560"/>
    <n v="38560"/>
    <n v="38560"/>
    <n v="38560"/>
    <n v="22720"/>
    <n v="22720"/>
    <n v="22720"/>
    <n v="22720"/>
    <n v="22720"/>
    <n v="22720"/>
    <n v="22720"/>
    <n v="351840"/>
    <n v="159040"/>
    <n v="30336"/>
    <n v="27266"/>
    <n v="38936"/>
    <n v="37124"/>
    <n v="25200"/>
    <m/>
    <m/>
    <m/>
    <m/>
    <m/>
    <m/>
    <m/>
    <n v="158862"/>
    <n v="-8224"/>
    <n v="-11294"/>
    <n v="376"/>
    <n v="-1436"/>
    <n v="-13360"/>
    <n v="-22720"/>
    <n v="-22720"/>
    <n v="-22720"/>
    <n v="-22720"/>
    <n v="-22720"/>
    <n v="-22720"/>
    <n v="-22720"/>
    <n v="-192978"/>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158862"/>
    <n v="0"/>
    <n v="159040"/>
    <n v="192800"/>
    <n v="317902"/>
    <m/>
  </r>
  <r>
    <x v="0"/>
    <s v="Andersen Tax Holdings"/>
    <s v="1Rivet"/>
    <x v="8"/>
    <s v="T&amp;M"/>
    <s v=""/>
    <x v="2"/>
    <d v="2026-01-01T00:00:00"/>
    <d v="2026-12-31T00:00:00"/>
    <m/>
    <s v="T&amp;M-T&amp;M"/>
    <s v="Labor"/>
    <x v="4"/>
    <s v="RTB- T&amp;M"/>
    <s v="T&amp;M"/>
    <s v="Outsourced"/>
    <s v="Run the Business Contractors and Outsource Services"/>
    <s v="RTB Expenses - Contractor"/>
    <s v="Monthly Expensed"/>
    <n v="3007993"/>
    <n v="1527639.5780478038"/>
    <n v="1505280"/>
    <n v="1168776"/>
    <n v="-336504"/>
    <n v="0"/>
    <n v="-336504"/>
    <s v="Support SOW + Desktop Support- T&amp;M, QA is not part of our budget"/>
    <n v="125440"/>
    <n v="125440"/>
    <n v="125440"/>
    <n v="125440"/>
    <n v="125440"/>
    <n v="104440"/>
    <n v="104440"/>
    <n v="86520"/>
    <n v="86520"/>
    <n v="86520"/>
    <n v="86520"/>
    <n v="86520"/>
    <n v="1268680"/>
    <n v="641480"/>
    <n v="108864"/>
    <n v="104184"/>
    <n v="129488"/>
    <n v="93120"/>
    <n v="91640"/>
    <m/>
    <m/>
    <m/>
    <m/>
    <m/>
    <m/>
    <m/>
    <n v="527296"/>
    <n v="-16576"/>
    <n v="-21256"/>
    <n v="4048"/>
    <n v="-32320"/>
    <n v="-33800"/>
    <n v="-104440"/>
    <n v="-104440"/>
    <n v="-86520"/>
    <n v="-86520"/>
    <n v="-86520"/>
    <n v="-86520"/>
    <n v="-86520"/>
    <n v="-741384"/>
    <s v="Budget v/s Actuals, saving of $21K/m on Nilesh's exit, Akram's exit saving from Aug $112"/>
    <n v="527296"/>
    <n v="0"/>
    <n v="641480"/>
    <n v="627200"/>
    <n v="1168776"/>
    <m/>
  </r>
  <r>
    <x v="0"/>
    <s v="Andersen Tax Holdings"/>
    <s v="1Rivet"/>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n v="26752"/>
    <n v="21888"/>
    <m/>
    <m/>
    <m/>
    <m/>
    <m/>
    <m/>
    <m/>
    <n v="124032"/>
    <n v="0"/>
    <n v="0"/>
    <n v="2432"/>
    <n v="2432"/>
    <n v="-2432"/>
    <n v="-24320"/>
    <n v="-24320"/>
    <n v="-24320"/>
    <n v="-24320"/>
    <n v="-24320"/>
    <n v="-24320"/>
    <n v="-24320"/>
    <n v="-167808"/>
    <s v="Budget v/s Actuals, allocations are based on capacity planning forecast"/>
    <n v="124032"/>
    <n v="0"/>
    <n v="170240"/>
    <n v="121600"/>
    <n v="294272"/>
    <m/>
  </r>
  <r>
    <x v="0"/>
    <s v="Virteva LLC"/>
    <s v="Crossfuze"/>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75000"/>
    <n v="0"/>
    <n v="41650"/>
    <n v="75000"/>
    <n v="116650"/>
    <m/>
  </r>
  <r>
    <x v="0"/>
    <s v="Coforge DPA NA Inc."/>
    <m/>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n v="54750"/>
    <n v="438000"/>
    <n v="208750"/>
    <n v="592000"/>
    <m/>
  </r>
  <r>
    <x v="0"/>
    <s v="Coforge DPA NA Inc."/>
    <m/>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323563.92"/>
    <n v="0"/>
    <n v="235200"/>
    <n v="168000"/>
    <n v="558763.91999999993"/>
    <m/>
  </r>
  <r>
    <x v="0"/>
    <s v="Coforge DPA NA Inc."/>
    <m/>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97650"/>
    <n v="0"/>
    <n v="147000"/>
    <n v="105000"/>
    <n v="244650"/>
    <m/>
  </r>
  <r>
    <x v="0"/>
    <s v="Coforge DPA NA Inc."/>
    <m/>
    <x v="8"/>
    <s v="T&amp;M"/>
    <s v=""/>
    <x v="4"/>
    <d v="2026-01-01T00:00:00"/>
    <d v="2026-12-31T00:00:00"/>
    <m/>
    <s v="T&amp;M-T&amp;M"/>
    <s v="Labor"/>
    <x v="4"/>
    <s v="RTB- T&amp;M"/>
    <s v="T&amp;M"/>
    <s v="Outsourced"/>
    <s v="Run the Business Contractors and Outsource Services"/>
    <s v="RTB Expenses - Contractor"/>
    <s v="Monthly Expensed"/>
    <n v="1019762.75"/>
    <n v="539054.33290978405"/>
    <n v="600000"/>
    <n v="321040"/>
    <n v="-278960"/>
    <n v="0"/>
    <n v="-2789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26400"/>
    <n v="26400"/>
    <n v="32640"/>
    <m/>
    <m/>
    <m/>
    <m/>
    <m/>
    <m/>
    <m/>
    <n v="153040"/>
    <n v="-5200"/>
    <n v="-1200"/>
    <n v="2400"/>
    <n v="2400"/>
    <n v="8640"/>
    <n v="-24000"/>
    <n v="-24000"/>
    <n v="-24000"/>
    <n v="-24000"/>
    <n v="-24000"/>
    <n v="-24000"/>
    <n v="-24000"/>
    <n v="-160960"/>
    <s v="Raymonds exit gave 26k T&amp;M oppurtunity since Feb but QA resources were hired at same cost, QA book work reallocation from L1/L2 support per new QA contract that superseded original."/>
    <n v="153040"/>
    <n v="0"/>
    <n v="168000"/>
    <n v="146000"/>
    <n v="321040"/>
    <m/>
  </r>
  <r>
    <x v="0"/>
    <s v="Coforge DPA NA Inc."/>
    <m/>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6096"/>
    <n v="0"/>
    <n v="38080"/>
    <n v="51200"/>
    <n v="84176"/>
    <m/>
  </r>
  <r>
    <x v="0"/>
    <s v="Coforge DPA NA Inc."/>
    <m/>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WSO"/>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n v="15360"/>
    <n v="230400"/>
    <n v="15360"/>
    <n v="230400"/>
    <m/>
  </r>
  <r>
    <x v="0"/>
    <s v="Broadridge Output  Solutions"/>
    <m/>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091543.6399999999"/>
    <n v="-0.29249999998137355"/>
    <n v="0"/>
    <n v="-0.29249999998137355"/>
    <s v="Quarterly Prepaid, Manor park license fees unbudgeted"/>
    <n v="117486.73333333334"/>
    <n v="92793.753333333341"/>
    <n v="117939.75333333334"/>
    <n v="149042.80666666667"/>
    <n v="98639.296666666676"/>
    <n v="98639.296666666676"/>
    <n v="208501"/>
    <m/>
    <m/>
    <n v="158192"/>
    <m/>
    <m/>
    <n v="1041234.64"/>
    <n v="465332.29666666669"/>
    <n v="117486.73333333334"/>
    <n v="92793.753333333341"/>
    <n v="117939.75333333334"/>
    <n v="149042.80666666667"/>
    <n v="148948.29666666669"/>
    <n v="98639.296666666676"/>
    <m/>
    <m/>
    <m/>
    <m/>
    <m/>
    <m/>
    <n v="724850.64000000013"/>
    <n v="0"/>
    <n v="0"/>
    <n v="0"/>
    <n v="0"/>
    <n v="50309.000000000015"/>
    <n v="0"/>
    <n v="-208501"/>
    <n v="0"/>
    <n v="0"/>
    <n v="-158192"/>
    <n v="0"/>
    <n v="0"/>
    <n v="-316384"/>
    <s v="Budget v/s Actuals, ends this year will be renewed next year for half the cost of this year"/>
    <n v="626211.3433333335"/>
    <n v="0"/>
    <n v="465332.29666666669"/>
    <n v="575902.34333333338"/>
    <n v="1091543.6400000001"/>
    <m/>
  </r>
  <r>
    <x v="0"/>
    <s v="Finastra Technology, Inc"/>
    <s v="LIQ"/>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737038.96"/>
    <n v="0"/>
    <n v="2336436.4099999997"/>
    <n v="1668883.15"/>
    <n v="4073475.3699999996"/>
    <m/>
  </r>
  <r>
    <x v="0"/>
    <s v="Indus Valley Partners Corporation"/>
    <s v="IVP"/>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428592.45"/>
    <n v="0"/>
    <n v="406817.45"/>
    <n v="428592.45"/>
    <n v="835409.9"/>
    <m/>
  </r>
  <r>
    <x v="0"/>
    <s v="Indus Valley Partners Corporation"/>
    <s v="IVP"/>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83333.333333333343"/>
    <n v="0"/>
    <n v="116666.66666666669"/>
    <n v="83333.333333333343"/>
    <n v="200000.00000000003"/>
    <m/>
  </r>
  <r>
    <x v="0"/>
    <s v="Indus Valley Partners Corporation"/>
    <s v="IVP"/>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41666.666666666672"/>
    <n v="0"/>
    <n v="58333.333333333343"/>
    <n v="41666.666666666672"/>
    <n v="100000.00000000001"/>
    <m/>
  </r>
  <r>
    <x v="0"/>
    <s v="Workday, Inc."/>
    <m/>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108702.6"/>
    <n v="0"/>
    <n v="331968.40000000002"/>
    <n v="108702.6"/>
    <n v="440671"/>
    <m/>
  </r>
  <r>
    <x v="0"/>
    <s v="Microsoft Corporation"/>
    <m/>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4628.4799999999996"/>
    <n v="0"/>
    <n v="10371"/>
    <n v="7684"/>
    <n v="14999.48"/>
    <m/>
  </r>
  <r>
    <x v="0"/>
    <s v="Microsoft Corporation"/>
    <m/>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7499999.5600000005"/>
    <n v="-0.43999999947845936"/>
    <n v="0"/>
    <n v="-0.43999999947845936"/>
    <s v="3 YR $16MM Commitment;_x000a_Potential Incremental spend for Project Evolution-MS Cloud"/>
    <n v="625000"/>
    <n v="625000"/>
    <n v="625000"/>
    <n v="625000"/>
    <n v="625000"/>
    <n v="625000"/>
    <n v="625000"/>
    <n v="625000"/>
    <n v="625000"/>
    <n v="625000"/>
    <n v="625000"/>
    <n v="622431"/>
    <n v="7497431"/>
    <n v="4372431"/>
    <n v="660370.4"/>
    <n v="603859.57000000007"/>
    <n v="627545.69000000006"/>
    <n v="602395.04999999993"/>
    <n v="633397.85"/>
    <n v="573.85"/>
    <m/>
    <m/>
    <m/>
    <m/>
    <m/>
    <m/>
    <n v="3128142.41"/>
    <n v="35370.400000000023"/>
    <n v="-21140.429999999935"/>
    <n v="2545.6900000000605"/>
    <n v="-22604.95000000007"/>
    <n v="8397.8499999999767"/>
    <n v="-624426.15"/>
    <n v="-625000"/>
    <n v="-625000"/>
    <n v="-625000"/>
    <n v="-625000"/>
    <n v="-625000"/>
    <n v="-622431"/>
    <n v="-4369288.59"/>
    <s v="Fluctuation per month, Risk adjusted in Dec"/>
    <n v="3127568.56"/>
    <n v="0"/>
    <n v="4372431"/>
    <n v="3125000"/>
    <n v="7499999.5600000005"/>
    <m/>
  </r>
  <r>
    <x v="0"/>
    <s v="BWise Internal Control Inc."/>
    <s v="SAI360"/>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40500"/>
    <n v="0"/>
    <n v="58725"/>
    <n v="40500"/>
    <n v="99225"/>
    <m/>
  </r>
  <r>
    <x v="0"/>
    <s v="CDW DIRECT LLC"/>
    <s v="CDW (b)"/>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4204.4000000000005"/>
    <n v="7245.8102500000095"/>
    <n v="82745.482000000018"/>
    <n v="24260.070750000006"/>
    <n v="86949.882000000012"/>
    <m/>
  </r>
  <r>
    <x v="0"/>
    <s v="CDW DIRECT LLC"/>
    <s v="CDW (b)"/>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2274.37"/>
    <n v="0"/>
    <n v="60726"/>
    <n v="2274.37"/>
    <n v="63000.37"/>
    <m/>
  </r>
  <r>
    <x v="0"/>
    <s v="CDW DIRECT LLC"/>
    <s v="CDW Microsoft (a)"/>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n v="0"/>
    <n v="33096.819000000003"/>
    <n v="0"/>
    <n v="33096.819000000003"/>
    <m/>
  </r>
  <r>
    <x v="0"/>
    <s v="CDW DIRECT LLC"/>
    <s v="CDW Microsoft (a)"/>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n v="0"/>
    <n v="62225.03"/>
    <n v="1100.47"/>
    <n v="63325.5"/>
    <m/>
  </r>
  <r>
    <x v="0"/>
    <s v="Cloud Navigators LLC"/>
    <s v="Cloud Navigator"/>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4800"/>
    <n v="0"/>
    <n v="5280"/>
    <n v="4800"/>
    <n v="10080"/>
    <m/>
  </r>
  <r>
    <x v="0"/>
    <s v="FinDox Inc."/>
    <s v="FinDox is now Octus"/>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n v="232868.65"/>
    <n v="232868.65"/>
    <n v="232868.65"/>
    <n v="232868.65"/>
    <m/>
  </r>
  <r>
    <x v="0"/>
    <s v="HSO Enterprise Solutions LLC"/>
    <s v="AKA Enterprises"/>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n v="0"/>
    <n v="0"/>
    <n v="12600"/>
    <n v="12000"/>
    <m/>
  </r>
  <r>
    <x v="0"/>
    <s v="Incloud, LLC"/>
    <s v="Ontra"/>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n v="0"/>
    <n v="90000"/>
    <n v="0"/>
    <n v="90000"/>
    <m/>
  </r>
  <r>
    <x v="0"/>
    <s v="Indus Valley Partners Corporation"/>
    <s v="IVP"/>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101291"/>
    <n v="0"/>
    <n v="0"/>
    <n v="96543"/>
    <n v="101291"/>
    <m/>
  </r>
  <r>
    <x v="0"/>
    <s v="Indus Valley Partners Corporation"/>
    <s v="IVP"/>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n v="14460"/>
    <n v="14460"/>
    <n v="14460"/>
    <n v="14460"/>
    <m/>
  </r>
  <r>
    <x v="0"/>
    <s v="Indus Valley Partners Corporation"/>
    <s v="IVP"/>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n v="0"/>
    <n v="59783.0625"/>
    <n v="0"/>
    <n v="59783.0625"/>
    <m/>
  </r>
  <r>
    <x v="0"/>
    <s v="Inogic Tech India Private Limited"/>
    <s v="Maplytics"/>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n v="0"/>
    <n v="0"/>
    <n v="1260"/>
    <n v="1260"/>
    <m/>
  </r>
  <r>
    <x v="0"/>
    <s v="Lucid Software, Inc."/>
    <s v="Lucid Software"/>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n v="0"/>
    <n v="1726"/>
    <n v="0"/>
    <n v="1726"/>
    <m/>
  </r>
  <r>
    <x v="0"/>
    <s v="Lucid Software, Inc."/>
    <s v="Lucid Software"/>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n v="26065"/>
    <n v="26065"/>
    <n v="26065"/>
    <n v="26065"/>
    <m/>
  </r>
  <r>
    <x v="0"/>
    <s v="Macabacus, Inc."/>
    <s v="Macabacus"/>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n v="0"/>
    <n v="0"/>
    <n v="1362"/>
    <n v="1719.9"/>
    <m/>
  </r>
  <r>
    <x v="0"/>
    <s v="Macabacus, Inc."/>
    <s v="Macabacus"/>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n v="0"/>
    <n v="0"/>
    <n v="1389"/>
    <n v="1472.85"/>
    <m/>
  </r>
  <r>
    <x v="0"/>
    <s v="Microsoft Corporation"/>
    <s v="TBD could be CDW Microsoft (a)"/>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791827.08333333326"/>
    <n v="0"/>
    <n v="1282093.6333333333"/>
    <n v="791827.08333333326"/>
    <n v="2073920.7166666666"/>
    <m/>
  </r>
  <r>
    <x v="0"/>
    <s v="Monday.com Ltd"/>
    <s v="Monday.com"/>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Unbudgeted tax"/>
    <n v="124541.66666666666"/>
    <n v="0"/>
    <n v="181125"/>
    <n v="124541.66666666666"/>
    <n v="305666.66666666663"/>
    <m/>
  </r>
  <r>
    <x v="0"/>
    <s v="NewRocket, LLC"/>
    <s v="ServiceNow Liac"/>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209854.97916666663"/>
    <n v="0"/>
    <n v="251825.97499999995"/>
    <n v="209854.97916666663"/>
    <n v="461680.9541666666"/>
    <m/>
  </r>
  <r>
    <x v="0"/>
    <s v="NewRocket, LLC"/>
    <s v="ServiceNow Liac"/>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n v="34875"/>
    <n v="34875"/>
    <n v="34875"/>
    <n v="34875"/>
    <m/>
  </r>
  <r>
    <x v="0"/>
    <s v="NewRocket, LLC"/>
    <s v="ServiceNow Liac"/>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57087.964500000002"/>
    <n v="0"/>
    <n v="0"/>
    <n v="0"/>
    <s v="Strategic Portfolio Management (SPM) Pro, paid in Dec2025, to be renewed in Dec2026-Strategic Portfolio Management (SPM) Pro, paid in Dec2025, to be renewed in Dec2026"/>
    <m/>
    <m/>
    <m/>
    <m/>
    <m/>
    <m/>
    <m/>
    <m/>
    <m/>
    <m/>
    <m/>
    <n v="57087.964500000002"/>
    <n v="57087.964500000002"/>
    <n v="57087.964500000002"/>
    <m/>
    <m/>
    <m/>
    <m/>
    <m/>
    <m/>
    <m/>
    <m/>
    <m/>
    <m/>
    <m/>
    <m/>
    <n v="0"/>
    <n v="0"/>
    <n v="0"/>
    <n v="0"/>
    <n v="0"/>
    <n v="0"/>
    <n v="0"/>
    <n v="0"/>
    <n v="0"/>
    <n v="0"/>
    <n v="0"/>
    <n v="0"/>
    <n v="-57087.964500000002"/>
    <n v="-57087.964500000002"/>
    <s v="Budget v/s Actuals"/>
    <n v="0"/>
    <n v="0"/>
    <n v="57087.964500000002"/>
    <n v="0"/>
    <n v="57087.964500000002"/>
    <m/>
  </r>
  <r>
    <x v="0"/>
    <s v="Oracle America, Inc."/>
    <s v="Oracle"/>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n v="0"/>
    <n v="8436"/>
    <n v="0"/>
    <n v="8436"/>
    <m/>
  </r>
  <r>
    <x v="0"/>
    <s v="RFPIO INC. (Responsive)"/>
    <s v="Responsive"/>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n v="0"/>
    <n v="0"/>
    <n v="72888.816000000006"/>
    <n v="69417.919999999998"/>
    <m/>
  </r>
  <r>
    <x v="0"/>
    <s v="SALESFORCE COM INC"/>
    <s v="Salesforce"/>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n v="0"/>
    <n v="0"/>
    <n v="44460.15"/>
    <n v="46713"/>
    <m/>
  </r>
  <r>
    <x v="0"/>
    <s v="Siemens Industry Software, Inc."/>
    <s v="Mendix"/>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n v="0"/>
    <n v="36498"/>
    <n v="2808"/>
    <n v="39306"/>
    <m/>
  </r>
  <r>
    <x v="0"/>
    <s v="SS&amp;C GIDS, Inc."/>
    <s v="Wealth Distribution Tool (Vendor TBD)"/>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72843.75"/>
    <n v="0"/>
    <n v="101981.25"/>
    <n v="72843.75"/>
    <n v="174825"/>
    <m/>
  </r>
  <r>
    <x v="0"/>
    <s v="SonarSource SA"/>
    <s v="Sonarsource"/>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n v="0"/>
    <n v="5407.5"/>
    <n v="0"/>
    <n v="5407.5"/>
    <m/>
  </r>
  <r>
    <x v="0"/>
    <s v="SHI International Corp"/>
    <s v="SHI"/>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n v="0"/>
    <n v="0"/>
    <n v="0"/>
    <n v="0"/>
    <m/>
  </r>
  <r>
    <x v="0"/>
    <s v="SHI International Corp"/>
    <s v="SHI"/>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n v="0"/>
    <n v="97986"/>
    <n v="957"/>
    <n v="98943.23"/>
    <m/>
  </r>
  <r>
    <x v="0"/>
    <s v="SHI International Corp"/>
    <s v="SHI"/>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n v="0"/>
    <n v="48667.5"/>
    <n v="0"/>
    <n v="48667.5"/>
    <m/>
  </r>
  <r>
    <x v="0"/>
    <s v="SHI International Corp"/>
    <s v="SHI"/>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n v="0"/>
    <n v="68250"/>
    <n v="0"/>
    <n v="68250"/>
    <m/>
  </r>
  <r>
    <x v="0"/>
    <s v="Coforge DPA NA Inc."/>
    <s v="Coforge UI Path"/>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n v="0"/>
    <n v="0"/>
    <n v="100844.1"/>
    <n v="96041.64"/>
    <m/>
  </r>
  <r>
    <x v="0"/>
    <s v="Smarsh Inc."/>
    <s v="Smarsh"/>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878.21"/>
    <n v="0"/>
    <n v="69432.698000000004"/>
    <n v="1000"/>
    <n v="70310.90800000001"/>
    <m/>
  </r>
  <r>
    <x v="0"/>
    <s v="SuperTrader, Inc."/>
    <s v="LevPro"/>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6.31666666665"/>
    <n v="0"/>
    <n v="0.41666666662786156"/>
    <n v="0.41666666662786156"/>
    <s v="Software (Prepaid)"/>
    <n v="10832.650000000003"/>
    <n v="10832.650000000003"/>
    <n v="10832.650000000003"/>
    <n v="10832.650000000003"/>
    <n v="10832.650000000003"/>
    <n v="10832.650000000003"/>
    <n v="11375"/>
    <n v="11375"/>
    <n v="11375"/>
    <n v="11375"/>
    <n v="11375"/>
    <n v="11372"/>
    <n v="133242.90000000002"/>
    <n v="79079.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2"/>
    <n v="-68242.900000000023"/>
    <m/>
    <n v="54166.666666666672"/>
    <n v="0"/>
    <n v="79079.649999999994"/>
    <n v="54163.250000000015"/>
    <n v="133246.31666666665"/>
    <m/>
  </r>
  <r>
    <x v="0"/>
    <s v="DigiCert, Inc."/>
    <s v="Digicert"/>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n v="5250"/>
    <n v="5250"/>
    <n v="5250"/>
    <n v="5250"/>
    <m/>
  </r>
  <r>
    <x v="0"/>
    <s v="Datadog, Inc."/>
    <s v="DataDog"/>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4025.49"/>
    <n v="0"/>
    <n v="12286.75"/>
    <n v="14256.39"/>
    <n v="26312.239999999998"/>
    <m/>
  </r>
  <r>
    <x v="0"/>
    <s v="Datadog, Inc."/>
    <s v="DataDog"/>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n v="0"/>
    <n v="91250"/>
    <n v="0"/>
    <n v="91250"/>
    <m/>
  </r>
  <r>
    <x v="0"/>
    <s v="ClickTime.com Inc."/>
    <s v="ClickTime"/>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n v="0"/>
    <n v="32760"/>
    <n v="0"/>
    <n v="32760"/>
    <m/>
  </r>
  <r>
    <x v="0"/>
    <s v="CDW DIRECT LLC"/>
    <s v="Think-Cell"/>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n v="0"/>
    <n v="0"/>
    <n v="2512"/>
    <n v="8136.97"/>
    <m/>
  </r>
  <r>
    <x v="0"/>
    <s v="Cloud Software Group (formally Tibco)"/>
    <s v="TIBCO Spotfire"/>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58201.666666666672"/>
    <n v="0"/>
    <n v="81482.333333333328"/>
    <n v="58201.666666666672"/>
    <n v="139684"/>
    <m/>
  </r>
  <r>
    <x v="0"/>
    <s v="CloudFlare"/>
    <s v="CloudFlare"/>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n v="0"/>
    <n v="3150"/>
    <n v="0"/>
    <n v="3150"/>
    <m/>
  </r>
  <r>
    <x v="0"/>
    <s v="Litera"/>
    <s v="Litera"/>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n v="0"/>
    <n v="2595"/>
    <n v="0"/>
    <n v="2595"/>
    <m/>
  </r>
  <r>
    <x v="0"/>
    <s v="Alation Inc."/>
    <s v="Alation"/>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28503.335000000003"/>
    <n v="0"/>
    <n v="99761.672500000001"/>
    <n v="28503.335000000003"/>
    <n v="128265.00750000001"/>
    <m/>
  </r>
  <r>
    <x v="0"/>
    <s v="BroadVantage"/>
    <s v="BoardVantage"/>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n v="0"/>
    <n v="50400"/>
    <n v="0"/>
    <n v="50400"/>
    <m/>
  </r>
  <r>
    <x v="0"/>
    <s v="Broadridge Output  Solutions"/>
    <m/>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19571.06"/>
    <n v="0"/>
    <n v="0"/>
    <n v="0"/>
    <s v="Modelling fees"/>
    <n v="6188"/>
    <n v="3300"/>
    <m/>
    <m/>
    <m/>
    <m/>
    <m/>
    <m/>
    <m/>
    <m/>
    <m/>
    <n v="110083.06"/>
    <n v="119571.06"/>
    <n v="110083.06"/>
    <n v="6188"/>
    <n v="3300"/>
    <m/>
    <m/>
    <m/>
    <m/>
    <m/>
    <m/>
    <m/>
    <m/>
    <m/>
    <m/>
    <n v="9488"/>
    <n v="0"/>
    <n v="0"/>
    <n v="0"/>
    <n v="0"/>
    <n v="0"/>
    <n v="0"/>
    <n v="0"/>
    <n v="0"/>
    <n v="0"/>
    <n v="0"/>
    <n v="0"/>
    <n v="-110083.06"/>
    <n v="-110083.06"/>
    <s v="No cost noted in Mar &amp; Apr"/>
    <n v="9488"/>
    <n v="0"/>
    <n v="110083.06"/>
    <n v="9488"/>
    <n v="119571.06"/>
    <m/>
  </r>
  <r>
    <x v="0"/>
    <s v="BWise Internal Control Inc."/>
    <s v="SAI360"/>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n v="0"/>
    <n v="0"/>
    <n v="32400"/>
    <n v="32009.25"/>
    <m/>
  </r>
  <r>
    <x v="0"/>
    <s v="CDW DIRECT LLC"/>
    <m/>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n v="0"/>
    <n v="1091630.6000000001"/>
    <n v="0"/>
    <n v="1091630.6000000001"/>
    <m/>
  </r>
  <r>
    <x v="0"/>
    <s v="Indus Valley Partners Corporation"/>
    <s v="IVP"/>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78064"/>
    <n v="0"/>
    <n v="113876"/>
    <n v="78064"/>
    <n v="191940"/>
    <m/>
  </r>
  <r>
    <x v="0"/>
    <s v="Indus Valley Partners Corporation"/>
    <s v="IVP"/>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85455"/>
    <n v="0"/>
    <n v="0"/>
    <n v="0"/>
    <s v="Data Managed Srvc"/>
    <n v="6750"/>
    <n v="6750"/>
    <n v="6750"/>
    <n v="6750"/>
    <n v="6750"/>
    <n v="6750"/>
    <n v="6750"/>
    <n v="6750"/>
    <n v="6750"/>
    <n v="6750"/>
    <n v="6750"/>
    <n v="11205"/>
    <n v="85455"/>
    <n v="51705"/>
    <n v="6750"/>
    <n v="6750"/>
    <n v="6750"/>
    <n v="6750"/>
    <n v="6750"/>
    <m/>
    <m/>
    <m/>
    <m/>
    <m/>
    <m/>
    <m/>
    <n v="33750"/>
    <n v="0"/>
    <n v="0"/>
    <n v="0"/>
    <n v="0"/>
    <n v="0"/>
    <n v="-6750"/>
    <n v="-6750"/>
    <n v="-6750"/>
    <n v="-6750"/>
    <n v="-6750"/>
    <n v="-6750"/>
    <n v="-11205"/>
    <n v="-51705"/>
    <s v="Budget v/s Actuals"/>
    <n v="33750"/>
    <n v="0"/>
    <n v="51705"/>
    <n v="33750"/>
    <n v="85455"/>
    <m/>
  </r>
  <r>
    <x v="0"/>
    <s v="Equisolve, Inc."/>
    <m/>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8895"/>
    <n v="0"/>
    <n v="40037"/>
    <n v="8897"/>
    <n v="48932"/>
    <m/>
  </r>
  <r>
    <x v="0"/>
    <s v="MARKIT NORTH AMERICA, INC."/>
    <s v="S&amp;P Global"/>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385833.333333334"/>
    <n v="-114166.66666666605"/>
    <n v="0"/>
    <n v="-114166.66666666605"/>
    <s v="RISK AUM-Potential Dec. Opp WSO"/>
    <n v="261174.96666666667"/>
    <n v="261174.96666666667"/>
    <n v="261174.96666666667"/>
    <n v="253282.01"/>
    <n v="253282.01"/>
    <n v="253282.01"/>
    <n v="461647.86833333329"/>
    <n v="461647.86833333329"/>
    <n v="229791.66666666666"/>
    <n v="229791.66666666666"/>
    <n v="229791.66666666666"/>
    <n v="229791.66666666666"/>
    <n v="3385833.3333333326"/>
    <n v="2095744.4133333336"/>
    <n v="261174.96666666667"/>
    <n v="261174.96666666667"/>
    <n v="261174.96666666667"/>
    <n v="253282.01"/>
    <n v="253282.01"/>
    <n v="253282.01"/>
    <m/>
    <m/>
    <m/>
    <m/>
    <m/>
    <m/>
    <n v="1543370.93"/>
    <n v="0"/>
    <n v="0"/>
    <n v="0"/>
    <n v="0"/>
    <n v="0"/>
    <n v="0"/>
    <n v="-461647.86833333329"/>
    <n v="-461647.86833333329"/>
    <n v="-229791.66666666666"/>
    <n v="-229791.66666666666"/>
    <n v="-229791.66666666666"/>
    <n v="-229791.66666666666"/>
    <n v="-1842462.4033333336"/>
    <s v="WSO Web service + Orion CLO + Levpro implementation $10k in March"/>
    <n v="1290088.92"/>
    <n v="0"/>
    <n v="2095744.4133333336"/>
    <n v="1290088.92"/>
    <n v="3385833.3333333335"/>
    <m/>
  </r>
  <r>
    <x v="0"/>
    <s v="Microsoft Corporation"/>
    <m/>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241666.66666666669"/>
    <n v="0"/>
    <n v="401025.33333333331"/>
    <n v="241666.66666666669"/>
    <n v="642692"/>
    <m/>
  </r>
  <r>
    <x v="0"/>
    <s v="Indus Valley Partners Corporation"/>
    <s v="IVP"/>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n v="88000"/>
    <n v="176000"/>
    <n v="440000"/>
    <n v="488400"/>
    <m/>
  </r>
  <r>
    <x v="0"/>
    <s v="Indus Valley Partners Corporation"/>
    <s v="IVP"/>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800000"/>
    <n v="0"/>
    <n v="160000"/>
    <n v="800000"/>
    <n v="960000"/>
    <s v="Y"/>
  </r>
  <r>
    <x v="0"/>
    <s v="VPMA Global Services LLC"/>
    <s v="Control M"/>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n v="22318"/>
    <n v="22318"/>
    <n v="22318"/>
    <n v="22318"/>
    <m/>
  </r>
  <r>
    <x v="0"/>
    <s v="Intelligent Business Platforms LLC"/>
    <s v="Intellibus"/>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718868"/>
    <n v="0"/>
    <n v="156800"/>
    <n v="784000"/>
    <n v="875668"/>
    <m/>
  </r>
  <r>
    <x v="0"/>
    <s v="Seismic Software Inc."/>
    <m/>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9031.66666666669"/>
    <n v="0"/>
    <n v="0.46666666667442769"/>
    <n v="0.46666666667442769"/>
    <s v="FPC TBD Dependent on Investor Reporting Integration into Seismic - Prepaid"/>
    <n v="11396"/>
    <n v="11396"/>
    <n v="11396"/>
    <n v="11396"/>
    <n v="11396"/>
    <n v="11396"/>
    <n v="11396"/>
    <n v="11585.933333333334"/>
    <n v="11585.933333333334"/>
    <n v="11585.933333333334"/>
    <n v="11585.933333333334"/>
    <n v="12915.933333333334"/>
    <n v="139031.66666666669"/>
    <n v="82051.666666666672"/>
    <n v="11396"/>
    <n v="11396"/>
    <n v="11396"/>
    <n v="11396"/>
    <n v="11396"/>
    <n v="11396"/>
    <n v="11396"/>
    <m/>
    <m/>
    <m/>
    <m/>
    <m/>
    <n v="79772"/>
    <n v="0"/>
    <n v="0"/>
    <n v="0"/>
    <n v="0"/>
    <n v="0"/>
    <n v="0"/>
    <n v="0"/>
    <n v="-11585.933333333334"/>
    <n v="-11585.933333333334"/>
    <n v="-11585.933333333334"/>
    <n v="-11585.933333333334"/>
    <n v="-12915.933333333334"/>
    <n v="-59259.666666666672"/>
    <s v="Budget v/s Actuals"/>
    <n v="56980"/>
    <n v="0"/>
    <n v="82051.666666666672"/>
    <n v="56980"/>
    <n v="139031.66666666669"/>
    <m/>
  </r>
  <r>
    <x v="3"/>
    <s v="Software Capitalization"/>
    <m/>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666666.6666666665"/>
    <n v="0"/>
    <n v="-2333333.333333333"/>
    <n v="-1666666.6666666665"/>
    <n v="-3999999.9999999995"/>
    <m/>
  </r>
  <r>
    <x v="4"/>
    <s v="Amortization/Multiple"/>
    <m/>
    <x v="21"/>
    <s v="N/A"/>
    <s v="N/A"/>
    <x v="6"/>
    <s v="N/A"/>
    <s v="N/A"/>
    <s v="N/A"/>
    <s v="Amortization-N/A"/>
    <s v="Amortization"/>
    <x v="1"/>
    <s v="OOE"/>
    <s v="Amortization"/>
    <s v="Information Technology"/>
    <s v="Hosting Agreement Amortization"/>
    <s v="Amortization - Capitalized costs for hosting arrangements"/>
    <s v="Amortization"/>
    <n v="534786"/>
    <m/>
    <n v="1441947"/>
    <n v="1441946.6100000003"/>
    <n v="-0.38999999966472387"/>
    <n v="0"/>
    <n v="-0.38999999966472387"/>
    <s v="Amortisation expense relating to pre-2025 capitalised costs was missed from budget. We recommend offsetting this gap against a placeholder., CHANGE"/>
    <n v="120162.21750000003"/>
    <n v="120162.21750000003"/>
    <n v="120162.21750000003"/>
    <n v="120162.21750000003"/>
    <n v="120162.21750000003"/>
    <n v="120162.21750000003"/>
    <n v="120162.21750000003"/>
    <n v="120162.21750000003"/>
    <n v="120162.21750000003"/>
    <n v="120162.21750000003"/>
    <n v="120162.21750000003"/>
    <n v="120162.21750000003"/>
    <n v="1441946.6100000003"/>
    <n v="841135.5225000002"/>
    <n v="120162.21750000003"/>
    <n v="120162.21750000003"/>
    <n v="120162.21750000003"/>
    <n v="120162.21750000003"/>
    <n v="120162.21750000003"/>
    <n v="120162.21750000003"/>
    <n v="120162.21750000003"/>
    <n v="120162.21750000003"/>
    <n v="120162.21750000003"/>
    <n v="120162.21750000003"/>
    <n v="120162.21750000003"/>
    <n v="120162.21750000003"/>
    <n v="1441946.6100000003"/>
    <n v="0"/>
    <n v="0"/>
    <n v="0"/>
    <n v="0"/>
    <n v="0"/>
    <n v="0"/>
    <n v="0"/>
    <n v="0"/>
    <n v="0"/>
    <n v="0"/>
    <n v="0"/>
    <n v="0"/>
    <n v="0"/>
    <s v="All the amortization lines have been merged to one, source is capitalization schedule shared by Darlene. This risk could be setoff againt PH and any other opp on YTD"/>
    <n v="600811.08750000014"/>
    <n v="0"/>
    <n v="841135.5225000002"/>
    <n v="600811.08750000014"/>
    <n v="1441946.6100000003"/>
    <m/>
  </r>
  <r>
    <x v="0"/>
    <s v="PactFi Inc."/>
    <m/>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226822.91666666669"/>
    <n v="0"/>
    <n v="317552.08333333331"/>
    <n v="226822.91666666669"/>
    <n v="544375"/>
    <m/>
  </r>
  <r>
    <x v="0"/>
    <s v="AT&amp;T Corp"/>
    <s v="ACC Business"/>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n v="6057.5000000000036"/>
    <n v="27258.750000000004"/>
    <n v="15143.75"/>
    <n v="37142.130000000005"/>
    <m/>
  </r>
  <r>
    <x v="0"/>
    <s v="Beanfield Technologies, Inc."/>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326.88"/>
    <n v="0"/>
    <n v="96.880000000000109"/>
    <n v="96.880000000000109"/>
    <m/>
    <n v="353"/>
    <n v="353"/>
    <n v="353"/>
    <n v="353"/>
    <n v="353"/>
    <n v="353"/>
    <n v="353"/>
    <n v="353"/>
    <n v="353"/>
    <n v="353"/>
    <n v="353"/>
    <n v="347"/>
    <n v="4230"/>
    <n v="2465"/>
    <n v="370.83"/>
    <n v="375.95"/>
    <n v="371.55"/>
    <n v="371.55"/>
    <n v="372"/>
    <n v="372"/>
    <m/>
    <m/>
    <m/>
    <m/>
    <m/>
    <m/>
    <n v="2233.88"/>
    <n v="17.829999999999984"/>
    <n v="22.949999999999989"/>
    <n v="18.550000000000011"/>
    <n v="18.550000000000011"/>
    <n v="19"/>
    <n v="19"/>
    <n v="-353"/>
    <n v="-353"/>
    <n v="-353"/>
    <n v="-353"/>
    <n v="-353"/>
    <n v="-347"/>
    <n v="-1996.12"/>
    <m/>
    <n v="1861.8799999999999"/>
    <n v="0"/>
    <n v="2465"/>
    <n v="1765"/>
    <n v="4326.88"/>
    <m/>
  </r>
  <r>
    <x v="0"/>
    <s v="Cogent Canada, Inc."/>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629"/>
    <m/>
    <m/>
    <m/>
    <m/>
    <m/>
    <m/>
    <n v="3762.6658999999995"/>
    <n v="33.090000000000032"/>
    <n v="41.659999999999968"/>
    <n v="40.61749999999995"/>
    <n v="41.649199999999951"/>
    <n v="41.649199999999951"/>
    <n v="42"/>
    <n v="-587"/>
    <n v="-587"/>
    <n v="-587"/>
    <n v="-587"/>
    <n v="-587"/>
    <n v="-586"/>
    <n v="-3280.3341"/>
    <s v="Budget v/s Actuals"/>
    <n v="3133.6658999999995"/>
    <n v="0"/>
    <n v="4108"/>
    <n v="2935"/>
    <n v="7241.6659"/>
    <m/>
  </r>
  <r>
    <x v="2"/>
    <s v="Amazon Capital Services, Inc."/>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n v="0"/>
    <n v="292"/>
    <n v="0"/>
    <n v="292"/>
    <m/>
  </r>
  <r>
    <x v="1"/>
    <s v="General Office Expense - Refer to Concur"/>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2899.75"/>
    <n v="-0.25"/>
    <n v="0"/>
    <n v="-0.25"/>
    <s v="AI Budget reclass pending"/>
    <m/>
    <n v="17"/>
    <m/>
    <n v="506"/>
    <n v="1390.01"/>
    <m/>
    <m/>
    <m/>
    <m/>
    <m/>
    <m/>
    <n v="987"/>
    <n v="2900.01"/>
    <n v="987"/>
    <m/>
    <n v="16.739999999999998"/>
    <m/>
    <n v="506"/>
    <n v="1390.01"/>
    <m/>
    <m/>
    <m/>
    <m/>
    <m/>
    <m/>
    <m/>
    <n v="1912.75"/>
    <n v="0"/>
    <n v="-0.26000000000000156"/>
    <n v="0"/>
    <n v="0"/>
    <n v="0"/>
    <n v="0"/>
    <n v="0"/>
    <n v="0"/>
    <n v="0"/>
    <n v="0"/>
    <n v="0"/>
    <n v="-987"/>
    <n v="-987.26"/>
    <s v="Claude purchased by Danny for AI Initiative $6495"/>
    <n v="1912.75"/>
    <n v="0"/>
    <n v="987"/>
    <n v="1913.01"/>
    <n v="2899.75"/>
    <m/>
  </r>
  <r>
    <x v="0"/>
    <s v="ICE Benchmark Administration Ltd"/>
    <m/>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n v="0"/>
    <n v="0"/>
    <n v="8400"/>
    <n v="8000"/>
    <m/>
  </r>
  <r>
    <x v="0"/>
    <s v="SaferKid, Inc. (FirmScribe)"/>
    <m/>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n v="0"/>
    <n v="0"/>
    <n v="3150"/>
    <n v="3000"/>
    <m/>
  </r>
  <r>
    <x v="2"/>
    <s v="Cisco Systems, Inc."/>
    <m/>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n v="0"/>
    <n v="0"/>
    <n v="0"/>
    <n v="0"/>
    <m/>
  </r>
  <r>
    <x v="2"/>
    <s v="j2 Cloud Services, Inc."/>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n v="1500"/>
    <n v="12829"/>
    <n v="7535.9"/>
    <n v="19510.98"/>
    <m/>
  </r>
  <r>
    <x v="2"/>
    <s v="LoopUp"/>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3707.25"/>
    <n v="0"/>
    <n v="20146.583333333332"/>
    <n v="14390.416666666668"/>
    <n v="33853.833333333328"/>
    <m/>
  </r>
  <r>
    <x v="2"/>
    <s v="Verizon Wireless Services LLC"/>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n v="35143.583333333314"/>
    <n v="285316.66666666663"/>
    <n v="171539.67"/>
    <n v="407892.69666666666"/>
    <m/>
  </r>
  <r>
    <x v="0"/>
    <s v="ASX Benchmarks PTY limited"/>
    <m/>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n v="0"/>
    <n v="0"/>
    <n v="4409"/>
    <n v="4982.8"/>
    <m/>
  </r>
  <r>
    <x v="0"/>
    <s v="Fitch Solutions, Inc."/>
    <m/>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n v="359"/>
    <n v="359"/>
    <n v="359"/>
    <n v="359"/>
    <m/>
  </r>
  <r>
    <x v="0"/>
    <s v="THOMSON REUTERS MARKETS LLC"/>
    <s v="LSEG / Refinitive"/>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77.899999999994"/>
    <n v="0"/>
    <n v="507.89999999999418"/>
    <n v="507.89999999999418"/>
    <s v="  "/>
    <n v="16878.150000000001"/>
    <m/>
    <m/>
    <n v="16867.5"/>
    <m/>
    <m/>
    <n v="16867.5"/>
    <m/>
    <m/>
    <n v="16867.5"/>
    <m/>
    <m/>
    <n v="67480.649999999994"/>
    <n v="33735"/>
    <n v="16878.150000000001"/>
    <m/>
    <m/>
    <n v="17364.75"/>
    <m/>
    <m/>
    <m/>
    <m/>
    <m/>
    <m/>
    <m/>
    <m/>
    <n v="34242.9"/>
    <n v="0"/>
    <n v="0"/>
    <n v="0"/>
    <n v="497.25"/>
    <n v="0"/>
    <n v="0"/>
    <n v="-16867.5"/>
    <n v="0"/>
    <n v="0"/>
    <n v="-16867.5"/>
    <n v="0"/>
    <n v="0"/>
    <n v="-33237.75"/>
    <m/>
    <n v="34242.9"/>
    <n v="0"/>
    <n v="33735"/>
    <n v="33745.65"/>
    <n v="67977.899999999994"/>
    <m/>
  </r>
  <r>
    <x v="0"/>
    <s v="TSX Inc."/>
    <m/>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n v="0"/>
    <n v="25000"/>
    <n v="0"/>
    <n v="25000"/>
    <m/>
  </r>
  <r>
    <x v="2"/>
    <s v="CDW DIRECT LLC"/>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n v="2887.1666666666679"/>
    <n v="23097.333333333336"/>
    <n v="14435.833333333332"/>
    <n v="25341.853333333336"/>
    <m/>
  </r>
  <r>
    <x v="0"/>
    <s v="SHI International Corp"/>
    <s v="SHI"/>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81590"/>
    <n v="81589.55"/>
    <n v="-0.44999999999708962"/>
    <n v="0"/>
    <n v="-0.44999999999708962"/>
    <s v="Not part of original budget; risk added, category updated from software to hardware since laptop purchase, Unplanned expansion not budgeted by HR and Tech, CHANGE"/>
    <m/>
    <m/>
    <m/>
    <m/>
    <m/>
    <m/>
    <m/>
    <m/>
    <m/>
    <m/>
    <m/>
    <n v="60891"/>
    <n v="60891"/>
    <n v="60891"/>
    <n v="0"/>
    <n v="0"/>
    <n v="11884.240000000002"/>
    <n v="8814.31"/>
    <n v="0"/>
    <n v="7764.78"/>
    <n v="0"/>
    <n v="0"/>
    <n v="0"/>
    <n v="0"/>
    <n v="0"/>
    <n v="0"/>
    <n v="28463.33"/>
    <n v="0"/>
    <n v="0"/>
    <n v="11884.240000000002"/>
    <n v="8814.31"/>
    <n v="0"/>
    <n v="7764.78"/>
    <n v="0"/>
    <n v="0"/>
    <n v="0"/>
    <n v="0"/>
    <n v="0"/>
    <n v="-60891"/>
    <n v="-32427.67"/>
    <s v="Surface laptop 7, Logitech keyboard and Mouse, Starlite Cable, Monitor unbudgeted, 3 laptops to be charged back to Private Credit"/>
    <n v="20698.550000000003"/>
    <n v="0"/>
    <n v="60891"/>
    <n v="0"/>
    <n v="81589.55"/>
    <m/>
  </r>
  <r>
    <x v="0"/>
    <s v="SHI International Corp"/>
    <s v="SHI"/>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39.94"/>
    <n v="0"/>
    <n v="0"/>
    <n v="0"/>
    <n v="139.94"/>
    <m/>
  </r>
  <r>
    <x v="2"/>
    <s v="SHI International Corp"/>
    <s v="SHI"/>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0"/>
    <n v="0"/>
    <n v="0"/>
    <n v="0"/>
    <n v="0"/>
    <s v="CHANGE"/>
    <m/>
    <m/>
    <m/>
    <m/>
    <m/>
    <m/>
    <m/>
    <m/>
    <m/>
    <m/>
    <m/>
    <m/>
    <n v="0"/>
    <n v="0"/>
    <m/>
    <m/>
    <m/>
    <m/>
    <m/>
    <m/>
    <m/>
    <m/>
    <m/>
    <m/>
    <m/>
    <m/>
    <n v="0"/>
    <n v="0"/>
    <n v="0"/>
    <n v="0"/>
    <n v="0"/>
    <n v="0"/>
    <n v="0"/>
    <n v="0"/>
    <n v="0"/>
    <n v="0"/>
    <n v="0"/>
    <n v="0"/>
    <n v="0"/>
    <n v="0"/>
    <m/>
    <n v="0"/>
    <n v="0"/>
    <n v="0"/>
    <n v="0"/>
    <n v="0"/>
    <m/>
  </r>
  <r>
    <x v="0"/>
    <s v="Sky Road"/>
    <m/>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62500"/>
    <n v="0"/>
    <n v="97500"/>
    <n v="62500"/>
    <n v="160000"/>
    <m/>
  </r>
  <r>
    <x v="0"/>
    <s v="Coforge DPA NA Inc."/>
    <m/>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s v="Y"/>
  </r>
  <r>
    <x v="0"/>
    <s v="Coforge DPA NA Inc."/>
    <m/>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69805"/>
    <n v="0"/>
    <n v="-69805"/>
    <n v="0"/>
    <n v="-69805"/>
    <s v="New 2026 BoW, CHANGE"/>
    <m/>
    <m/>
    <m/>
    <m/>
    <m/>
    <m/>
    <m/>
    <m/>
    <m/>
    <m/>
    <m/>
    <n v="0"/>
    <n v="0"/>
    <n v="0"/>
    <m/>
    <m/>
    <m/>
    <m/>
    <m/>
    <m/>
    <m/>
    <m/>
    <m/>
    <m/>
    <m/>
    <m/>
    <n v="0"/>
    <n v="0"/>
    <n v="0"/>
    <n v="0"/>
    <n v="0"/>
    <n v="0"/>
    <n v="0"/>
    <n v="0"/>
    <n v="0"/>
    <n v="0"/>
    <n v="0"/>
    <n v="0"/>
    <n v="0"/>
    <n v="0"/>
    <s v="Placeholder funds for new initiatives have been forecasted as per Leon's instruction for utilisation and potential opportunities"/>
    <n v="0"/>
    <n v="0"/>
    <n v="0"/>
    <n v="0"/>
    <n v="0"/>
    <m/>
  </r>
  <r>
    <x v="0"/>
    <s v="Finastra Technology, Inc"/>
    <s v="LIQ"/>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MARKIT NORTH AMERICA, INC."/>
    <s v="S&amp;P Global"/>
    <x v="26"/>
    <s v="Implement - WSO Own Instance (AM)"/>
    <s v="Operations Technology"/>
    <x v="2"/>
    <m/>
    <m/>
    <m/>
    <s v="Prj000482-Implement - WSO Own Instance (AM)"/>
    <s v="Labor"/>
    <x v="5"/>
    <s v="RTB- FPC"/>
    <m/>
    <s v="Information Technology"/>
    <s v="Managed Service - Core"/>
    <s v="RTB Expenses - Contractor"/>
    <s v="New 2026 BoW"/>
    <m/>
    <n v="850000"/>
    <n v="336000"/>
    <n v="0"/>
    <n v="-336000"/>
    <n v="0"/>
    <n v="-336000"/>
    <s v="New 2026 BoW, WSO not to be utilised"/>
    <m/>
    <m/>
    <m/>
    <m/>
    <m/>
    <m/>
    <m/>
    <m/>
    <m/>
    <m/>
    <m/>
    <m/>
    <n v="0"/>
    <n v="0"/>
    <m/>
    <m/>
    <m/>
    <m/>
    <m/>
    <m/>
    <m/>
    <m/>
    <m/>
    <m/>
    <m/>
    <m/>
    <n v="0"/>
    <n v="0"/>
    <n v="0"/>
    <n v="0"/>
    <n v="0"/>
    <n v="0"/>
    <n v="0"/>
    <n v="0"/>
    <n v="0"/>
    <n v="0"/>
    <n v="0"/>
    <n v="0"/>
    <n v="0"/>
    <n v="0"/>
    <s v="Placeholder funds for new initiatives have been forecasted as per Leon's instruction for utilisation and potential opportunities. Onetime implementation cost for WSO migration web to hosting"/>
    <n v="0"/>
    <n v="0"/>
    <n v="0"/>
    <n v="0"/>
    <n v="0"/>
    <s v="Y"/>
  </r>
  <r>
    <x v="0"/>
    <s v="MARKIT NORTH AMERICA, INC."/>
    <s v="S&amp;P Global"/>
    <x v="26"/>
    <s v="Implement - WSO Own Instance (AM)"/>
    <s v="Operations Technology"/>
    <x v="2"/>
    <m/>
    <m/>
    <m/>
    <s v="Prj000482-Implement - WSO Own Instance (AM)"/>
    <s v="Labor"/>
    <x v="5"/>
    <s v="RTB- FPC"/>
    <m/>
    <s v="Information Technology"/>
    <s v="Managed Service - Core"/>
    <s v="RTB Expenses - Contractor"/>
    <s v="New 2026 BoW"/>
    <m/>
    <n v="850000"/>
    <n v="163600"/>
    <n v="293500"/>
    <n v="0"/>
    <n v="129900"/>
    <n v="129900"/>
    <s v="New 2026 BoW, WSO"/>
    <m/>
    <m/>
    <m/>
    <n v="10000"/>
    <m/>
    <m/>
    <m/>
    <m/>
    <n v="25000"/>
    <n v="258500"/>
    <m/>
    <m/>
    <n v="293500"/>
    <n v="283500"/>
    <m/>
    <m/>
    <m/>
    <n v="10000"/>
    <m/>
    <m/>
    <m/>
    <m/>
    <m/>
    <m/>
    <m/>
    <m/>
    <n v="10000"/>
    <n v="0"/>
    <n v="0"/>
    <n v="0"/>
    <n v="0"/>
    <n v="0"/>
    <n v="0"/>
    <n v="0"/>
    <n v="0"/>
    <n v="-25000"/>
    <n v="-258500"/>
    <n v="0"/>
    <n v="0"/>
    <n v="-283500"/>
    <s v=" Onetime implementation cost for WSO migration web to hosting,$10K is part of WSO web to hosting transistion and should be part of $504K"/>
    <n v="10000"/>
    <n v="0"/>
    <n v="283500"/>
    <n v="10000"/>
    <n v="293500"/>
    <m/>
  </r>
  <r>
    <x v="0"/>
    <s v="Indus Valley Partners Corporation"/>
    <m/>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n v="40000"/>
    <n v="120000"/>
    <n v="40000"/>
    <n v="120000"/>
    <m/>
  </r>
  <r>
    <x v="0"/>
    <s v="MARKIT NORTH AMERICA, INC."/>
    <s v="S&amp;P Global"/>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Indus Valley Partners Corporation"/>
    <s v="IVP"/>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0"/>
    <n v="0"/>
    <n v="0"/>
    <n v="0"/>
    <n v="0"/>
    <s v="New 2026 BoW (Capitalizable),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m/>
  </r>
  <r>
    <x v="0"/>
    <s v="Indus Valley Partners Corporation"/>
    <s v="IVP"/>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NewRocket, LLC"/>
    <s v="ServiceNow Liac"/>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45141.29999999999"/>
    <n v="0"/>
    <n v="29028.26"/>
    <n v="145141.29999999999"/>
    <n v="174169.56"/>
    <m/>
  </r>
  <r>
    <x v="0"/>
    <s v="SALESFORCE COM INC"/>
    <s v="Salesforce"/>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n v="0"/>
    <n v="7470"/>
    <n v="0"/>
    <n v="7470"/>
    <m/>
  </r>
  <r>
    <x v="0"/>
    <s v="Indus Valley Partners Corporation"/>
    <s v="IVP"/>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0"/>
    <n v="-100000"/>
    <n v="0"/>
    <n v="-100000"/>
    <s v="New 2026 BoW,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m/>
  </r>
  <r>
    <x v="0"/>
    <s v="2026 PH"/>
    <m/>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s v="Y"/>
  </r>
  <r>
    <x v="0"/>
    <s v="OpenAI, L.L.C. (“OpenAI”)"/>
    <m/>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13850"/>
    <n v="0"/>
    <n v="13850"/>
    <n v="13850"/>
    <s v="Unbudgeted tax, new 2026 bow utilised"/>
    <m/>
    <m/>
    <m/>
    <m/>
    <m/>
    <m/>
    <m/>
    <n v="113850"/>
    <m/>
    <m/>
    <m/>
    <m/>
    <n v="113850"/>
    <n v="113850"/>
    <m/>
    <m/>
    <m/>
    <m/>
    <m/>
    <m/>
    <m/>
    <m/>
    <m/>
    <m/>
    <m/>
    <m/>
    <n v="0"/>
    <n v="0"/>
    <n v="0"/>
    <n v="0"/>
    <n v="0"/>
    <n v="0"/>
    <n v="0"/>
    <n v="0"/>
    <n v="-113850"/>
    <n v="0"/>
    <n v="0"/>
    <n v="0"/>
    <n v="0"/>
    <n v="-113850"/>
    <s v="Placeholder funds for new initiatives have been forecasted as per Leon's instruction for utilisation and potential opportunities"/>
    <n v="0"/>
    <n v="0"/>
    <n v="113850"/>
    <n v="0"/>
    <n v="113850"/>
    <m/>
  </r>
  <r>
    <x v="0"/>
    <s v="Coforge DPA NA Inc."/>
    <m/>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52071"/>
    <n v="0"/>
    <n v="-52071"/>
    <n v="0"/>
    <n v="-52071"/>
    <s v="T&amp;M- Implementing CoE for L1/L2 Platforms, new 2026 bow, offset with amortisation, CHANGE"/>
    <m/>
    <m/>
    <m/>
    <m/>
    <m/>
    <m/>
    <m/>
    <m/>
    <m/>
    <m/>
    <m/>
    <m/>
    <n v="0"/>
    <n v="0"/>
    <m/>
    <m/>
    <m/>
    <m/>
    <m/>
    <m/>
    <m/>
    <m/>
    <m/>
    <m/>
    <m/>
    <m/>
    <n v="0"/>
    <n v="0"/>
    <n v="0"/>
    <n v="0"/>
    <n v="0"/>
    <n v="0"/>
    <n v="0"/>
    <n v="0"/>
    <n v="0"/>
    <n v="0"/>
    <n v="0"/>
    <n v="0"/>
    <n v="0"/>
    <n v="0"/>
    <s v="Changed from T&amp;M to FPC as per Shanky's KT, March billing to decide final Opp/Risk"/>
    <n v="0"/>
    <n v="0"/>
    <n v="0"/>
    <n v="0"/>
    <n v="0"/>
    <s v="Y"/>
  </r>
  <r>
    <x v="0"/>
    <s v="Coforge DPA NA Inc."/>
    <m/>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CDW DIRECT LLC"/>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n v="0"/>
    <n v="75000"/>
    <n v="0"/>
    <n v="75000"/>
    <m/>
  </r>
  <r>
    <x v="0"/>
    <s v="Allvue Systems, LLC"/>
    <m/>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776946.67499999993"/>
    <n v="0"/>
    <n v="1087725.345"/>
    <n v="776946.67499999993"/>
    <n v="1864672.02"/>
    <m/>
  </r>
  <r>
    <x v="0"/>
    <s v="OneStream Software, LLC"/>
    <s v="OneStream"/>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118470.15416666667"/>
    <n v="0"/>
    <n v="165858.21583333332"/>
    <n v="118470.15416666667"/>
    <n v="284328.37"/>
    <m/>
  </r>
  <r>
    <x v="0"/>
    <s v="MARKIT NORTH AMERICA, INC."/>
    <s v="S&amp;P Global/ WSO"/>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n v="0"/>
    <n v="0"/>
    <n v="232487.75"/>
    <n v="232487.75"/>
    <m/>
  </r>
  <r>
    <x v="0"/>
    <s v="Intelligent Business Platforms LLC"/>
    <s v="Intellibus"/>
    <x v="8"/>
    <s v="T&amp;M"/>
    <s v="Infra Svcs &amp; User Enblt Tech"/>
    <x v="5"/>
    <d v="2026-07-01T00:00:00"/>
    <d v="2026-12-31T00:00:00"/>
    <s v="T&amp;M"/>
    <s v="T&amp;M-T&amp;M"/>
    <s v="Labor"/>
    <x v="4"/>
    <s v="CTB- T&amp;M"/>
    <s v="T&amp;M"/>
    <s v="Consulting"/>
    <s v="Consulting Change the Business"/>
    <s v="CTB Expenses - Consulting"/>
    <s v="Monthly Expensed"/>
    <n v="0"/>
    <n v="0"/>
    <n v="600000"/>
    <n v="606720"/>
    <n v="0"/>
    <n v="6720"/>
    <n v="6720"/>
    <s v="T&amp;M- H2-2026 Risk unbudgeted extension, CHANGE"/>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n v="0"/>
    <n v="606720"/>
    <n v="0"/>
    <n v="606720"/>
    <m/>
  </r>
  <r>
    <x v="0"/>
    <s v="Indus Valley Partners Corporation"/>
    <s v="IVP"/>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n v="0"/>
    <n v="1557600"/>
    <n v="0"/>
    <n v="1557600"/>
    <m/>
  </r>
  <r>
    <x v="0"/>
    <s v="2026 PH"/>
    <m/>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n v="0"/>
    <n v="12896"/>
    <n v="0"/>
    <n v="12896"/>
    <m/>
  </r>
  <r>
    <x v="0"/>
    <s v="Andersen Tax Holdings"/>
    <s v="1Rivet"/>
    <x v="8"/>
    <s v="T&amp;M"/>
    <s v=""/>
    <x v="1"/>
    <d v="2026-03-16T00:00:00"/>
    <d v="2026-12-31T00:00:00"/>
    <m/>
    <s v="T&amp;M-T&amp;M"/>
    <s v="Labor"/>
    <x v="4"/>
    <s v="RTB- T&amp;M"/>
    <s v="T&amp;M"/>
    <s v="Outsourced"/>
    <s v="Run the Business Contractors and Outsource Services"/>
    <s v="RTB Expenses - Contractor"/>
    <s v="Monthly Expensed"/>
    <m/>
    <m/>
    <n v="0"/>
    <n v="69325"/>
    <n v="0"/>
    <n v="69325"/>
    <n v="69325"/>
    <s v="Swati Yadav"/>
    <m/>
    <m/>
    <n v="3760"/>
    <n v="7520"/>
    <n v="7520"/>
    <n v="7520"/>
    <n v="7520"/>
    <n v="7520"/>
    <n v="7520"/>
    <n v="7520"/>
    <n v="7520"/>
    <n v="7520"/>
    <n v="71440"/>
    <n v="52640"/>
    <n v="0"/>
    <m/>
    <m/>
    <n v="4888"/>
    <n v="8037"/>
    <m/>
    <m/>
    <m/>
    <m/>
    <m/>
    <m/>
    <m/>
    <n v="12925"/>
    <n v="0"/>
    <n v="0"/>
    <n v="-3760"/>
    <n v="-2632"/>
    <n v="517"/>
    <n v="-7520"/>
    <n v="-7520"/>
    <n v="-7520"/>
    <n v="-7520"/>
    <n v="-7520"/>
    <n v="-7520"/>
    <n v="-7520"/>
    <n v="-58515"/>
    <s v="Cost to be setoff with Coforge (Swati replacing Shanky)"/>
    <n v="12925"/>
    <n v="3760"/>
    <n v="56400"/>
    <n v="18800"/>
    <n v="69325"/>
    <m/>
  </r>
  <r>
    <x v="0"/>
    <s v="Andersen Tax Holdings"/>
    <s v="1Rivet"/>
    <x v="8"/>
    <s v="T&amp;M"/>
    <s v=""/>
    <x v="0"/>
    <d v="2026-02-04T00:00:00"/>
    <d v="2026-07-31T00:00:00"/>
    <m/>
    <s v="T&amp;M-T&amp;M"/>
    <s v="Labor"/>
    <x v="4"/>
    <s v="RTB- T&amp;M"/>
    <s v="T&amp;M"/>
    <s v="Outsourced"/>
    <s v="Run the Business Contractors and Outsource Services"/>
    <s v="RTB Expenses - Contractor"/>
    <s v="Monthly Expensed"/>
    <m/>
    <m/>
    <n v="0"/>
    <n v="38822"/>
    <n v="0"/>
    <n v="38822"/>
    <n v="38822"/>
    <s v="Danny's extra 1Rivet HC - Risk"/>
    <m/>
    <m/>
    <n v="7520"/>
    <n v="7520"/>
    <n v="7520"/>
    <n v="7520"/>
    <n v="7520"/>
    <m/>
    <m/>
    <m/>
    <m/>
    <m/>
    <n v="37600"/>
    <n v="15040"/>
    <n v="0"/>
    <m/>
    <n v="7144"/>
    <n v="8272"/>
    <n v="8366"/>
    <m/>
    <m/>
    <m/>
    <m/>
    <m/>
    <m/>
    <m/>
    <n v="23782"/>
    <n v="0"/>
    <n v="0"/>
    <n v="-376"/>
    <n v="752"/>
    <n v="846"/>
    <n v="-7520"/>
    <n v="-7520"/>
    <n v="0"/>
    <n v="0"/>
    <n v="0"/>
    <n v="0"/>
    <n v="0"/>
    <n v="-13818"/>
    <s v="Extra resource requested by Danny from 1Rivet to replace Acenture resources, unbudgeted (Arif Inamdar)"/>
    <n v="23782"/>
    <n v="0"/>
    <n v="15040"/>
    <n v="22560"/>
    <n v="38822"/>
    <m/>
  </r>
  <r>
    <x v="0"/>
    <s v="Norske Finansielle Referanser AS"/>
    <s v="Nore"/>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n v="0"/>
    <n v="0"/>
    <n v="15208"/>
    <n v="15208"/>
    <m/>
  </r>
  <r>
    <x v="0"/>
    <s v="PH-TBC"/>
    <m/>
    <x v="8"/>
    <s v="T&amp;M"/>
    <m/>
    <x v="0"/>
    <m/>
    <m/>
    <m/>
    <s v="T&amp;M-T&amp;M"/>
    <s v="Labor"/>
    <x v="4"/>
    <s v="RTB- T&amp;M"/>
    <s v="T&amp;M"/>
    <s v="Outsourced"/>
    <s v="Run the Business Contractors and Outsource Services"/>
    <s v="RTB Expenses - Contractor"/>
    <m/>
    <m/>
    <m/>
    <m/>
    <n v="80000"/>
    <n v="0"/>
    <n v="80000"/>
    <n v="80000"/>
    <s v="80K - Network engineer consultant T&amp;M_x000a_, CHANGE"/>
    <m/>
    <m/>
    <m/>
    <m/>
    <m/>
    <m/>
    <m/>
    <m/>
    <m/>
    <m/>
    <n v="80000"/>
    <m/>
    <n v="80000"/>
    <n v="80000"/>
    <m/>
    <m/>
    <m/>
    <m/>
    <m/>
    <m/>
    <m/>
    <m/>
    <m/>
    <m/>
    <m/>
    <m/>
    <n v="0"/>
    <n v="0"/>
    <n v="0"/>
    <n v="0"/>
    <n v="0"/>
    <n v="0"/>
    <n v="0"/>
    <n v="0"/>
    <n v="0"/>
    <n v="0"/>
    <n v="0"/>
    <n v="-80000"/>
    <n v="0"/>
    <n v="-80000"/>
    <m/>
    <n v="0"/>
    <n v="0"/>
    <n v="80000"/>
    <n v="0"/>
    <n v="80000"/>
    <m/>
  </r>
  <r>
    <x v="0"/>
    <s v="CME Group"/>
    <m/>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n v="92000"/>
    <n v="0"/>
    <n v="10000"/>
    <n v="92000"/>
    <n v="102000"/>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3B1B04-EA7D-4DA3-9731-EFFF6ABC21AD}" name="PivotTable1"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74">
    <pivotField axis="axisPage" compact="0" outline="0" multipleItemSelectionAllowed="1" showAll="0">
      <items count="6">
        <item h="1" x="4"/>
        <item h="1" x="3"/>
        <item x="0"/>
        <item x="1"/>
        <item x="2"/>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8">
        <item sd="0" x="5"/>
        <item sd="0" x="0"/>
        <item sd="0" x="2"/>
        <item sd="0" x="4"/>
        <item sd="0" x="3"/>
        <item sd="0" x="1"/>
        <item sd="0" x="6"/>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9">
        <item x="6"/>
        <item x="5"/>
        <item x="7"/>
        <item x="3"/>
        <item x="4"/>
        <item x="2"/>
        <item x="1"/>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Net Position" fld="25" baseField="0" baseItem="0" numFmtId="166"/>
  </dataFields>
  <formats count="8">
    <format dxfId="103">
      <pivotArea outline="0" collapsedLevelsAreSubtotals="1" fieldPosition="0"/>
    </format>
    <format dxfId="102">
      <pivotArea dataOnly="0" labelOnly="1" outline="0" fieldPosition="0">
        <references count="1">
          <reference field="4294967294" count="1">
            <x v="2"/>
          </reference>
        </references>
      </pivotArea>
    </format>
    <format dxfId="101">
      <pivotArea field="6" type="button" dataOnly="0" labelOnly="1" outline="0" axis="axisRow" fieldPosition="0"/>
    </format>
    <format dxfId="100">
      <pivotArea field="12" type="button" dataOnly="0" labelOnly="1" outline="0" axis="axisRow" fieldPosition="1"/>
    </format>
    <format dxfId="99">
      <pivotArea dataOnly="0" labelOnly="1" outline="0" fieldPosition="0">
        <references count="1">
          <reference field="4294967294" count="3">
            <x v="0"/>
            <x v="1"/>
            <x v="2"/>
          </reference>
        </references>
      </pivotArea>
    </format>
    <format dxfId="98">
      <pivotArea field="6" type="button" dataOnly="0" labelOnly="1" outline="0" axis="axisRow" fieldPosition="0"/>
    </format>
    <format dxfId="97">
      <pivotArea field="12" type="button" dataOnly="0" labelOnly="1" outline="0" axis="axisRow" fieldPosition="1"/>
    </format>
    <format dxfId="96">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6A94DEA-BD49-4B74-9EA2-CF8250454F03}" name="PivotTable4"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74">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9">
        <item x="6"/>
        <item x="5"/>
        <item x="7"/>
        <item x="3"/>
        <item x="4"/>
        <item x="2"/>
        <item x="1"/>
        <item x="0"/>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 numFmtId="166" showAll="0"/>
    <pivotField numFmtId="166" showAll="0"/>
    <pivotField numFmtId="166" showAll="0"/>
    <pivotField numFmtId="166" showAll="0"/>
    <pivotField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Net Position" fld="25" baseField="0" baseItem="0" numFmtId="166"/>
  </dataFields>
  <formats count="2">
    <format dxfId="105">
      <pivotArea outline="0" collapsedLevelsAreSubtotals="1" fieldPosition="0"/>
    </format>
    <format dxfId="104">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1">
    <format dxfId="10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405022D-4682-44B7-9D2C-E85A7D6E2921}" name="PivotTable1"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74">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8">
        <item x="5"/>
        <item x="0"/>
        <item x="2"/>
        <item x="4"/>
        <item x="3"/>
        <item x="1"/>
        <item h="1"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9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C228208-8EB9-4663-8C9F-EF5B0C037E98}" name="PivotTable2"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H37" firstHeaderRow="1" firstDataRow="2" firstDataCol="1"/>
  <pivotFields count="74">
    <pivotField compact="0" outline="0" multipleItemSelectionAllowed="1" showAll="0"/>
    <pivotField compact="0" outline="0" showAll="0"/>
    <pivotField compact="0" outline="0" showAll="0"/>
    <pivotField axis="axisRow" compact="0" outline="0" showAll="0">
      <items count="35">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3"/>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9">
        <item h="1" sd="0" x="6"/>
        <item sd="0" x="5"/>
        <item sd="0" x="7"/>
        <item sd="0" x="3"/>
        <item h="1" sd="0" x="4"/>
        <item sd="0" x="2"/>
        <item sd="0" x="1"/>
        <item sd="0"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3">
    <i>
      <x/>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Fields count="1">
    <field x="12"/>
  </colFields>
  <colItems count="7">
    <i>
      <x v="1"/>
    </i>
    <i>
      <x v="2"/>
    </i>
    <i>
      <x v="3"/>
    </i>
    <i>
      <x v="5"/>
    </i>
    <i>
      <x v="6"/>
    </i>
    <i>
      <x v="7"/>
    </i>
    <i t="grand">
      <x/>
    </i>
  </colItems>
  <dataFields count="1">
    <dataField name="Sum of 2026 (Actuals + Forecast)" fld="22" baseField="0" baseItem="0"/>
  </dataFields>
  <formats count="1">
    <format dxfId="9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3B1FD0-AA22-4966-8F8D-FE095999CB2A}" name="Financials20263" displayName="Financials20263" ref="A1:BV150" totalsRowShown="0" headerRowBorderDxfId="182" tableBorderDxfId="181">
  <autoFilter ref="A1:BV150" xr:uid="{A492086E-22C3-4E96-A6F5-F99E42618563}"/>
  <tableColumns count="74">
    <tableColumn id="1" xr3:uid="{242EDFF6-742E-412A-994F-DE5685E22BB0}" name="Transaction Type" dataDxfId="180"/>
    <tableColumn id="2" xr3:uid="{08616251-7DE6-4D23-92E4-2E85B1D94360}" name="D365 Legal Vendor name" dataDxfId="179"/>
    <tableColumn id="3" xr3:uid="{BD70789C-92D9-4A27-B8C3-E2607261E720}" name="DBA / AKA / Passthrough" dataDxfId="178"/>
    <tableColumn id="4" xr3:uid="{3918E27D-D871-43A2-9D6A-94FB14F654EC}" name="Project ID" dataDxfId="177"/>
    <tableColumn id="5" xr3:uid="{A028ADB0-AF1A-40E1-8A52-FF282B40DE64}" name="Project Name" dataDxfId="176"/>
    <tableColumn id="6" xr3:uid="{B4F67E57-8B0C-436C-BF42-2CAC2B8245C1}" name="Domain" dataDxfId="175"/>
    <tableColumn id="7" xr3:uid="{91E0CA19-9704-4FB2-9B82-EB394E89DF85}" name="Domain Owner" dataDxfId="174"/>
    <tableColumn id="9" xr3:uid="{090B133E-C581-4D72-9CCF-C2D174AB0F43}" name="Contract Start" dataDxfId="173"/>
    <tableColumn id="10" xr3:uid="{610CA386-C3EA-4064-9F45-507F0B25669D}" name="Contract End" dataDxfId="172"/>
    <tableColumn id="11" xr3:uid="{7A9CDD19-1472-4FAD-ACF7-98BC097996DE}" name="Application" dataDxfId="171"/>
    <tableColumn id="12" xr3:uid="{F6177E08-E03D-4CE8-A8C5-24F7F0CE38DF}" name="Project Details" dataDxfId="170">
      <calculatedColumnFormula>D2 &amp; "-" &amp;E2</calculatedColumnFormula>
    </tableColumn>
    <tableColumn id="13" xr3:uid="{F8731934-20F7-4424-BF3E-888C8F3E250E}" name="Category" dataDxfId="169"/>
    <tableColumn id="14" xr3:uid="{97F74ECF-D3E1-4544-B389-0D70673967E8}" name="Sub-Category1" dataDxfId="168"/>
    <tableColumn id="17" xr3:uid="{4C848037-D78D-42C1-A2C6-E6309704016E}" name="Sub-Category2" dataDxfId="167"/>
    <tableColumn id="21" xr3:uid="{0122725A-C30C-4CEE-B8D6-2422E3E10326}" name="Contract Type" dataDxfId="166"/>
    <tableColumn id="15" xr3:uid="{DCD4FDCF-43FF-4308-9293-62EA996620ED}" name="MGMT View Category (OneStream)" dataDxfId="165"/>
    <tableColumn id="18" xr3:uid="{658A4718-1DA7-4FBE-8992-7FAE7F4C7F49}" name="Onestream Account" dataDxfId="164"/>
    <tableColumn id="19" xr3:uid="{5267CF94-3623-462E-97AF-E18156B00053}" name="A/P Account Name" dataDxfId="163"/>
    <tableColumn id="20" xr3:uid="{5E0DC275-3907-45A6-9C4F-937BDB02153F}" name="Accounting Treatment" dataDxfId="162"/>
    <tableColumn id="22" xr3:uid="{16BEBE99-AC2A-471E-8FD9-AAE62FE8D83D}" name="2025 Actuals" dataDxfId="161"/>
    <tableColumn id="23" xr3:uid="{AB3393C9-D921-4085-AF5F-B7B623848FCC}" name="2026 Initial Budget" dataDxfId="160" dataCellStyle="Comma"/>
    <tableColumn id="25" xr3:uid="{BD95F986-B575-45C9-B565-3F5A5D25B661}" name="2026 Final Budget" dataDxfId="159" dataCellStyle="Comma"/>
    <tableColumn id="26" xr3:uid="{FE8AB3AA-8105-4CAA-9C84-BF99E639D702}" name="2026 (Actuals + Forecast)" dataDxfId="158" dataCellStyle="Comma">
      <calculatedColumnFormula>AO2+IF(ISBLANK(AP2),AB2,AP2)+IF(ISBLANK(AQ2),AC2,AQ2)+IF(ISBLANK(AR2),AD2,AR2)+IF(ISBLANK(AS2),AE2,AS2)+IF(ISBLANK(AT2),AF2,AT2)</calculatedColumnFormula>
    </tableColumn>
    <tableColumn id="27" xr3:uid="{FD25F16C-2EAA-415A-9A5A-67EF55B9D97F}" name="2026 Opportunity" dataDxfId="157" dataCellStyle="Comma">
      <calculatedColumnFormula>IF(V2 &gt;= W2, V2 - W2, 0)*-1</calculatedColumnFormula>
    </tableColumn>
    <tableColumn id="28" xr3:uid="{3E8C9BC3-A36F-4429-ADF1-E2E31EDFB123}" name="2026 Risk" dataDxfId="156" dataCellStyle="Comma">
      <calculatedColumnFormula>IF(W2 &gt; V2, W2 - V2, 0)</calculatedColumnFormula>
    </tableColumn>
    <tableColumn id="16" xr3:uid="{A2223374-A086-4670-9148-44C5B80D2F38}" name="2026 Net Position" dataDxfId="155" dataCellStyle="Comma">
      <calculatedColumnFormula>SUM(Financials20263[[#This Row],[2026 Opportunity]:[2026 Risk]])</calculatedColumnFormula>
    </tableColumn>
    <tableColumn id="29" xr3:uid="{9340939D-B61A-4867-A6FB-35598984DFC3}" name="Notes" dataDxfId="154"/>
    <tableColumn id="31" xr3:uid="{CAB5AFB6-CA5B-483A-9BAF-5761679A373B}" name="Jan FC" dataDxfId="153" dataCellStyle="Comma"/>
    <tableColumn id="32" xr3:uid="{5E6FFDA7-DF5F-495F-BC8D-D67F03329023}" name="Feb FC" dataDxfId="152" dataCellStyle="Comma"/>
    <tableColumn id="33" xr3:uid="{5058D119-6F17-43D3-AEF2-4F273CEBA31A}" name="Mar FC" dataDxfId="151" dataCellStyle="Comma"/>
    <tableColumn id="34" xr3:uid="{A3AC516B-B770-430E-B148-E1D3D9567FAD}" name="Apr FC" dataDxfId="150" dataCellStyle="Comma"/>
    <tableColumn id="35" xr3:uid="{ECEA33AD-45C5-4E82-A009-017E85D7DB44}" name="May FC" dataDxfId="149" dataCellStyle="Comma"/>
    <tableColumn id="36" xr3:uid="{E9DB8B47-323F-434B-807B-8748ED61ED34}" name="Jun FC" dataDxfId="148" dataCellStyle="Comma"/>
    <tableColumn id="37" xr3:uid="{6374D5F8-607B-41C2-B794-601F25EB418D}" name="Jul FC" dataDxfId="147" dataCellStyle="Comma"/>
    <tableColumn id="38" xr3:uid="{B4C16149-C9F0-45EC-B182-FD3B8B7429E0}" name="Aug FC" dataDxfId="146" dataCellStyle="Comma"/>
    <tableColumn id="39" xr3:uid="{26B14811-E5F5-4106-A54B-40DE00366D76}" name="Sep FC" dataDxfId="145" dataCellStyle="Comma"/>
    <tableColumn id="40" xr3:uid="{9E952692-1BDD-4D56-A183-37BF4A11F526}" name="Oct FC" dataDxfId="144" dataCellStyle="Comma"/>
    <tableColumn id="41" xr3:uid="{A049F4C1-34D3-4A29-86A7-C671D5C6D98B}" name="Nov FC" dataDxfId="143" dataCellStyle="Comma"/>
    <tableColumn id="42" xr3:uid="{5705BE95-DF6B-473B-8FA4-9E4226201603}" name="Dec FC" dataDxfId="142" dataCellStyle="Comma"/>
    <tableColumn id="74" xr3:uid="{9D40B7D4-7BAE-4A98-8145-9A222ED326B8}" name="Total - FC" dataDxfId="141" dataCellStyle="Comma">
      <calculatedColumnFormula>SUM(Financials20263[[#This Row],[Jan FC]:[Dec FC]])</calculatedColumnFormula>
    </tableColumn>
    <tableColumn id="43" xr3:uid="{91FD6C06-93AB-414D-9B76-887643EEED96}" name="Jun-Dec FC" dataDxfId="140" dataCellStyle="Comma">
      <calculatedColumnFormula>SUM(AG2:AM2)</calculatedColumnFormula>
    </tableColumn>
    <tableColumn id="56" xr3:uid="{F69A83C4-B9A3-4262-A8CB-8CE81864D5FA}" name="Jan AC" dataDxfId="139" dataCellStyle="Comma"/>
    <tableColumn id="55" xr3:uid="{1E9D6300-4AD1-4261-A1FF-6366DF423E92}" name="Feb AC" dataDxfId="138" dataCellStyle="Comma"/>
    <tableColumn id="54" xr3:uid="{13FFF1FD-26A1-4FD6-97E8-9386AB4AC43C}" name="Mar AC" dataDxfId="137" dataCellStyle="Comma"/>
    <tableColumn id="53" xr3:uid="{4528A9EB-DCC4-4768-9C74-B00744D89F2E}" name="Apr AC" dataDxfId="136" dataCellStyle="Comma"/>
    <tableColumn id="52" xr3:uid="{09BBCE26-5305-4845-8E95-2938F78951A1}" name="May AC" dataDxfId="135" dataCellStyle="Comma"/>
    <tableColumn id="51" xr3:uid="{B53E3A5E-4C7A-47F6-98EF-98D0339ED7EF}" name="Jun AC" dataDxfId="134" dataCellStyle="Comma"/>
    <tableColumn id="50" xr3:uid="{1B3A42E1-1A4A-4F02-AB85-F321F9298327}" name="Jul AC" dataDxfId="133" dataCellStyle="Comma"/>
    <tableColumn id="49" xr3:uid="{DB3FF538-4DFF-4E76-A4ED-65067E509D32}" name="Aug AC" dataDxfId="132" dataCellStyle="Comma"/>
    <tableColumn id="48" xr3:uid="{7811DD89-220A-4A96-BB76-DDA3AB708625}" name="Sep AC" dataDxfId="131" dataCellStyle="Comma"/>
    <tableColumn id="47" xr3:uid="{A17FFA7D-49AE-4866-91BB-54ABF4DBC444}" name="Oct AC" dataDxfId="130" dataCellStyle="Comma"/>
    <tableColumn id="46" xr3:uid="{41435EA0-FEC7-48B7-855E-47C16BC64CF6}" name="Nov AC" dataDxfId="129" dataCellStyle="Comma"/>
    <tableColumn id="30" xr3:uid="{A2239101-D3EE-49BD-BE0C-6704F209BED4}" name="Dec AC" dataDxfId="128" dataCellStyle="Comma"/>
    <tableColumn id="75" xr3:uid="{C6B2B2DB-BFC6-4CA1-A44B-AB1642CA5DF4}" name="Total Actuals" dataDxfId="127" dataCellStyle="Comma">
      <calculatedColumnFormula>SUM(Financials20263[[#This Row],[Jan AC]:[Dec AC]])</calculatedColumnFormula>
    </tableColumn>
    <tableColumn id="58" xr3:uid="{C27E561F-EC4E-4A83-860E-89EDAFD8273C}" name="Jan Opp/Risk" dataDxfId="126" dataCellStyle="Comma">
      <calculatedColumnFormula>Financials20263[[#This Row],[Jan AC]]-Financials20263[[#This Row],[Jan FC]]</calculatedColumnFormula>
    </tableColumn>
    <tableColumn id="59" xr3:uid="{DC3F935F-676C-4615-83CE-F51DCA99DF38}" name="Feb Opp./Risk" dataDxfId="125" dataCellStyle="Comma">
      <calculatedColumnFormula>Financials20263[[#This Row],[Feb AC]]-Financials20263[[#This Row],[Feb FC]]</calculatedColumnFormula>
    </tableColumn>
    <tableColumn id="60" xr3:uid="{51453838-C75C-48B0-801A-F08E0238B429}" name="Mar Opp./Risk" dataDxfId="124" dataCellStyle="Comma">
      <calculatedColumnFormula>Financials20263[[#This Row],[Mar AC]]-Financials20263[[#This Row],[Mar FC]]</calculatedColumnFormula>
    </tableColumn>
    <tableColumn id="61" xr3:uid="{B784A374-2FB6-4FF5-B896-BF2FC8499F68}" name="Apr Opp./Risk" dataDxfId="123" dataCellStyle="Comma">
      <calculatedColumnFormula>Financials20263[[#This Row],[Apr AC]]-Financials20263[[#This Row],[Apr FC]]</calculatedColumnFormula>
    </tableColumn>
    <tableColumn id="62" xr3:uid="{1563E951-050B-4915-B1A7-626B46F193F0}" name="May Opp./Risk" dataDxfId="122" dataCellStyle="Comma">
      <calculatedColumnFormula>Financials20263[[#This Row],[May AC]]-Financials20263[[#This Row],[May FC]]</calculatedColumnFormula>
    </tableColumn>
    <tableColumn id="63" xr3:uid="{CE10A45E-D613-4BBA-950B-3F0858138F44}" name="Jun Opp./Risk" dataDxfId="121" dataCellStyle="Comma">
      <calculatedColumnFormula>Financials20263[[#This Row],[Jun AC]]-Financials20263[[#This Row],[Jun FC]]</calculatedColumnFormula>
    </tableColumn>
    <tableColumn id="64" xr3:uid="{5A2AAB70-868C-4DC5-B5DD-4E11E098A39F}" name="Jul Opp./Risk" dataDxfId="120" dataCellStyle="Comma">
      <calculatedColumnFormula>Financials20263[[#This Row],[Jul AC]]-Financials20263[[#This Row],[Jul FC]]</calculatedColumnFormula>
    </tableColumn>
    <tableColumn id="65" xr3:uid="{1665AA1E-8313-4AF7-B6A0-D7722A026704}" name="Aug Opp./Risk" dataDxfId="119" dataCellStyle="Comma">
      <calculatedColumnFormula>Financials20263[[#This Row],[Aug AC]]-Financials20263[[#This Row],[Aug FC]]</calculatedColumnFormula>
    </tableColumn>
    <tableColumn id="66" xr3:uid="{25976019-C5B2-4B4F-8C89-FBB761553DE6}" name="Sep Opp./Risk" dataDxfId="118" dataCellStyle="Comma">
      <calculatedColumnFormula>Financials20263[[#This Row],[Sep AC]]-Financials20263[[#This Row],[Sep FC]]</calculatedColumnFormula>
    </tableColumn>
    <tableColumn id="67" xr3:uid="{ADF406C3-7173-4813-980E-7B87D65C153C}" name="Oct Opp./Risk" dataDxfId="117" dataCellStyle="Comma">
      <calculatedColumnFormula>Financials20263[[#This Row],[Oct AC]]-Financials20263[[#This Row],[Oct FC]]</calculatedColumnFormula>
    </tableColumn>
    <tableColumn id="68" xr3:uid="{636AB1D8-3FD4-42A0-975E-52B3FA7F8493}" name="Nov Opp./Risk" dataDxfId="116" dataCellStyle="Comma">
      <calculatedColumnFormula>Financials20263[[#This Row],[Nov AC]]-Financials20263[[#This Row],[Nov FC]]</calculatedColumnFormula>
    </tableColumn>
    <tableColumn id="69" xr3:uid="{CFD742A6-574D-4723-AAC1-62CB4F69D985}" name="Dec Opp./Risk" dataDxfId="115" dataCellStyle="Comma">
      <calculatedColumnFormula>Financials20263[[#This Row],[Dec AC]]-Financials20263[[#This Row],[Dec FC]]</calculatedColumnFormula>
    </tableColumn>
    <tableColumn id="76" xr3:uid="{90F33527-CC5D-4F93-BE20-F67E6D4714B4}" name="Total Opp./Risk" dataDxfId="114" dataCellStyle="Comma">
      <calculatedColumnFormula>SUM(Financials20263[[#This Row],[Jan Opp/Risk]:[Dec Opp./Risk]])</calculatedColumnFormula>
    </tableColumn>
    <tableColumn id="45" xr3:uid="{40E9183E-CE83-4399-9E89-734953B2AD7E}" name="Notes - Swati" dataDxfId="113" dataCellStyle="Comma"/>
    <tableColumn id="57" xr3:uid="{71A027C0-CE0B-44F4-9BEA-44F1E025C29C}" name="Jan-May Actuals" dataDxfId="112" dataCellStyle="Comma">
      <calculatedColumnFormula>SUM(Financials20263[[#This Row],[Jan AC]:[May AC]])</calculatedColumnFormula>
    </tableColumn>
    <tableColumn id="8" xr3:uid="{A4CDF58C-06B8-490E-851A-3E8597DB1ABC}" name="Jan-May Forecast " dataDxfId="111">
      <calculatedColumnFormula>Financials20263[[#This Row],[2026 (Actuals + Forecast)]]-Financials20263[[#This Row],[Jan-May Actuals]]-Financials20263[[#This Row],[Jun-Dec FC]]</calculatedColumnFormula>
    </tableColumn>
    <tableColumn id="24" xr3:uid="{793354D9-A30A-4975-87DD-55AF941A43CF}" name="Forecast Jun-Dec" dataDxfId="110">
      <calculatedColumnFormula>Financials20263[[#This Row],[Jun-Dec FC]]+Financials20263[[#This Row],[Jan-May Forecast ]]</calculatedColumnFormula>
    </tableColumn>
    <tableColumn id="44" xr3:uid="{A205C803-FAD6-4776-8381-5DC72A34682B}" name="Forecast Jan-May" dataDxfId="109">
      <calculatedColumnFormula>SUM(Financials20263[[#This Row],[Jan FC]:[May FC]])</calculatedColumnFormula>
    </tableColumn>
    <tableColumn id="70" xr3:uid="{DAAE9D59-198D-4744-9647-FCD523ED7658}" name="Actual+Forecast" dataDxfId="108">
      <calculatedColumnFormula>Financials20263[[#This Row],[Jan-May Actuals]]+Financials20263[[#This Row],[Forecast Jun-Dec]]</calculatedColumnFormula>
    </tableColumn>
    <tableColumn id="71" xr3:uid="{E2A7DC33-E1C7-4989-AFA3-667DE437DAE3}" name="Non-Comitted" dataDxfId="10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workbookViewId="0">
      <selection activeCell="E37" sqref="E37"/>
    </sheetView>
  </sheetViews>
  <sheetFormatPr defaultRowHeight="14.4" x14ac:dyDescent="0.3"/>
  <cols>
    <col min="1" max="1" width="14.5546875" bestFit="1" customWidth="1"/>
    <col min="2" max="2" width="21.88671875" bestFit="1" customWidth="1"/>
    <col min="3" max="3" width="28.21875" bestFit="1" customWidth="1"/>
    <col min="4" max="4" width="15" bestFit="1" customWidth="1"/>
    <col min="5" max="5" width="21.6640625" bestFit="1" customWidth="1"/>
    <col min="6" max="6" width="21.77734375" bestFit="1" customWidth="1"/>
    <col min="7" max="7" width="4.21875" customWidth="1"/>
    <col min="8" max="8" width="4.44140625" customWidth="1"/>
    <col min="9" max="9" width="3.77734375" customWidth="1"/>
    <col min="10" max="10" width="25.6640625" bestFit="1" customWidth="1"/>
  </cols>
  <sheetData>
    <row r="1" spans="1:10" x14ac:dyDescent="0.3">
      <c r="A1" s="8" t="s">
        <v>42</v>
      </c>
      <c r="B1" t="s">
        <v>43</v>
      </c>
      <c r="C1" s="180" t="s">
        <v>537</v>
      </c>
      <c r="D1" s="180"/>
      <c r="E1" s="180"/>
      <c r="F1" s="180"/>
      <c r="J1" s="19" t="s">
        <v>39</v>
      </c>
    </row>
    <row r="2" spans="1:10" x14ac:dyDescent="0.3">
      <c r="C2" s="180"/>
      <c r="D2" s="180"/>
      <c r="E2" s="180"/>
      <c r="F2" s="180"/>
      <c r="J2" s="20">
        <v>44788398</v>
      </c>
    </row>
    <row r="3" spans="1:10" x14ac:dyDescent="0.3">
      <c r="A3" s="8" t="s">
        <v>88</v>
      </c>
      <c r="B3" s="16" t="s">
        <v>0</v>
      </c>
      <c r="C3" t="s">
        <v>580</v>
      </c>
      <c r="D3" s="16" t="s">
        <v>44</v>
      </c>
      <c r="E3" s="16" t="s">
        <v>45</v>
      </c>
      <c r="F3" s="16" t="s">
        <v>481</v>
      </c>
      <c r="J3" s="138">
        <f>GETPIVOTDATA("Sum of 2026 Final Budget",$A$3)-J2</f>
        <v>-4.385000467300415E-2</v>
      </c>
    </row>
    <row r="4" spans="1:10" x14ac:dyDescent="0.3">
      <c r="A4" s="9" t="s">
        <v>2</v>
      </c>
      <c r="B4" s="6">
        <v>3678567</v>
      </c>
      <c r="C4" s="6">
        <v>1686396</v>
      </c>
      <c r="D4" s="6">
        <v>129900</v>
      </c>
      <c r="E4" s="6">
        <v>-2122071</v>
      </c>
      <c r="F4" s="6">
        <v>-1992171</v>
      </c>
      <c r="J4" s="45"/>
    </row>
    <row r="5" spans="1:10" x14ac:dyDescent="0.3">
      <c r="A5" s="9" t="s">
        <v>3</v>
      </c>
      <c r="B5" s="6">
        <v>116236</v>
      </c>
      <c r="C5" s="6">
        <v>181931.40333333332</v>
      </c>
      <c r="D5" s="6">
        <v>75000</v>
      </c>
      <c r="E5" s="6">
        <v>-9304.5966666666609</v>
      </c>
      <c r="F5" s="6">
        <v>65695.403333333335</v>
      </c>
    </row>
    <row r="6" spans="1:10" x14ac:dyDescent="0.3">
      <c r="A6" s="9" t="s">
        <v>4</v>
      </c>
      <c r="B6" s="6">
        <v>8342615.0750000002</v>
      </c>
      <c r="C6" s="6">
        <v>8313151.6225666674</v>
      </c>
      <c r="D6" s="6">
        <v>2267.1459</v>
      </c>
      <c r="E6" s="6">
        <v>-31730.598333332935</v>
      </c>
      <c r="F6" s="6">
        <v>-29463.452433332935</v>
      </c>
    </row>
    <row r="7" spans="1:10" x14ac:dyDescent="0.3">
      <c r="A7" s="9" t="s">
        <v>46</v>
      </c>
      <c r="B7" s="6">
        <v>7271840</v>
      </c>
      <c r="C7" s="6">
        <v>8627695.9199999999</v>
      </c>
      <c r="D7" s="6">
        <v>2222391.92</v>
      </c>
      <c r="E7" s="6">
        <v>-866536</v>
      </c>
      <c r="F7" s="6">
        <v>1355855.92</v>
      </c>
    </row>
    <row r="8" spans="1:10" x14ac:dyDescent="0.3">
      <c r="A8" s="9" t="s">
        <v>5</v>
      </c>
      <c r="B8" s="6">
        <v>2751491.34</v>
      </c>
      <c r="C8" s="6">
        <v>2735863.81</v>
      </c>
      <c r="D8" s="6">
        <v>247000</v>
      </c>
      <c r="E8" s="6">
        <v>-262627.53000000003</v>
      </c>
      <c r="F8" s="6">
        <v>-15627.529999999999</v>
      </c>
    </row>
    <row r="9" spans="1:10" x14ac:dyDescent="0.3">
      <c r="A9" s="9" t="s">
        <v>6</v>
      </c>
      <c r="B9" s="6">
        <v>2229219</v>
      </c>
      <c r="C9" s="6">
        <v>2213509.2200000002</v>
      </c>
      <c r="D9" s="6">
        <v>16289.699999999993</v>
      </c>
      <c r="E9" s="6">
        <v>-31999.47999999969</v>
      </c>
      <c r="F9" s="6">
        <v>-15709.779999999697</v>
      </c>
    </row>
    <row r="10" spans="1:10" x14ac:dyDescent="0.3">
      <c r="A10" s="9" t="s">
        <v>7</v>
      </c>
      <c r="B10" s="6">
        <v>20398429.54115</v>
      </c>
      <c r="C10" s="6">
        <v>21476993.157666672</v>
      </c>
      <c r="D10" s="6">
        <v>1503078.1116666656</v>
      </c>
      <c r="E10" s="6">
        <v>-424514.49514999957</v>
      </c>
      <c r="F10" s="6">
        <v>1078563.616516666</v>
      </c>
    </row>
    <row r="11" spans="1:10" x14ac:dyDescent="0.3">
      <c r="A11" s="9" t="s">
        <v>8</v>
      </c>
      <c r="B11" s="6">
        <v>44788397.956149995</v>
      </c>
      <c r="C11" s="6">
        <v>45235541.13356667</v>
      </c>
      <c r="D11" s="6">
        <v>4195926.8775666654</v>
      </c>
      <c r="E11" s="6">
        <v>-3748783.7001499985</v>
      </c>
      <c r="F11" s="6">
        <v>447143.17741666653</v>
      </c>
    </row>
    <row r="13" spans="1:10" hidden="1" x14ac:dyDescent="0.3">
      <c r="A13" s="8" t="s">
        <v>42</v>
      </c>
      <c r="B13" t="s">
        <v>43</v>
      </c>
      <c r="E13" s="6"/>
      <c r="F13" s="6"/>
    </row>
    <row r="14" spans="1:10" hidden="1" x14ac:dyDescent="0.3">
      <c r="A14" s="8" t="s">
        <v>47</v>
      </c>
      <c r="B14" t="s">
        <v>43</v>
      </c>
    </row>
    <row r="15" spans="1:10" hidden="1" x14ac:dyDescent="0.3"/>
    <row r="16" spans="1:10" hidden="1" x14ac:dyDescent="0.3">
      <c r="A16" s="8" t="s">
        <v>1</v>
      </c>
      <c r="B16" t="s">
        <v>44</v>
      </c>
      <c r="C16" t="s">
        <v>45</v>
      </c>
      <c r="D16" t="s">
        <v>0</v>
      </c>
    </row>
    <row r="17" spans="1:6" hidden="1" x14ac:dyDescent="0.3">
      <c r="A17" s="9" t="s">
        <v>48</v>
      </c>
      <c r="B17" s="6">
        <v>2681147.5669999998</v>
      </c>
      <c r="C17" s="6">
        <v>-1445850.4541500001</v>
      </c>
      <c r="D17" s="6">
        <v>10007813.59715</v>
      </c>
    </row>
    <row r="18" spans="1:6" hidden="1" x14ac:dyDescent="0.3">
      <c r="A18" s="9" t="s">
        <v>49</v>
      </c>
      <c r="B18" s="6">
        <v>555481.20723333373</v>
      </c>
      <c r="C18" s="6">
        <v>-803621.83283333294</v>
      </c>
      <c r="D18" s="6">
        <v>14217853.790000001</v>
      </c>
    </row>
    <row r="19" spans="1:6" hidden="1" x14ac:dyDescent="0.3">
      <c r="A19" s="9" t="s">
        <v>50</v>
      </c>
      <c r="B19" s="6">
        <v>1087555.4199999985</v>
      </c>
      <c r="C19" s="6">
        <v>-1280770.97</v>
      </c>
      <c r="D19" s="6">
        <v>13152468.5</v>
      </c>
    </row>
    <row r="20" spans="1:6" hidden="1" x14ac:dyDescent="0.3">
      <c r="A20" s="9" t="s">
        <v>51</v>
      </c>
      <c r="B20" s="6">
        <v>247000.3</v>
      </c>
      <c r="C20" s="6">
        <v>-405360</v>
      </c>
      <c r="D20" s="6">
        <v>1752990.7</v>
      </c>
    </row>
    <row r="21" spans="1:6" hidden="1" x14ac:dyDescent="0.3">
      <c r="A21" s="9" t="s">
        <v>52</v>
      </c>
      <c r="B21" s="6">
        <v>50312.124166666646</v>
      </c>
      <c r="C21" s="6">
        <v>-22969.722500000018</v>
      </c>
      <c r="D21" s="6">
        <v>1785617.7549999999</v>
      </c>
    </row>
    <row r="22" spans="1:6" hidden="1" x14ac:dyDescent="0.3">
      <c r="A22" s="9" t="s">
        <v>53</v>
      </c>
      <c r="B22" s="6">
        <v>94895.17</v>
      </c>
      <c r="C22" s="6">
        <v>-287727.46933333331</v>
      </c>
      <c r="D22" s="6">
        <v>2627635.6140000001</v>
      </c>
    </row>
    <row r="23" spans="1:6" hidden="1" x14ac:dyDescent="0.3">
      <c r="A23" s="9" t="s">
        <v>420</v>
      </c>
      <c r="B23" s="6">
        <v>32669.254166666651</v>
      </c>
      <c r="C23" s="6">
        <v>0</v>
      </c>
      <c r="D23" s="6">
        <v>1244018</v>
      </c>
    </row>
    <row r="24" spans="1:6" hidden="1" x14ac:dyDescent="0.3">
      <c r="A24" s="9" t="s">
        <v>8</v>
      </c>
      <c r="B24" s="6">
        <v>4749061.0425666645</v>
      </c>
      <c r="C24" s="6">
        <v>-4246300.4488166664</v>
      </c>
      <c r="D24" s="6">
        <v>44788397.95615001</v>
      </c>
    </row>
    <row r="25" spans="1:6" x14ac:dyDescent="0.3">
      <c r="A25" s="98" t="s">
        <v>511</v>
      </c>
      <c r="B25" s="99">
        <f>B11/1000000</f>
        <v>44.788397956149993</v>
      </c>
      <c r="C25" s="100">
        <f t="shared" ref="C25:F25" si="0">C11/1000000</f>
        <v>45.23554113356667</v>
      </c>
      <c r="D25" s="100">
        <f t="shared" si="0"/>
        <v>4.1959268775666656</v>
      </c>
      <c r="E25" s="100">
        <f t="shared" si="0"/>
        <v>-3.7487837001499984</v>
      </c>
      <c r="F25" s="100">
        <f t="shared" si="0"/>
        <v>0.44714317741666654</v>
      </c>
    </row>
    <row r="26" spans="1:6" x14ac:dyDescent="0.3">
      <c r="B26" s="43"/>
      <c r="C26" s="43"/>
      <c r="D26" s="43"/>
      <c r="E26" s="43"/>
      <c r="F26" s="43"/>
    </row>
    <row r="27" spans="1:6" x14ac:dyDescent="0.3">
      <c r="A27" s="8" t="s">
        <v>42</v>
      </c>
      <c r="B27" t="s">
        <v>43</v>
      </c>
      <c r="C27" s="181" t="s">
        <v>538</v>
      </c>
      <c r="D27" s="181"/>
      <c r="E27" s="181"/>
    </row>
    <row r="28" spans="1:6" x14ac:dyDescent="0.3">
      <c r="C28" s="181"/>
      <c r="D28" s="181"/>
      <c r="E28" s="181"/>
    </row>
    <row r="29" spans="1:6" x14ac:dyDescent="0.3">
      <c r="C29" s="8" t="s">
        <v>488</v>
      </c>
    </row>
    <row r="30" spans="1:6" ht="28.8" x14ac:dyDescent="0.3">
      <c r="A30" s="101" t="s">
        <v>54</v>
      </c>
      <c r="B30" s="101" t="s">
        <v>47</v>
      </c>
      <c r="C30" s="102" t="s">
        <v>0</v>
      </c>
      <c r="D30" s="102" t="s">
        <v>536</v>
      </c>
      <c r="E30" s="103" t="s">
        <v>481</v>
      </c>
    </row>
    <row r="31" spans="1:6" x14ac:dyDescent="0.3">
      <c r="A31" t="s">
        <v>48</v>
      </c>
      <c r="C31" s="96">
        <v>9728294.5971499998</v>
      </c>
      <c r="D31" s="96">
        <v>4972139.854166666</v>
      </c>
      <c r="E31" s="96">
        <v>591020.90284999984</v>
      </c>
    </row>
    <row r="32" spans="1:6" x14ac:dyDescent="0.3">
      <c r="A32" t="s">
        <v>49</v>
      </c>
      <c r="C32" s="96">
        <v>14299443.790000001</v>
      </c>
      <c r="D32" s="96">
        <v>6208235.1634000018</v>
      </c>
      <c r="E32" s="96">
        <v>477861.89890000061</v>
      </c>
    </row>
    <row r="33" spans="1:6" x14ac:dyDescent="0.3">
      <c r="A33" t="s">
        <v>50</v>
      </c>
      <c r="C33" s="96">
        <v>13152468.5</v>
      </c>
      <c r="D33" s="96">
        <v>9518331.629999999</v>
      </c>
      <c r="E33" s="96">
        <v>-258807.14666666748</v>
      </c>
    </row>
    <row r="34" spans="1:6" x14ac:dyDescent="0.3">
      <c r="A34" t="s">
        <v>51</v>
      </c>
      <c r="C34" s="96">
        <v>1752990.7</v>
      </c>
      <c r="D34" s="96">
        <v>442226.75</v>
      </c>
      <c r="E34" s="96">
        <v>-231959.7</v>
      </c>
    </row>
    <row r="35" spans="1:6" x14ac:dyDescent="0.3">
      <c r="A35" t="s">
        <v>52</v>
      </c>
      <c r="C35" s="96">
        <v>1785617.7549999999</v>
      </c>
      <c r="D35" s="96">
        <v>915338.64000000013</v>
      </c>
      <c r="E35" s="96">
        <v>-6029.0883333333768</v>
      </c>
    </row>
    <row r="36" spans="1:6" x14ac:dyDescent="0.3">
      <c r="A36" t="s">
        <v>53</v>
      </c>
      <c r="C36" s="96">
        <v>2627635.6140000001</v>
      </c>
      <c r="D36" s="96">
        <v>973665.95000000007</v>
      </c>
      <c r="E36" s="96">
        <v>-124943.29933333333</v>
      </c>
    </row>
    <row r="37" spans="1:6" x14ac:dyDescent="0.3">
      <c r="A37" t="s">
        <v>8</v>
      </c>
      <c r="C37" s="96">
        <v>43346450.95615001</v>
      </c>
      <c r="D37" s="96">
        <v>23029937.987566669</v>
      </c>
      <c r="E37" s="96">
        <v>447143.56741666648</v>
      </c>
      <c r="F37" s="96"/>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BC647-6BFA-4DC4-B64D-9841A38552BB}">
  <sheetPr filterMode="1">
    <tabColor theme="5" tint="0.79998168889431442"/>
  </sheetPr>
  <dimension ref="A1:O152"/>
  <sheetViews>
    <sheetView workbookViewId="0">
      <selection activeCell="C16" sqref="C16"/>
    </sheetView>
  </sheetViews>
  <sheetFormatPr defaultRowHeight="14.4" outlineLevelRow="2" x14ac:dyDescent="0.3"/>
  <cols>
    <col min="1" max="1" width="18.5546875" customWidth="1"/>
    <col min="2" max="2" width="22.21875" customWidth="1"/>
    <col min="3" max="3" width="37" customWidth="1"/>
    <col min="4" max="7" width="20.33203125" customWidth="1"/>
    <col min="8" max="8" width="22.33203125" customWidth="1"/>
    <col min="9" max="9" width="74.109375" style="103" customWidth="1"/>
    <col min="10" max="10" width="27.77734375" style="102" customWidth="1"/>
  </cols>
  <sheetData>
    <row r="1" spans="1:15" x14ac:dyDescent="0.3">
      <c r="A1" s="147" t="s">
        <v>543</v>
      </c>
      <c r="B1" s="148" t="s">
        <v>54</v>
      </c>
      <c r="C1" s="148" t="s">
        <v>55</v>
      </c>
      <c r="D1" s="148" t="s">
        <v>97</v>
      </c>
      <c r="E1" s="148" t="s">
        <v>660</v>
      </c>
      <c r="F1" s="148" t="s">
        <v>661</v>
      </c>
      <c r="G1" s="148" t="s">
        <v>475</v>
      </c>
      <c r="H1" s="148" t="s">
        <v>662</v>
      </c>
      <c r="I1" s="149" t="s">
        <v>544</v>
      </c>
      <c r="J1" s="150" t="s">
        <v>545</v>
      </c>
    </row>
    <row r="2" spans="1:15" ht="43.2" hidden="1" outlineLevel="2" x14ac:dyDescent="0.3">
      <c r="A2" s="151" t="s">
        <v>2</v>
      </c>
      <c r="B2" s="152" t="s">
        <v>48</v>
      </c>
      <c r="C2" s="152" t="s">
        <v>181</v>
      </c>
      <c r="D2" s="153">
        <v>250000</v>
      </c>
      <c r="E2" s="153">
        <v>0</v>
      </c>
      <c r="F2" s="153">
        <v>152500</v>
      </c>
      <c r="G2" s="153">
        <f>E2+F2</f>
        <v>152500</v>
      </c>
      <c r="H2" s="153">
        <f>G2-D2</f>
        <v>-97500</v>
      </c>
      <c r="I2" s="154" t="s">
        <v>663</v>
      </c>
      <c r="J2" s="155" t="s">
        <v>546</v>
      </c>
      <c r="M2" s="150" t="s">
        <v>545</v>
      </c>
      <c r="N2" s="149" t="s">
        <v>544</v>
      </c>
      <c r="O2" s="150" t="s">
        <v>545</v>
      </c>
    </row>
    <row r="3" spans="1:15" ht="57.6" hidden="1" outlineLevel="2" x14ac:dyDescent="0.3">
      <c r="A3" s="151" t="s">
        <v>2</v>
      </c>
      <c r="B3" s="152" t="s">
        <v>48</v>
      </c>
      <c r="C3" s="152" t="s">
        <v>208</v>
      </c>
      <c r="D3" s="153">
        <v>2444000</v>
      </c>
      <c r="E3" s="153">
        <v>800000</v>
      </c>
      <c r="F3" s="153">
        <v>760000</v>
      </c>
      <c r="G3" s="153">
        <f>E3+F3</f>
        <v>1560000</v>
      </c>
      <c r="H3" s="153">
        <f>G3-D3</f>
        <v>-884000</v>
      </c>
      <c r="I3" s="156" t="s">
        <v>664</v>
      </c>
      <c r="J3" s="155" t="s">
        <v>546</v>
      </c>
      <c r="M3" t="s">
        <v>158</v>
      </c>
      <c r="N3" t="s">
        <v>665</v>
      </c>
      <c r="O3" t="s">
        <v>666</v>
      </c>
    </row>
    <row r="4" spans="1:15" hidden="1" outlineLevel="1" x14ac:dyDescent="0.3">
      <c r="A4" s="157" t="s">
        <v>2</v>
      </c>
      <c r="B4" s="158" t="s">
        <v>482</v>
      </c>
      <c r="C4" s="158"/>
      <c r="D4" s="159">
        <f>SUM(D2:D3)</f>
        <v>2694000</v>
      </c>
      <c r="E4" s="159">
        <f>SUM(E2:E3)</f>
        <v>800000</v>
      </c>
      <c r="F4" s="159">
        <f>SUM(F2:F3)</f>
        <v>912500</v>
      </c>
      <c r="G4" s="159">
        <f>SUM(G2:G3)</f>
        <v>1712500</v>
      </c>
      <c r="H4" s="159">
        <f>SUM(H2:H3)</f>
        <v>-981500</v>
      </c>
      <c r="I4" s="160"/>
      <c r="J4" s="161"/>
      <c r="M4" t="s">
        <v>41</v>
      </c>
      <c r="N4" t="s">
        <v>667</v>
      </c>
      <c r="O4" t="s">
        <v>668</v>
      </c>
    </row>
    <row r="5" spans="1:15" ht="43.2" hidden="1" outlineLevel="2" x14ac:dyDescent="0.3">
      <c r="A5" s="151" t="s">
        <v>2</v>
      </c>
      <c r="B5" s="152" t="s">
        <v>50</v>
      </c>
      <c r="C5" s="152" t="s">
        <v>400</v>
      </c>
      <c r="D5" s="153">
        <v>250000</v>
      </c>
      <c r="E5" s="153">
        <v>0</v>
      </c>
      <c r="F5" s="153">
        <v>150000</v>
      </c>
      <c r="G5" s="153">
        <f>E5+F5</f>
        <v>150000</v>
      </c>
      <c r="H5" s="153">
        <f>G5-D5</f>
        <v>-100000</v>
      </c>
      <c r="I5" s="156" t="s">
        <v>669</v>
      </c>
      <c r="J5" s="155" t="s">
        <v>546</v>
      </c>
      <c r="M5" t="s">
        <v>546</v>
      </c>
      <c r="N5" t="s">
        <v>670</v>
      </c>
      <c r="O5" t="s">
        <v>671</v>
      </c>
    </row>
    <row r="6" spans="1:15" ht="28.8" hidden="1" outlineLevel="2" x14ac:dyDescent="0.3">
      <c r="A6" s="151" t="s">
        <v>2</v>
      </c>
      <c r="B6" s="152" t="s">
        <v>50</v>
      </c>
      <c r="C6" s="152" t="s">
        <v>56</v>
      </c>
      <c r="D6" s="153">
        <v>50000</v>
      </c>
      <c r="E6" s="153">
        <v>0</v>
      </c>
      <c r="F6" s="153">
        <v>0</v>
      </c>
      <c r="G6" s="153">
        <f>E6+F6</f>
        <v>0</v>
      </c>
      <c r="H6" s="153">
        <f>G6-D6</f>
        <v>-50000</v>
      </c>
      <c r="I6" s="156" t="s">
        <v>672</v>
      </c>
      <c r="J6" s="155" t="s">
        <v>546</v>
      </c>
      <c r="M6" t="s">
        <v>550</v>
      </c>
      <c r="N6" t="s">
        <v>673</v>
      </c>
      <c r="O6" t="s">
        <v>674</v>
      </c>
    </row>
    <row r="7" spans="1:15" ht="28.8" hidden="1" outlineLevel="2" x14ac:dyDescent="0.3">
      <c r="A7" s="151" t="s">
        <v>2</v>
      </c>
      <c r="B7" s="152" t="s">
        <v>50</v>
      </c>
      <c r="C7" s="152" t="s">
        <v>208</v>
      </c>
      <c r="D7" s="153">
        <v>120000</v>
      </c>
      <c r="E7" s="153">
        <v>0</v>
      </c>
      <c r="F7" s="153">
        <v>120000</v>
      </c>
      <c r="G7" s="153">
        <f>E7+F7</f>
        <v>120000</v>
      </c>
      <c r="H7" s="153">
        <f>G7-D7</f>
        <v>0</v>
      </c>
      <c r="I7" s="162" t="s">
        <v>561</v>
      </c>
      <c r="J7" s="163" t="s">
        <v>547</v>
      </c>
    </row>
    <row r="8" spans="1:15" ht="43.2" hidden="1" outlineLevel="2" x14ac:dyDescent="0.3">
      <c r="A8" s="151" t="s">
        <v>2</v>
      </c>
      <c r="B8" s="152" t="s">
        <v>50</v>
      </c>
      <c r="C8" s="152" t="s">
        <v>334</v>
      </c>
      <c r="D8" s="153">
        <v>999600</v>
      </c>
      <c r="E8" s="153">
        <v>10000</v>
      </c>
      <c r="F8" s="153">
        <v>283500</v>
      </c>
      <c r="G8" s="153">
        <f>E8+F8</f>
        <v>293500</v>
      </c>
      <c r="H8" s="153">
        <f>G8-D8</f>
        <v>-706100</v>
      </c>
      <c r="I8" s="156" t="s">
        <v>675</v>
      </c>
      <c r="J8" s="155" t="s">
        <v>546</v>
      </c>
    </row>
    <row r="9" spans="1:15" hidden="1" outlineLevel="1" x14ac:dyDescent="0.3">
      <c r="A9" s="157" t="s">
        <v>2</v>
      </c>
      <c r="B9" s="158" t="s">
        <v>484</v>
      </c>
      <c r="C9" s="158"/>
      <c r="D9" s="159">
        <f>SUM(D5:D8)</f>
        <v>1419600</v>
      </c>
      <c r="E9" s="159">
        <f>SUM(E5:E8)</f>
        <v>10000</v>
      </c>
      <c r="F9" s="159">
        <f>SUM(F5:F8)</f>
        <v>553500</v>
      </c>
      <c r="G9" s="159">
        <f>SUM(G5:G8)</f>
        <v>563500</v>
      </c>
      <c r="H9" s="159">
        <f>SUM(H5:H8)</f>
        <v>-856100</v>
      </c>
      <c r="I9" s="160"/>
      <c r="J9" s="161"/>
    </row>
    <row r="10" spans="1:15" ht="28.8" hidden="1" outlineLevel="2" x14ac:dyDescent="0.3">
      <c r="A10" s="151" t="s">
        <v>2</v>
      </c>
      <c r="B10" s="152" t="s">
        <v>51</v>
      </c>
      <c r="C10" s="152" t="s">
        <v>181</v>
      </c>
      <c r="D10" s="153">
        <v>250000</v>
      </c>
      <c r="E10" s="153">
        <v>0</v>
      </c>
      <c r="F10" s="153">
        <v>150000</v>
      </c>
      <c r="G10" s="153">
        <f>E10+F10</f>
        <v>150000</v>
      </c>
      <c r="H10" s="153">
        <f>G10-D10</f>
        <v>-100000</v>
      </c>
      <c r="I10" s="156" t="s">
        <v>676</v>
      </c>
      <c r="J10" s="155" t="s">
        <v>546</v>
      </c>
    </row>
    <row r="11" spans="1:15" hidden="1" outlineLevel="1" x14ac:dyDescent="0.3">
      <c r="A11" s="157" t="s">
        <v>2</v>
      </c>
      <c r="B11" s="158" t="s">
        <v>485</v>
      </c>
      <c r="C11" s="158"/>
      <c r="D11" s="159">
        <f>SUM(D10:D10)</f>
        <v>250000</v>
      </c>
      <c r="E11" s="159">
        <f>SUM(E10:E10)</f>
        <v>0</v>
      </c>
      <c r="F11" s="159">
        <f>SUM(F10:F10)</f>
        <v>150000</v>
      </c>
      <c r="G11" s="159">
        <f>SUM(G10:G10)</f>
        <v>150000</v>
      </c>
      <c r="H11" s="159">
        <f>SUM(H10:H10)</f>
        <v>-100000</v>
      </c>
      <c r="I11" s="160"/>
      <c r="J11" s="161"/>
    </row>
    <row r="12" spans="1:15" ht="28.8" hidden="1" outlineLevel="2" x14ac:dyDescent="0.3">
      <c r="A12" s="151" t="s">
        <v>2</v>
      </c>
      <c r="B12" s="152" t="s">
        <v>53</v>
      </c>
      <c r="C12" s="152" t="s">
        <v>400</v>
      </c>
      <c r="D12" s="153">
        <v>12896</v>
      </c>
      <c r="E12" s="153">
        <v>0</v>
      </c>
      <c r="F12" s="153">
        <v>12896</v>
      </c>
      <c r="G12" s="153">
        <f>E12+F12</f>
        <v>12896</v>
      </c>
      <c r="H12" s="153">
        <f>G12-D12</f>
        <v>0</v>
      </c>
      <c r="I12" s="162" t="s">
        <v>677</v>
      </c>
      <c r="J12" s="163" t="s">
        <v>547</v>
      </c>
    </row>
    <row r="13" spans="1:15" ht="43.2" hidden="1" outlineLevel="2" x14ac:dyDescent="0.3">
      <c r="A13" s="151" t="s">
        <v>2</v>
      </c>
      <c r="B13" s="152" t="s">
        <v>53</v>
      </c>
      <c r="C13" s="152" t="s">
        <v>181</v>
      </c>
      <c r="D13" s="153">
        <v>100000</v>
      </c>
      <c r="E13" s="153">
        <v>0</v>
      </c>
      <c r="F13" s="153">
        <v>0</v>
      </c>
      <c r="G13" s="153">
        <f>E13+F13</f>
        <v>0</v>
      </c>
      <c r="H13" s="153">
        <f>G13-D13</f>
        <v>-100000</v>
      </c>
      <c r="I13" s="156" t="s">
        <v>678</v>
      </c>
      <c r="J13" s="155" t="s">
        <v>546</v>
      </c>
    </row>
    <row r="14" spans="1:15" hidden="1" outlineLevel="1" x14ac:dyDescent="0.3">
      <c r="A14" s="157" t="s">
        <v>2</v>
      </c>
      <c r="B14" s="158" t="s">
        <v>487</v>
      </c>
      <c r="C14" s="158"/>
      <c r="D14" s="159">
        <f>SUM(D12:D13)</f>
        <v>112896</v>
      </c>
      <c r="E14" s="159">
        <f>SUM(E12:E13)</f>
        <v>0</v>
      </c>
      <c r="F14" s="159">
        <f>SUM(F12:F13)</f>
        <v>12896</v>
      </c>
      <c r="G14" s="159">
        <f>SUM(G12:G13)</f>
        <v>12896</v>
      </c>
      <c r="H14" s="159">
        <f>SUM(H12:H13)</f>
        <v>-100000</v>
      </c>
      <c r="I14" s="160"/>
      <c r="J14" s="161"/>
    </row>
    <row r="15" spans="1:15" hidden="1" collapsed="1" x14ac:dyDescent="0.3">
      <c r="A15" s="164" t="s">
        <v>548</v>
      </c>
      <c r="B15" s="165"/>
      <c r="C15" s="165"/>
      <c r="D15" s="166">
        <f>SUM(D4,D9,D11,D14)</f>
        <v>4476496</v>
      </c>
      <c r="E15" s="166">
        <f>SUM(E4,E9,E11,E14)</f>
        <v>810000</v>
      </c>
      <c r="F15" s="166">
        <f>SUM(F4,F9,F11,F14)</f>
        <v>1628896</v>
      </c>
      <c r="G15" s="166">
        <f>SUM(G4,G9,G11,G14)</f>
        <v>2438896</v>
      </c>
      <c r="H15" s="166">
        <f>SUM(H4,H9,H11,H14)</f>
        <v>-2037600</v>
      </c>
      <c r="I15" s="160"/>
      <c r="J15" s="161"/>
    </row>
    <row r="16" spans="1:15" ht="28.8" outlineLevel="2" x14ac:dyDescent="0.3">
      <c r="A16" s="151" t="s">
        <v>3</v>
      </c>
      <c r="B16" s="152" t="s">
        <v>48</v>
      </c>
      <c r="C16" s="152" t="s">
        <v>70</v>
      </c>
      <c r="D16" s="153">
        <v>81590</v>
      </c>
      <c r="E16" s="153">
        <v>0</v>
      </c>
      <c r="F16" s="153">
        <v>81590</v>
      </c>
      <c r="G16" s="153">
        <f>E16+F16</f>
        <v>81590</v>
      </c>
      <c r="H16" s="153">
        <f>G16-D16</f>
        <v>0</v>
      </c>
      <c r="I16" s="162" t="s">
        <v>677</v>
      </c>
      <c r="J16" s="163" t="s">
        <v>547</v>
      </c>
    </row>
    <row r="17" spans="1:10" hidden="1" outlineLevel="1" x14ac:dyDescent="0.3">
      <c r="A17" s="157" t="s">
        <v>3</v>
      </c>
      <c r="B17" s="158" t="s">
        <v>482</v>
      </c>
      <c r="C17" s="158"/>
      <c r="D17" s="159">
        <f>SUM(D16:D16)</f>
        <v>81590</v>
      </c>
      <c r="E17" s="159">
        <f>SUM(E16:E16)</f>
        <v>0</v>
      </c>
      <c r="F17" s="159">
        <f>SUM(F16:F16)</f>
        <v>81590</v>
      </c>
      <c r="G17" s="159">
        <f>SUM(G16:G16)</f>
        <v>81590</v>
      </c>
      <c r="H17" s="159">
        <f>SUM(H16:H16)</f>
        <v>0</v>
      </c>
      <c r="I17" s="160"/>
      <c r="J17" s="161"/>
    </row>
    <row r="18" spans="1:10" ht="43.2" hidden="1" outlineLevel="2" x14ac:dyDescent="0.3">
      <c r="A18" s="151" t="s">
        <v>3</v>
      </c>
      <c r="B18" s="152" t="s">
        <v>49</v>
      </c>
      <c r="C18" s="152" t="s">
        <v>57</v>
      </c>
      <c r="D18" s="153">
        <v>34646</v>
      </c>
      <c r="E18" s="153">
        <v>2244.52</v>
      </c>
      <c r="F18" s="153">
        <v>98097.333333333343</v>
      </c>
      <c r="G18" s="153">
        <f>E18+F18</f>
        <v>100341.85333333335</v>
      </c>
      <c r="H18" s="153">
        <f>G18-D18</f>
        <v>65695.853333333347</v>
      </c>
      <c r="I18" s="167" t="s">
        <v>679</v>
      </c>
      <c r="J18" s="168" t="s">
        <v>41</v>
      </c>
    </row>
    <row r="19" spans="1:10" ht="43.2" outlineLevel="2" x14ac:dyDescent="0.3">
      <c r="A19" s="151" t="s">
        <v>3</v>
      </c>
      <c r="B19" s="152" t="s">
        <v>49</v>
      </c>
      <c r="C19" s="152" t="s">
        <v>70</v>
      </c>
      <c r="D19" s="153">
        <v>0</v>
      </c>
      <c r="E19" s="153">
        <v>20698.550000000003</v>
      </c>
      <c r="F19" s="153">
        <v>0</v>
      </c>
      <c r="G19" s="153">
        <f>E19+F19</f>
        <v>20698.550000000003</v>
      </c>
      <c r="H19" s="153">
        <f>G19-D19</f>
        <v>20698.550000000003</v>
      </c>
      <c r="I19" s="167" t="s">
        <v>680</v>
      </c>
      <c r="J19" s="168" t="s">
        <v>41</v>
      </c>
    </row>
    <row r="20" spans="1:10" hidden="1" outlineLevel="1" x14ac:dyDescent="0.3">
      <c r="A20" s="157" t="s">
        <v>3</v>
      </c>
      <c r="B20" s="158" t="s">
        <v>483</v>
      </c>
      <c r="C20" s="158"/>
      <c r="D20" s="159">
        <f>SUM(D18:D19)</f>
        <v>34646</v>
      </c>
      <c r="E20" s="159">
        <f>SUM(E18:E19)</f>
        <v>22943.070000000003</v>
      </c>
      <c r="F20" s="159">
        <f>SUM(F18:F19)</f>
        <v>98097.333333333343</v>
      </c>
      <c r="G20" s="159">
        <f>SUM(G18:G19)</f>
        <v>121040.40333333335</v>
      </c>
      <c r="H20" s="159">
        <f>SUM(H18:H19)</f>
        <v>86394.40333333335</v>
      </c>
      <c r="I20" s="160"/>
      <c r="J20" s="161"/>
    </row>
    <row r="21" spans="1:10" hidden="1" x14ac:dyDescent="0.3">
      <c r="A21" s="164" t="s">
        <v>549</v>
      </c>
      <c r="B21" s="165"/>
      <c r="C21" s="165"/>
      <c r="D21" s="166">
        <f>SUM(D17,D20)</f>
        <v>116236</v>
      </c>
      <c r="E21" s="166">
        <f>SUM(E17,E20)</f>
        <v>22943.070000000003</v>
      </c>
      <c r="F21" s="166">
        <f>SUM(F17,F20)</f>
        <v>179687.33333333334</v>
      </c>
      <c r="G21" s="166">
        <f>SUM(G17,G20)</f>
        <v>202630.40333333335</v>
      </c>
      <c r="H21" s="166">
        <f>SUM(H17,H20)</f>
        <v>86394.40333333335</v>
      </c>
      <c r="I21" s="160"/>
      <c r="J21" s="161"/>
    </row>
    <row r="22" spans="1:10" ht="28.8" hidden="1" outlineLevel="2" x14ac:dyDescent="0.3">
      <c r="A22" s="151" t="s">
        <v>4</v>
      </c>
      <c r="B22" s="152" t="s">
        <v>49</v>
      </c>
      <c r="C22" s="152" t="s">
        <v>58</v>
      </c>
      <c r="D22" s="153">
        <v>36345</v>
      </c>
      <c r="E22" s="153">
        <v>9883.380000000001</v>
      </c>
      <c r="F22" s="153">
        <v>27258.750000000004</v>
      </c>
      <c r="G22" s="153">
        <f t="shared" ref="G22:G37" si="0">E22+F22</f>
        <v>37142.130000000005</v>
      </c>
      <c r="H22" s="153">
        <f t="shared" ref="H22:H37" si="1">G22-D22</f>
        <v>797.13000000000466</v>
      </c>
      <c r="I22" s="162" t="s">
        <v>681</v>
      </c>
      <c r="J22" s="163" t="s">
        <v>547</v>
      </c>
    </row>
    <row r="23" spans="1:10" ht="28.8" hidden="1" outlineLevel="2" x14ac:dyDescent="0.3">
      <c r="A23" s="151" t="s">
        <v>4</v>
      </c>
      <c r="B23" s="152" t="s">
        <v>49</v>
      </c>
      <c r="C23" s="152" t="s">
        <v>59</v>
      </c>
      <c r="D23" s="153">
        <v>4230</v>
      </c>
      <c r="E23" s="153">
        <v>1861.8799999999999</v>
      </c>
      <c r="F23" s="153">
        <v>2465</v>
      </c>
      <c r="G23" s="153">
        <f t="shared" si="0"/>
        <v>4326.88</v>
      </c>
      <c r="H23" s="153">
        <f t="shared" si="1"/>
        <v>96.880000000000109</v>
      </c>
      <c r="I23" s="162" t="s">
        <v>681</v>
      </c>
      <c r="J23" s="163" t="s">
        <v>547</v>
      </c>
    </row>
    <row r="24" spans="1:10" ht="28.8" hidden="1" outlineLevel="2" x14ac:dyDescent="0.3">
      <c r="A24" s="151" t="s">
        <v>4</v>
      </c>
      <c r="B24" s="152" t="s">
        <v>49</v>
      </c>
      <c r="C24" s="152" t="s">
        <v>60</v>
      </c>
      <c r="D24" s="153">
        <v>2863</v>
      </c>
      <c r="E24" s="153">
        <v>0</v>
      </c>
      <c r="F24" s="153">
        <v>2863</v>
      </c>
      <c r="G24" s="153">
        <f t="shared" si="0"/>
        <v>2863</v>
      </c>
      <c r="H24" s="153">
        <f t="shared" si="1"/>
        <v>0</v>
      </c>
      <c r="I24" s="162" t="s">
        <v>681</v>
      </c>
      <c r="J24" s="163" t="s">
        <v>547</v>
      </c>
    </row>
    <row r="25" spans="1:10" ht="28.8" hidden="1" outlineLevel="2" x14ac:dyDescent="0.3">
      <c r="A25" s="151" t="s">
        <v>4</v>
      </c>
      <c r="B25" s="152" t="s">
        <v>49</v>
      </c>
      <c r="C25" s="152" t="s">
        <v>57</v>
      </c>
      <c r="D25" s="153">
        <v>180000</v>
      </c>
      <c r="E25" s="153">
        <v>55025.7</v>
      </c>
      <c r="F25" s="153">
        <v>110075</v>
      </c>
      <c r="G25" s="153">
        <f t="shared" si="0"/>
        <v>165100.70000000001</v>
      </c>
      <c r="H25" s="153">
        <f t="shared" si="1"/>
        <v>-14899.299999999988</v>
      </c>
      <c r="I25" s="156" t="s">
        <v>682</v>
      </c>
      <c r="J25" s="155" t="s">
        <v>546</v>
      </c>
    </row>
    <row r="26" spans="1:10" ht="43.2" hidden="1" outlineLevel="2" x14ac:dyDescent="0.3">
      <c r="A26" s="151" t="s">
        <v>4</v>
      </c>
      <c r="B26" s="152" t="s">
        <v>49</v>
      </c>
      <c r="C26" s="152" t="s">
        <v>61</v>
      </c>
      <c r="D26" s="153">
        <v>1674</v>
      </c>
      <c r="E26" s="153">
        <v>0</v>
      </c>
      <c r="F26" s="153">
        <v>0</v>
      </c>
      <c r="G26" s="153">
        <f t="shared" si="0"/>
        <v>0</v>
      </c>
      <c r="H26" s="153">
        <f t="shared" si="1"/>
        <v>-1674</v>
      </c>
      <c r="I26" s="156" t="s">
        <v>683</v>
      </c>
      <c r="J26" s="155" t="s">
        <v>158</v>
      </c>
    </row>
    <row r="27" spans="1:10" ht="28.8" hidden="1" outlineLevel="2" x14ac:dyDescent="0.3">
      <c r="A27" s="151" t="s">
        <v>4</v>
      </c>
      <c r="B27" s="152" t="s">
        <v>49</v>
      </c>
      <c r="C27" s="152" t="s">
        <v>62</v>
      </c>
      <c r="D27" s="153">
        <v>7043</v>
      </c>
      <c r="E27" s="153">
        <v>3133.6658999999995</v>
      </c>
      <c r="F27" s="153">
        <v>4108</v>
      </c>
      <c r="G27" s="153">
        <f t="shared" si="0"/>
        <v>7241.6659</v>
      </c>
      <c r="H27" s="153">
        <f t="shared" si="1"/>
        <v>198.66589999999997</v>
      </c>
      <c r="I27" s="162" t="s">
        <v>681</v>
      </c>
      <c r="J27" s="163" t="s">
        <v>547</v>
      </c>
    </row>
    <row r="28" spans="1:10" ht="28.8" hidden="1" outlineLevel="2" x14ac:dyDescent="0.3">
      <c r="A28" s="151" t="s">
        <v>4</v>
      </c>
      <c r="B28" s="152" t="s">
        <v>49</v>
      </c>
      <c r="C28" s="152" t="s">
        <v>63</v>
      </c>
      <c r="D28" s="153">
        <v>35314</v>
      </c>
      <c r="E28" s="153">
        <v>15103.55</v>
      </c>
      <c r="F28" s="153">
        <v>20599</v>
      </c>
      <c r="G28" s="153">
        <f t="shared" si="0"/>
        <v>35702.550000000003</v>
      </c>
      <c r="H28" s="153">
        <f t="shared" si="1"/>
        <v>388.55000000000291</v>
      </c>
      <c r="I28" s="162" t="s">
        <v>681</v>
      </c>
      <c r="J28" s="163" t="s">
        <v>547</v>
      </c>
    </row>
    <row r="29" spans="1:10" ht="28.8" hidden="1" outlineLevel="2" x14ac:dyDescent="0.3">
      <c r="A29" s="151" t="s">
        <v>4</v>
      </c>
      <c r="B29" s="152" t="s">
        <v>49</v>
      </c>
      <c r="C29" s="152" t="s">
        <v>64</v>
      </c>
      <c r="D29" s="153">
        <v>18865</v>
      </c>
      <c r="E29" s="153">
        <v>6681.98</v>
      </c>
      <c r="F29" s="153">
        <v>12829</v>
      </c>
      <c r="G29" s="153">
        <f t="shared" si="0"/>
        <v>19510.98</v>
      </c>
      <c r="H29" s="153">
        <f t="shared" si="1"/>
        <v>645.97999999999956</v>
      </c>
      <c r="I29" s="162" t="s">
        <v>681</v>
      </c>
      <c r="J29" s="163" t="s">
        <v>547</v>
      </c>
    </row>
    <row r="30" spans="1:10" ht="28.8" hidden="1" outlineLevel="2" x14ac:dyDescent="0.3">
      <c r="A30" s="151" t="s">
        <v>4</v>
      </c>
      <c r="B30" s="152" t="s">
        <v>49</v>
      </c>
      <c r="C30" s="152" t="s">
        <v>65</v>
      </c>
      <c r="D30" s="153">
        <v>25439</v>
      </c>
      <c r="E30" s="153">
        <v>10096.52</v>
      </c>
      <c r="F30" s="153">
        <v>14839.416666666664</v>
      </c>
      <c r="G30" s="153">
        <f t="shared" si="0"/>
        <v>24935.936666666665</v>
      </c>
      <c r="H30" s="153">
        <f t="shared" si="1"/>
        <v>-503.06333333333532</v>
      </c>
      <c r="I30" s="162" t="s">
        <v>681</v>
      </c>
      <c r="J30" s="163" t="s">
        <v>547</v>
      </c>
    </row>
    <row r="31" spans="1:10" ht="28.8" hidden="1" outlineLevel="2" x14ac:dyDescent="0.3">
      <c r="A31" s="151" t="s">
        <v>4</v>
      </c>
      <c r="B31" s="152" t="s">
        <v>49</v>
      </c>
      <c r="C31" s="152" t="s">
        <v>66</v>
      </c>
      <c r="D31" s="153">
        <v>34537</v>
      </c>
      <c r="E31" s="153">
        <v>13707.25</v>
      </c>
      <c r="F31" s="153">
        <v>20146.583333333332</v>
      </c>
      <c r="G31" s="153">
        <f t="shared" si="0"/>
        <v>33853.833333333328</v>
      </c>
      <c r="H31" s="153">
        <f t="shared" si="1"/>
        <v>-683.16666666667152</v>
      </c>
      <c r="I31" s="162" t="s">
        <v>681</v>
      </c>
      <c r="J31" s="163" t="s">
        <v>547</v>
      </c>
    </row>
    <row r="32" spans="1:10" ht="28.8" hidden="1" outlineLevel="2" x14ac:dyDescent="0.3">
      <c r="A32" s="151" t="s">
        <v>4</v>
      </c>
      <c r="B32" s="152" t="s">
        <v>49</v>
      </c>
      <c r="C32" s="152" t="s">
        <v>67</v>
      </c>
      <c r="D32" s="153">
        <v>7500000</v>
      </c>
      <c r="E32" s="153">
        <v>3127568.56</v>
      </c>
      <c r="F32" s="153">
        <v>4372431</v>
      </c>
      <c r="G32" s="153">
        <f t="shared" si="0"/>
        <v>7499999.5600000005</v>
      </c>
      <c r="H32" s="153">
        <f t="shared" si="1"/>
        <v>-0.43999999947845936</v>
      </c>
      <c r="I32" s="162" t="s">
        <v>681</v>
      </c>
      <c r="J32" s="163" t="s">
        <v>547</v>
      </c>
    </row>
    <row r="33" spans="1:10" ht="28.8" hidden="1" outlineLevel="2" x14ac:dyDescent="0.3">
      <c r="A33" s="151" t="s">
        <v>4</v>
      </c>
      <c r="B33" s="152" t="s">
        <v>49</v>
      </c>
      <c r="C33" s="152" t="s">
        <v>68</v>
      </c>
      <c r="D33" s="153">
        <v>52500</v>
      </c>
      <c r="E33" s="153">
        <v>0</v>
      </c>
      <c r="F33" s="153">
        <v>52500</v>
      </c>
      <c r="G33" s="153">
        <f t="shared" si="0"/>
        <v>52500</v>
      </c>
      <c r="H33" s="153">
        <f t="shared" si="1"/>
        <v>0</v>
      </c>
      <c r="I33" s="162" t="s">
        <v>681</v>
      </c>
      <c r="J33" s="163" t="s">
        <v>547</v>
      </c>
    </row>
    <row r="34" spans="1:10" ht="28.8" hidden="1" outlineLevel="2" x14ac:dyDescent="0.3">
      <c r="A34" s="151" t="s">
        <v>4</v>
      </c>
      <c r="B34" s="152" t="s">
        <v>49</v>
      </c>
      <c r="C34" s="152" t="s">
        <v>69</v>
      </c>
      <c r="D34" s="153">
        <v>3150</v>
      </c>
      <c r="E34" s="153">
        <v>3000</v>
      </c>
      <c r="F34" s="153">
        <v>0</v>
      </c>
      <c r="G34" s="153">
        <f t="shared" si="0"/>
        <v>3000</v>
      </c>
      <c r="H34" s="153">
        <f t="shared" si="1"/>
        <v>-150</v>
      </c>
      <c r="I34" s="162" t="s">
        <v>681</v>
      </c>
      <c r="J34" s="163" t="s">
        <v>547</v>
      </c>
    </row>
    <row r="35" spans="1:10" ht="28.8" hidden="1" outlineLevel="2" x14ac:dyDescent="0.3">
      <c r="A35" s="151" t="s">
        <v>4</v>
      </c>
      <c r="B35" s="152" t="s">
        <v>49</v>
      </c>
      <c r="C35" s="152" t="s">
        <v>70</v>
      </c>
      <c r="D35" s="153">
        <v>0</v>
      </c>
      <c r="E35" s="153">
        <v>139.94</v>
      </c>
      <c r="F35" s="153">
        <v>0</v>
      </c>
      <c r="G35" s="153">
        <f t="shared" si="0"/>
        <v>139.94</v>
      </c>
      <c r="H35" s="153">
        <f t="shared" si="1"/>
        <v>139.94</v>
      </c>
      <c r="I35" s="162" t="s">
        <v>681</v>
      </c>
      <c r="J35" s="163" t="s">
        <v>547</v>
      </c>
    </row>
    <row r="36" spans="1:10" ht="43.2" hidden="1" outlineLevel="2" x14ac:dyDescent="0.3">
      <c r="A36" s="151" t="s">
        <v>4</v>
      </c>
      <c r="B36" s="152" t="s">
        <v>49</v>
      </c>
      <c r="C36" s="152" t="s">
        <v>71</v>
      </c>
      <c r="D36" s="153">
        <v>421713.07500000007</v>
      </c>
      <c r="E36" s="153">
        <v>122576.03</v>
      </c>
      <c r="F36" s="153">
        <v>285316.66666666663</v>
      </c>
      <c r="G36" s="153">
        <f t="shared" si="0"/>
        <v>407892.69666666666</v>
      </c>
      <c r="H36" s="153">
        <f t="shared" si="1"/>
        <v>-13820.378333333414</v>
      </c>
      <c r="I36" s="156" t="s">
        <v>684</v>
      </c>
      <c r="J36" s="155" t="s">
        <v>546</v>
      </c>
    </row>
    <row r="37" spans="1:10" ht="28.8" hidden="1" outlineLevel="2" x14ac:dyDescent="0.3">
      <c r="A37" s="151" t="s">
        <v>4</v>
      </c>
      <c r="B37" s="152" t="s">
        <v>49</v>
      </c>
      <c r="C37" s="152" t="s">
        <v>72</v>
      </c>
      <c r="D37" s="153">
        <v>15750</v>
      </c>
      <c r="E37" s="153">
        <v>0</v>
      </c>
      <c r="F37" s="153">
        <v>15750</v>
      </c>
      <c r="G37" s="153">
        <f t="shared" si="0"/>
        <v>15750</v>
      </c>
      <c r="H37" s="153">
        <f t="shared" si="1"/>
        <v>0</v>
      </c>
      <c r="I37" s="162" t="s">
        <v>681</v>
      </c>
      <c r="J37" s="163" t="s">
        <v>547</v>
      </c>
    </row>
    <row r="38" spans="1:10" hidden="1" outlineLevel="1" x14ac:dyDescent="0.3">
      <c r="A38" s="157" t="s">
        <v>4</v>
      </c>
      <c r="B38" s="158" t="s">
        <v>483</v>
      </c>
      <c r="C38" s="158"/>
      <c r="D38" s="159">
        <f>SUM(D22:D37)</f>
        <v>8339423.0750000002</v>
      </c>
      <c r="E38" s="159">
        <f>SUM(E22:E37)</f>
        <v>3368778.4558999999</v>
      </c>
      <c r="F38" s="159">
        <f>SUM(F22:F37)</f>
        <v>4941181.416666667</v>
      </c>
      <c r="G38" s="159">
        <f>SUM(G22:G37)</f>
        <v>8309959.8725666674</v>
      </c>
      <c r="H38" s="159">
        <f>SUM(H22:H37)</f>
        <v>-29463.202433332881</v>
      </c>
      <c r="I38" s="160"/>
      <c r="J38" s="161"/>
    </row>
    <row r="39" spans="1:10" ht="28.8" hidden="1" outlineLevel="2" x14ac:dyDescent="0.3">
      <c r="A39" s="151" t="s">
        <v>4</v>
      </c>
      <c r="B39" s="152" t="s">
        <v>53</v>
      </c>
      <c r="C39" s="152" t="s">
        <v>358</v>
      </c>
      <c r="D39" s="153">
        <v>292</v>
      </c>
      <c r="E39" s="153">
        <v>0</v>
      </c>
      <c r="F39" s="153">
        <v>292</v>
      </c>
      <c r="G39" s="153">
        <f>E39+F39</f>
        <v>292</v>
      </c>
      <c r="H39" s="153">
        <f>G39-D39</f>
        <v>0</v>
      </c>
      <c r="I39" s="162" t="s">
        <v>681</v>
      </c>
      <c r="J39" s="163" t="s">
        <v>547</v>
      </c>
    </row>
    <row r="40" spans="1:10" ht="28.8" hidden="1" outlineLevel="2" x14ac:dyDescent="0.3">
      <c r="A40" s="151" t="s">
        <v>4</v>
      </c>
      <c r="B40" s="152" t="s">
        <v>53</v>
      </c>
      <c r="C40" s="152" t="s">
        <v>360</v>
      </c>
      <c r="D40" s="153">
        <v>2900</v>
      </c>
      <c r="E40" s="153">
        <v>1912.75</v>
      </c>
      <c r="F40" s="153">
        <v>987</v>
      </c>
      <c r="G40" s="153">
        <f>E40+F40</f>
        <v>2899.75</v>
      </c>
      <c r="H40" s="153">
        <f>G40-D40</f>
        <v>-0.25</v>
      </c>
      <c r="I40" s="162" t="s">
        <v>681</v>
      </c>
      <c r="J40" s="163" t="s">
        <v>547</v>
      </c>
    </row>
    <row r="41" spans="1:10" hidden="1" outlineLevel="1" collapsed="1" x14ac:dyDescent="0.3">
      <c r="A41" s="157" t="s">
        <v>4</v>
      </c>
      <c r="B41" s="158" t="s">
        <v>487</v>
      </c>
      <c r="C41" s="158"/>
      <c r="D41" s="159">
        <f>SUM(D39:D40)</f>
        <v>3192</v>
      </c>
      <c r="E41" s="159">
        <f>SUM(E39:E40)</f>
        <v>1912.75</v>
      </c>
      <c r="F41" s="159">
        <f>SUM(F39:F40)</f>
        <v>1279</v>
      </c>
      <c r="G41" s="159">
        <f>SUM(G39:G40)</f>
        <v>3191.75</v>
      </c>
      <c r="H41" s="159">
        <f>SUM(H39:H40)</f>
        <v>-0.25</v>
      </c>
      <c r="I41" s="160"/>
      <c r="J41" s="161"/>
    </row>
    <row r="42" spans="1:10" hidden="1" collapsed="1" x14ac:dyDescent="0.3">
      <c r="A42" s="164" t="s">
        <v>551</v>
      </c>
      <c r="B42" s="165"/>
      <c r="C42" s="165"/>
      <c r="D42" s="166">
        <f>SUM(D38,D41)</f>
        <v>8342615.0750000002</v>
      </c>
      <c r="E42" s="166">
        <f>SUM(E38,E41)</f>
        <v>3370691.2058999999</v>
      </c>
      <c r="F42" s="166">
        <f>SUM(F38,F41)</f>
        <v>4942460.416666667</v>
      </c>
      <c r="G42" s="166">
        <f>SUM(G38,G41)</f>
        <v>8313151.6225666674</v>
      </c>
      <c r="H42" s="166">
        <f>SUM(H38,H41)</f>
        <v>-29463.452433332881</v>
      </c>
      <c r="I42" s="160"/>
      <c r="J42" s="161"/>
    </row>
    <row r="43" spans="1:10" ht="57.6" hidden="1" outlineLevel="2" x14ac:dyDescent="0.3">
      <c r="A43" s="151" t="s">
        <v>46</v>
      </c>
      <c r="B43" s="152" t="s">
        <v>48</v>
      </c>
      <c r="C43" s="152" t="s">
        <v>73</v>
      </c>
      <c r="D43" s="153">
        <v>1438080</v>
      </c>
      <c r="E43" s="153">
        <v>638729</v>
      </c>
      <c r="F43" s="153">
        <v>838880</v>
      </c>
      <c r="G43" s="153">
        <f>E43+F43</f>
        <v>1477609</v>
      </c>
      <c r="H43" s="153">
        <f>G43-D43</f>
        <v>39529</v>
      </c>
      <c r="I43" s="156" t="s">
        <v>685</v>
      </c>
      <c r="J43" s="155" t="s">
        <v>550</v>
      </c>
    </row>
    <row r="44" spans="1:10" ht="72" hidden="1" outlineLevel="2" x14ac:dyDescent="0.3">
      <c r="A44" s="151" t="s">
        <v>46</v>
      </c>
      <c r="B44" s="152" t="s">
        <v>48</v>
      </c>
      <c r="C44" s="152" t="s">
        <v>181</v>
      </c>
      <c r="D44" s="153">
        <v>403200</v>
      </c>
      <c r="E44" s="153">
        <v>323563.92</v>
      </c>
      <c r="F44" s="153">
        <v>235200</v>
      </c>
      <c r="G44" s="153">
        <f>E44+F44</f>
        <v>558763.91999999993</v>
      </c>
      <c r="H44" s="153">
        <f>G44-D44</f>
        <v>155563.91999999993</v>
      </c>
      <c r="I44" s="105" t="s">
        <v>686</v>
      </c>
      <c r="J44" s="169" t="s">
        <v>550</v>
      </c>
    </row>
    <row r="45" spans="1:10" ht="72" hidden="1" outlineLevel="2" x14ac:dyDescent="0.3">
      <c r="A45" s="151" t="s">
        <v>46</v>
      </c>
      <c r="B45" s="152" t="s">
        <v>48</v>
      </c>
      <c r="C45" s="152" t="s">
        <v>208</v>
      </c>
      <c r="D45" s="153">
        <v>216000</v>
      </c>
      <c r="E45" s="153">
        <v>312400</v>
      </c>
      <c r="F45" s="153">
        <v>1733600</v>
      </c>
      <c r="G45" s="153">
        <f>E45+F45</f>
        <v>2046000</v>
      </c>
      <c r="H45" s="153">
        <f>G45-D45</f>
        <v>1830000</v>
      </c>
      <c r="I45" s="167" t="s">
        <v>687</v>
      </c>
      <c r="J45" s="168" t="s">
        <v>41</v>
      </c>
    </row>
    <row r="46" spans="1:10" ht="72" hidden="1" outlineLevel="2" x14ac:dyDescent="0.3">
      <c r="A46" s="151" t="s">
        <v>46</v>
      </c>
      <c r="B46" s="152" t="s">
        <v>48</v>
      </c>
      <c r="C46" s="152" t="s">
        <v>342</v>
      </c>
      <c r="D46" s="153">
        <v>940800</v>
      </c>
      <c r="E46" s="153">
        <v>718868</v>
      </c>
      <c r="F46" s="153">
        <v>763520</v>
      </c>
      <c r="G46" s="153">
        <f>E46+F46</f>
        <v>1482388</v>
      </c>
      <c r="H46" s="153">
        <f>G46-D46</f>
        <v>541588</v>
      </c>
      <c r="I46" s="167" t="s">
        <v>688</v>
      </c>
      <c r="J46" s="168" t="s">
        <v>41</v>
      </c>
    </row>
    <row r="47" spans="1:10" hidden="1" outlineLevel="1" x14ac:dyDescent="0.3">
      <c r="A47" s="157" t="s">
        <v>46</v>
      </c>
      <c r="B47" s="158" t="s">
        <v>482</v>
      </c>
      <c r="C47" s="158"/>
      <c r="D47" s="159">
        <f>SUM(D43:D46)</f>
        <v>2998080</v>
      </c>
      <c r="E47" s="159">
        <f>SUM(E43:E46)</f>
        <v>1993560.92</v>
      </c>
      <c r="F47" s="159">
        <f>SUM(F43:F46)</f>
        <v>3571200</v>
      </c>
      <c r="G47" s="159">
        <f>SUM(G43:G46)</f>
        <v>5564760.9199999999</v>
      </c>
      <c r="H47" s="159">
        <f>SUM(H43:H46)</f>
        <v>2566680.92</v>
      </c>
      <c r="I47" s="160"/>
      <c r="J47" s="161"/>
    </row>
    <row r="48" spans="1:10" ht="28.8" hidden="1" outlineLevel="2" x14ac:dyDescent="0.3">
      <c r="A48" s="151" t="s">
        <v>46</v>
      </c>
      <c r="B48" s="152" t="s">
        <v>49</v>
      </c>
      <c r="C48" s="152" t="s">
        <v>73</v>
      </c>
      <c r="D48" s="153">
        <v>414080</v>
      </c>
      <c r="E48" s="153">
        <v>182644</v>
      </c>
      <c r="F48" s="153">
        <v>174080</v>
      </c>
      <c r="G48" s="153">
        <f>E48+F48</f>
        <v>356724</v>
      </c>
      <c r="H48" s="153">
        <f>G48-D48</f>
        <v>-57356</v>
      </c>
      <c r="I48" s="156" t="s">
        <v>689</v>
      </c>
      <c r="J48" s="155" t="s">
        <v>546</v>
      </c>
    </row>
    <row r="49" spans="1:10" hidden="1" outlineLevel="1" x14ac:dyDescent="0.3">
      <c r="A49" s="157" t="s">
        <v>46</v>
      </c>
      <c r="B49" s="158" t="s">
        <v>483</v>
      </c>
      <c r="C49" s="158"/>
      <c r="D49" s="159">
        <f>SUM(D48:D48)</f>
        <v>414080</v>
      </c>
      <c r="E49" s="159">
        <f>SUM(E48:E48)</f>
        <v>182644</v>
      </c>
      <c r="F49" s="159">
        <f>SUM(F48:F48)</f>
        <v>174080</v>
      </c>
      <c r="G49" s="159">
        <f>SUM(G48:G48)</f>
        <v>356724</v>
      </c>
      <c r="H49" s="159">
        <f>SUM(H48:H48)</f>
        <v>-57356</v>
      </c>
      <c r="I49" s="160"/>
      <c r="J49" s="161"/>
    </row>
    <row r="50" spans="1:10" ht="72" hidden="1" outlineLevel="2" x14ac:dyDescent="0.3">
      <c r="A50" s="151" t="s">
        <v>46</v>
      </c>
      <c r="B50" s="152" t="s">
        <v>50</v>
      </c>
      <c r="C50" s="152" t="s">
        <v>73</v>
      </c>
      <c r="D50" s="153">
        <v>1505280</v>
      </c>
      <c r="E50" s="153">
        <v>527296</v>
      </c>
      <c r="F50" s="153">
        <v>641480</v>
      </c>
      <c r="G50" s="153">
        <f>E50+F50</f>
        <v>1168776</v>
      </c>
      <c r="H50" s="153">
        <f>G50-D50</f>
        <v>-336504</v>
      </c>
      <c r="I50" s="156" t="s">
        <v>690</v>
      </c>
      <c r="J50" s="155" t="s">
        <v>546</v>
      </c>
    </row>
    <row r="51" spans="1:10" ht="43.2" hidden="1" outlineLevel="2" x14ac:dyDescent="0.3">
      <c r="A51" s="151" t="s">
        <v>46</v>
      </c>
      <c r="B51" s="152" t="s">
        <v>50</v>
      </c>
      <c r="C51" s="152" t="s">
        <v>181</v>
      </c>
      <c r="D51" s="153">
        <v>252000</v>
      </c>
      <c r="E51" s="153">
        <v>97650</v>
      </c>
      <c r="F51" s="153">
        <v>147000</v>
      </c>
      <c r="G51" s="153">
        <f>E51+F51</f>
        <v>244650</v>
      </c>
      <c r="H51" s="153">
        <f>G51-D51</f>
        <v>-7350</v>
      </c>
      <c r="I51" s="156" t="s">
        <v>691</v>
      </c>
      <c r="J51" s="155" t="s">
        <v>546</v>
      </c>
    </row>
    <row r="52" spans="1:10" hidden="1" outlineLevel="1" x14ac:dyDescent="0.3">
      <c r="A52" s="157" t="s">
        <v>46</v>
      </c>
      <c r="B52" s="158" t="s">
        <v>484</v>
      </c>
      <c r="C52" s="158"/>
      <c r="D52" s="159">
        <f>SUM(D50:D51)</f>
        <v>1757280</v>
      </c>
      <c r="E52" s="159">
        <f>SUM(E50:E51)</f>
        <v>624946</v>
      </c>
      <c r="F52" s="159">
        <f>SUM(F50:F51)</f>
        <v>788480</v>
      </c>
      <c r="G52" s="159">
        <f>SUM(G50:G51)</f>
        <v>1413426</v>
      </c>
      <c r="H52" s="159">
        <f>SUM(H50:H51)</f>
        <v>-343854</v>
      </c>
      <c r="I52" s="160"/>
      <c r="J52" s="161"/>
    </row>
    <row r="53" spans="1:10" ht="57.6" hidden="1" outlineLevel="2" x14ac:dyDescent="0.3">
      <c r="A53" s="151" t="s">
        <v>46</v>
      </c>
      <c r="B53" s="152" t="s">
        <v>51</v>
      </c>
      <c r="C53" s="152" t="s">
        <v>181</v>
      </c>
      <c r="D53" s="153">
        <v>830400</v>
      </c>
      <c r="E53" s="153">
        <v>153040</v>
      </c>
      <c r="F53" s="153">
        <v>398400</v>
      </c>
      <c r="G53" s="153">
        <f>E53+F53</f>
        <v>551440</v>
      </c>
      <c r="H53" s="153">
        <f>G53-D53</f>
        <v>-278960</v>
      </c>
      <c r="I53" s="156" t="s">
        <v>692</v>
      </c>
      <c r="J53" s="155" t="s">
        <v>546</v>
      </c>
    </row>
    <row r="54" spans="1:10" hidden="1" outlineLevel="1" x14ac:dyDescent="0.3">
      <c r="A54" s="157" t="s">
        <v>46</v>
      </c>
      <c r="B54" s="158" t="s">
        <v>485</v>
      </c>
      <c r="C54" s="158"/>
      <c r="D54" s="159">
        <f>SUM(D53:D53)</f>
        <v>830400</v>
      </c>
      <c r="E54" s="159">
        <f>SUM(E53:E53)</f>
        <v>153040</v>
      </c>
      <c r="F54" s="159">
        <f>SUM(F53:F53)</f>
        <v>398400</v>
      </c>
      <c r="G54" s="159">
        <f>SUM(G53:G53)</f>
        <v>551440</v>
      </c>
      <c r="H54" s="159">
        <f>SUM(H53:H53)</f>
        <v>-278960</v>
      </c>
      <c r="I54" s="160"/>
      <c r="J54" s="161"/>
    </row>
    <row r="55" spans="1:10" ht="57.6" hidden="1" outlineLevel="2" x14ac:dyDescent="0.3">
      <c r="A55" s="151" t="s">
        <v>46</v>
      </c>
      <c r="B55" s="152" t="s">
        <v>53</v>
      </c>
      <c r="C55" s="152" t="s">
        <v>73</v>
      </c>
      <c r="D55" s="153">
        <v>291840</v>
      </c>
      <c r="E55" s="153">
        <v>136957</v>
      </c>
      <c r="F55" s="153">
        <v>226640</v>
      </c>
      <c r="G55" s="153">
        <f>E55+F55</f>
        <v>363597</v>
      </c>
      <c r="H55" s="153">
        <f>G55-D55</f>
        <v>71757</v>
      </c>
      <c r="I55" s="167" t="s">
        <v>693</v>
      </c>
      <c r="J55" s="168" t="s">
        <v>41</v>
      </c>
    </row>
    <row r="56" spans="1:10" ht="57.6" hidden="1" outlineLevel="2" x14ac:dyDescent="0.3">
      <c r="A56" s="151" t="s">
        <v>46</v>
      </c>
      <c r="B56" s="152" t="s">
        <v>53</v>
      </c>
      <c r="C56" s="152" t="s">
        <v>181</v>
      </c>
      <c r="D56" s="153">
        <v>161280</v>
      </c>
      <c r="E56" s="153">
        <v>46096</v>
      </c>
      <c r="F56" s="153">
        <v>38080</v>
      </c>
      <c r="G56" s="153">
        <f>E56+F56</f>
        <v>84176</v>
      </c>
      <c r="H56" s="153">
        <f>G56-D56</f>
        <v>-77104</v>
      </c>
      <c r="I56" s="156" t="s">
        <v>694</v>
      </c>
      <c r="J56" s="155" t="s">
        <v>158</v>
      </c>
    </row>
    <row r="57" spans="1:10" ht="43.2" hidden="1" outlineLevel="2" x14ac:dyDescent="0.3">
      <c r="A57" s="151" t="s">
        <v>46</v>
      </c>
      <c r="B57" s="152" t="s">
        <v>53</v>
      </c>
      <c r="C57" s="152" t="s">
        <v>185</v>
      </c>
      <c r="D57" s="153">
        <v>218880</v>
      </c>
      <c r="E57" s="153">
        <v>85892</v>
      </c>
      <c r="F57" s="153">
        <v>127680</v>
      </c>
      <c r="G57" s="153">
        <f>E57+F57</f>
        <v>213572</v>
      </c>
      <c r="H57" s="153">
        <f>G57-D57</f>
        <v>-5308</v>
      </c>
      <c r="I57" s="156" t="s">
        <v>695</v>
      </c>
      <c r="J57" s="155" t="s">
        <v>546</v>
      </c>
    </row>
    <row r="58" spans="1:10" hidden="1" outlineLevel="1" x14ac:dyDescent="0.3">
      <c r="A58" s="157" t="s">
        <v>46</v>
      </c>
      <c r="B58" s="158" t="s">
        <v>487</v>
      </c>
      <c r="C58" s="158"/>
      <c r="D58" s="159">
        <f>SUM(D55:D57)</f>
        <v>672000</v>
      </c>
      <c r="E58" s="159">
        <f>SUM(E55:E57)</f>
        <v>268945</v>
      </c>
      <c r="F58" s="159">
        <f>SUM(F55:F57)</f>
        <v>392400</v>
      </c>
      <c r="G58" s="159">
        <f>SUM(G55:G57)</f>
        <v>661345</v>
      </c>
      <c r="H58" s="159">
        <f>SUM(H55:H57)</f>
        <v>-10655</v>
      </c>
      <c r="I58" s="160"/>
      <c r="J58" s="161"/>
    </row>
    <row r="59" spans="1:10" hidden="1" collapsed="1" x14ac:dyDescent="0.3">
      <c r="A59" s="164" t="s">
        <v>552</v>
      </c>
      <c r="B59" s="165"/>
      <c r="C59" s="165"/>
      <c r="D59" s="166">
        <f>SUM(D47,D49,D52,D54,D58)</f>
        <v>6671840</v>
      </c>
      <c r="E59" s="166">
        <f>SUM(E47,E49,E52,E54,E58)</f>
        <v>3223135.92</v>
      </c>
      <c r="F59" s="166">
        <f>SUM(F47,F49,F52,F54,F58)</f>
        <v>5324560</v>
      </c>
      <c r="G59" s="166">
        <f>SUM(G47,G49,G52,G54,G58)</f>
        <v>8547695.9199999999</v>
      </c>
      <c r="H59" s="166">
        <f>SUM(H47,H49,H52,H54,H58)</f>
        <v>1875855.92</v>
      </c>
      <c r="I59" s="160"/>
      <c r="J59" s="161"/>
    </row>
    <row r="60" spans="1:10" ht="43.2" hidden="1" outlineLevel="2" x14ac:dyDescent="0.3">
      <c r="A60" s="151" t="s">
        <v>5</v>
      </c>
      <c r="B60" s="152" t="s">
        <v>48</v>
      </c>
      <c r="C60" s="152" t="s">
        <v>181</v>
      </c>
      <c r="D60" s="153">
        <v>1524552</v>
      </c>
      <c r="E60" s="153">
        <v>566480</v>
      </c>
      <c r="F60" s="153">
        <v>1044659</v>
      </c>
      <c r="G60" s="153">
        <f>E60+F60</f>
        <v>1611139</v>
      </c>
      <c r="H60" s="153">
        <f>G60-D60</f>
        <v>86587</v>
      </c>
      <c r="I60" s="170" t="s">
        <v>696</v>
      </c>
      <c r="J60" s="169" t="s">
        <v>41</v>
      </c>
    </row>
    <row r="61" spans="1:10" ht="28.8" hidden="1" outlineLevel="2" x14ac:dyDescent="0.3">
      <c r="A61" s="151" t="s">
        <v>5</v>
      </c>
      <c r="B61" s="152" t="s">
        <v>48</v>
      </c>
      <c r="C61" s="152" t="s">
        <v>208</v>
      </c>
      <c r="D61" s="153">
        <v>281039.33999999997</v>
      </c>
      <c r="E61" s="153">
        <v>111814</v>
      </c>
      <c r="F61" s="153">
        <v>165581</v>
      </c>
      <c r="G61" s="153">
        <f>E61+F61</f>
        <v>277395</v>
      </c>
      <c r="H61" s="153">
        <f>G61-D61</f>
        <v>-3644.3399999999674</v>
      </c>
      <c r="I61" s="156" t="s">
        <v>697</v>
      </c>
      <c r="J61" s="155" t="s">
        <v>546</v>
      </c>
    </row>
    <row r="62" spans="1:10" ht="43.2" hidden="1" outlineLevel="2" x14ac:dyDescent="0.3">
      <c r="A62" s="151" t="s">
        <v>5</v>
      </c>
      <c r="B62" s="152" t="s">
        <v>48</v>
      </c>
      <c r="C62" s="152" t="s">
        <v>191</v>
      </c>
      <c r="D62" s="153">
        <v>190000</v>
      </c>
      <c r="E62" s="153">
        <v>75000</v>
      </c>
      <c r="F62" s="153">
        <v>41650</v>
      </c>
      <c r="G62" s="153">
        <f>E62+F62</f>
        <v>116650</v>
      </c>
      <c r="H62" s="153">
        <f>G62-D62</f>
        <v>-73350</v>
      </c>
      <c r="I62" s="156" t="s">
        <v>698</v>
      </c>
      <c r="J62" s="155" t="s">
        <v>158</v>
      </c>
    </row>
    <row r="63" spans="1:10" hidden="1" outlineLevel="1" x14ac:dyDescent="0.3">
      <c r="A63" s="157" t="s">
        <v>5</v>
      </c>
      <c r="B63" s="158" t="s">
        <v>482</v>
      </c>
      <c r="C63" s="158"/>
      <c r="D63" s="159">
        <f>SUM(D60:D62)</f>
        <v>1995591.3399999999</v>
      </c>
      <c r="E63" s="159">
        <f>SUM(E60:E62)</f>
        <v>753294</v>
      </c>
      <c r="F63" s="159">
        <f>SUM(F60:F62)</f>
        <v>1251890</v>
      </c>
      <c r="G63" s="159">
        <f>SUM(G60:G62)</f>
        <v>2005184</v>
      </c>
      <c r="H63" s="159">
        <f>SUM(H60:H62)</f>
        <v>9592.6600000000326</v>
      </c>
      <c r="I63" s="160"/>
      <c r="J63" s="161"/>
    </row>
    <row r="64" spans="1:10" ht="43.2" hidden="1" outlineLevel="2" x14ac:dyDescent="0.3">
      <c r="A64" s="151" t="s">
        <v>5</v>
      </c>
      <c r="B64" s="152" t="s">
        <v>49</v>
      </c>
      <c r="C64" s="152" t="s">
        <v>74</v>
      </c>
      <c r="D64" s="153">
        <v>178500</v>
      </c>
      <c r="E64" s="153">
        <v>145141.29999999999</v>
      </c>
      <c r="F64" s="153">
        <v>29028.26</v>
      </c>
      <c r="G64" s="153">
        <f>E64+F64</f>
        <v>174169.56</v>
      </c>
      <c r="H64" s="153">
        <f>G64-D64</f>
        <v>-4330.4400000000023</v>
      </c>
      <c r="I64" s="156" t="s">
        <v>699</v>
      </c>
      <c r="J64" s="155" t="s">
        <v>546</v>
      </c>
    </row>
    <row r="65" spans="1:10" hidden="1" outlineLevel="1" x14ac:dyDescent="0.3">
      <c r="A65" s="157" t="s">
        <v>5</v>
      </c>
      <c r="B65" s="158" t="s">
        <v>483</v>
      </c>
      <c r="C65" s="158"/>
      <c r="D65" s="159">
        <f>SUM(D64:D64)</f>
        <v>178500</v>
      </c>
      <c r="E65" s="159">
        <f>SUM(E64:E64)</f>
        <v>145141.29999999999</v>
      </c>
      <c r="F65" s="159">
        <f>SUM(F64:F64)</f>
        <v>29028.26</v>
      </c>
      <c r="G65" s="159">
        <f>SUM(G64:G64)</f>
        <v>174169.56</v>
      </c>
      <c r="H65" s="159">
        <f>SUM(H64:H64)</f>
        <v>-4330.4400000000023</v>
      </c>
      <c r="I65" s="160"/>
      <c r="J65" s="161"/>
    </row>
    <row r="66" spans="1:10" ht="43.2" hidden="1" outlineLevel="2" x14ac:dyDescent="0.3">
      <c r="A66" s="151" t="s">
        <v>5</v>
      </c>
      <c r="B66" s="152" t="s">
        <v>50</v>
      </c>
      <c r="C66" s="152" t="s">
        <v>121</v>
      </c>
      <c r="D66" s="153">
        <v>100000</v>
      </c>
      <c r="E66" s="153">
        <v>46815</v>
      </c>
      <c r="F66" s="153">
        <v>53185</v>
      </c>
      <c r="G66" s="153">
        <f>E66+F66</f>
        <v>100000</v>
      </c>
      <c r="H66" s="153">
        <f>G66-D66</f>
        <v>0</v>
      </c>
      <c r="I66" s="162" t="s">
        <v>700</v>
      </c>
      <c r="J66" s="163" t="s">
        <v>547</v>
      </c>
    </row>
    <row r="67" spans="1:10" hidden="1" outlineLevel="1" x14ac:dyDescent="0.3">
      <c r="A67" s="157" t="s">
        <v>5</v>
      </c>
      <c r="B67" s="158" t="s">
        <v>484</v>
      </c>
      <c r="C67" s="158"/>
      <c r="D67" s="159">
        <f>SUM(D66:D66)</f>
        <v>100000</v>
      </c>
      <c r="E67" s="159">
        <f>SUM(E66:E66)</f>
        <v>46815</v>
      </c>
      <c r="F67" s="159">
        <f>SUM(F66:F66)</f>
        <v>53185</v>
      </c>
      <c r="G67" s="159">
        <f>SUM(G66:G66)</f>
        <v>100000</v>
      </c>
      <c r="H67" s="159">
        <f>SUM(H66:H66)</f>
        <v>0</v>
      </c>
      <c r="I67" s="160"/>
      <c r="J67" s="161"/>
    </row>
    <row r="68" spans="1:10" ht="57.6" hidden="1" outlineLevel="2" x14ac:dyDescent="0.3">
      <c r="A68" s="151" t="s">
        <v>5</v>
      </c>
      <c r="B68" s="152" t="s">
        <v>51</v>
      </c>
      <c r="C68" s="152" t="s">
        <v>181</v>
      </c>
      <c r="D68" s="153">
        <v>345000</v>
      </c>
      <c r="E68" s="153">
        <v>154000</v>
      </c>
      <c r="F68" s="153">
        <v>438000</v>
      </c>
      <c r="G68" s="153">
        <f>E68+F68</f>
        <v>592000</v>
      </c>
      <c r="H68" s="153">
        <f>G68-D68</f>
        <v>247000</v>
      </c>
      <c r="I68" s="106" t="s">
        <v>701</v>
      </c>
      <c r="J68" s="169" t="s">
        <v>550</v>
      </c>
    </row>
    <row r="69" spans="1:10" ht="28.8" hidden="1" outlineLevel="2" x14ac:dyDescent="0.3">
      <c r="A69" s="151" t="s">
        <v>5</v>
      </c>
      <c r="B69" s="152" t="s">
        <v>51</v>
      </c>
      <c r="C69" s="152" t="s">
        <v>208</v>
      </c>
      <c r="D69" s="153">
        <v>100000</v>
      </c>
      <c r="E69" s="153">
        <v>0</v>
      </c>
      <c r="F69" s="153">
        <v>100000</v>
      </c>
      <c r="G69" s="153">
        <f>E69+F69</f>
        <v>100000</v>
      </c>
      <c r="H69" s="153">
        <f>G69-D69</f>
        <v>0</v>
      </c>
      <c r="I69" s="162" t="s">
        <v>702</v>
      </c>
      <c r="J69" s="163" t="s">
        <v>547</v>
      </c>
    </row>
    <row r="70" spans="1:10" hidden="1" outlineLevel="1" x14ac:dyDescent="0.3">
      <c r="A70" s="157" t="s">
        <v>5</v>
      </c>
      <c r="B70" s="158" t="s">
        <v>485</v>
      </c>
      <c r="C70" s="158"/>
      <c r="D70" s="159">
        <f>SUM(D68:D69)</f>
        <v>445000</v>
      </c>
      <c r="E70" s="159">
        <f>SUM(E68:E69)</f>
        <v>154000</v>
      </c>
      <c r="F70" s="159">
        <f>SUM(F68:F69)</f>
        <v>538000</v>
      </c>
      <c r="G70" s="159">
        <f>SUM(G68:G69)</f>
        <v>692000</v>
      </c>
      <c r="H70" s="159">
        <f>SUM(H68:H69)</f>
        <v>247000</v>
      </c>
      <c r="I70" s="160"/>
      <c r="J70" s="161"/>
    </row>
    <row r="71" spans="1:10" ht="28.8" hidden="1" outlineLevel="2" x14ac:dyDescent="0.3">
      <c r="A71" s="151" t="s">
        <v>5</v>
      </c>
      <c r="B71" s="152" t="s">
        <v>53</v>
      </c>
      <c r="C71" s="152" t="s">
        <v>222</v>
      </c>
      <c r="D71" s="153">
        <v>32400</v>
      </c>
      <c r="E71" s="153">
        <v>32009.25</v>
      </c>
      <c r="F71" s="153">
        <v>0</v>
      </c>
      <c r="G71" s="153">
        <f>E71+F71</f>
        <v>32009.25</v>
      </c>
      <c r="H71" s="153">
        <f>G71-D71</f>
        <v>-390.75</v>
      </c>
      <c r="I71" s="162" t="s">
        <v>703</v>
      </c>
      <c r="J71" s="163" t="s">
        <v>158</v>
      </c>
    </row>
    <row r="72" spans="1:10" hidden="1" outlineLevel="1" x14ac:dyDescent="0.3">
      <c r="A72" s="157" t="s">
        <v>5</v>
      </c>
      <c r="B72" s="158" t="s">
        <v>487</v>
      </c>
      <c r="C72" s="158"/>
      <c r="D72" s="159">
        <f>SUM(D71:D71)</f>
        <v>32400</v>
      </c>
      <c r="E72" s="159">
        <f>SUM(E71:E71)</f>
        <v>32009.25</v>
      </c>
      <c r="F72" s="159">
        <f>SUM(F71:F71)</f>
        <v>0</v>
      </c>
      <c r="G72" s="159">
        <f>SUM(G71:G71)</f>
        <v>32009.25</v>
      </c>
      <c r="H72" s="159">
        <f>SUM(H71:H71)</f>
        <v>-390.75</v>
      </c>
      <c r="I72" s="160"/>
      <c r="J72" s="161"/>
    </row>
    <row r="73" spans="1:10" hidden="1" collapsed="1" x14ac:dyDescent="0.3">
      <c r="A73" s="164" t="s">
        <v>553</v>
      </c>
      <c r="B73" s="165"/>
      <c r="C73" s="165"/>
      <c r="D73" s="166">
        <f>SUM(D63,D65,D67,D70,D72)</f>
        <v>2751491.34</v>
      </c>
      <c r="E73" s="166">
        <f>SUM(E63,E65,E67,E70,E72)</f>
        <v>1131259.55</v>
      </c>
      <c r="F73" s="166">
        <f>SUM(F63,F65,F67,F70,F72)</f>
        <v>1872103.26</v>
      </c>
      <c r="G73" s="166">
        <f>SUM(G63,G65,G67,G70,G72)</f>
        <v>3003362.81</v>
      </c>
      <c r="H73" s="166">
        <f>SUM(H63,H65,H67,H70,H72)</f>
        <v>251871.47000000003</v>
      </c>
      <c r="I73" s="160"/>
      <c r="J73" s="161"/>
    </row>
    <row r="74" spans="1:10" ht="28.8" hidden="1" outlineLevel="2" x14ac:dyDescent="0.3">
      <c r="A74" s="151" t="s">
        <v>6</v>
      </c>
      <c r="B74" s="152" t="s">
        <v>50</v>
      </c>
      <c r="C74" s="152" t="s">
        <v>368</v>
      </c>
      <c r="D74" s="153">
        <v>4409</v>
      </c>
      <c r="E74" s="153">
        <v>4982.8</v>
      </c>
      <c r="F74" s="153">
        <v>0</v>
      </c>
      <c r="G74" s="153">
        <f t="shared" ref="G74:G79" si="2">E74+F74</f>
        <v>4982.8</v>
      </c>
      <c r="H74" s="153">
        <f t="shared" ref="H74:H79" si="3">G74-D74</f>
        <v>573.80000000000018</v>
      </c>
      <c r="I74" s="162" t="s">
        <v>704</v>
      </c>
      <c r="J74" s="163" t="s">
        <v>550</v>
      </c>
    </row>
    <row r="75" spans="1:10" ht="28.8" hidden="1" outlineLevel="2" x14ac:dyDescent="0.3">
      <c r="A75" s="151" t="s">
        <v>6</v>
      </c>
      <c r="B75" s="152" t="s">
        <v>50</v>
      </c>
      <c r="C75" s="152" t="s">
        <v>159</v>
      </c>
      <c r="D75" s="153">
        <v>14886</v>
      </c>
      <c r="E75" s="153">
        <v>5443.74</v>
      </c>
      <c r="F75" s="153">
        <v>7621.3200000000006</v>
      </c>
      <c r="G75" s="153">
        <f t="shared" si="2"/>
        <v>13065.060000000001</v>
      </c>
      <c r="H75" s="153">
        <f t="shared" si="3"/>
        <v>-1820.9399999999987</v>
      </c>
      <c r="I75" s="156" t="s">
        <v>705</v>
      </c>
      <c r="J75" s="155" t="s">
        <v>546</v>
      </c>
    </row>
    <row r="76" spans="1:10" ht="28.8" hidden="1" outlineLevel="2" x14ac:dyDescent="0.3">
      <c r="A76" s="151" t="s">
        <v>6</v>
      </c>
      <c r="B76" s="152" t="s">
        <v>50</v>
      </c>
      <c r="C76" s="152" t="s">
        <v>362</v>
      </c>
      <c r="D76" s="153">
        <v>8400</v>
      </c>
      <c r="E76" s="153">
        <v>8000</v>
      </c>
      <c r="F76" s="153">
        <v>0</v>
      </c>
      <c r="G76" s="153">
        <f t="shared" si="2"/>
        <v>8000</v>
      </c>
      <c r="H76" s="153">
        <f t="shared" si="3"/>
        <v>-400</v>
      </c>
      <c r="I76" s="162" t="s">
        <v>706</v>
      </c>
      <c r="J76" s="155" t="s">
        <v>546</v>
      </c>
    </row>
    <row r="77" spans="1:10" ht="28.8" hidden="1" outlineLevel="2" x14ac:dyDescent="0.3">
      <c r="A77" s="151" t="s">
        <v>6</v>
      </c>
      <c r="B77" s="152" t="s">
        <v>50</v>
      </c>
      <c r="C77" s="152" t="s">
        <v>478</v>
      </c>
      <c r="D77" s="153">
        <v>0</v>
      </c>
      <c r="E77" s="153">
        <v>15208</v>
      </c>
      <c r="F77" s="153">
        <v>0</v>
      </c>
      <c r="G77" s="153">
        <f t="shared" si="2"/>
        <v>15208</v>
      </c>
      <c r="H77" s="153">
        <f t="shared" si="3"/>
        <v>15208</v>
      </c>
      <c r="I77" s="167" t="s">
        <v>707</v>
      </c>
      <c r="J77" s="168" t="s">
        <v>41</v>
      </c>
    </row>
    <row r="78" spans="1:10" ht="28.8" hidden="1" outlineLevel="2" x14ac:dyDescent="0.3">
      <c r="A78" s="151" t="s">
        <v>6</v>
      </c>
      <c r="B78" s="152" t="s">
        <v>50</v>
      </c>
      <c r="C78" s="152" t="s">
        <v>371</v>
      </c>
      <c r="D78" s="153">
        <v>67470</v>
      </c>
      <c r="E78" s="153">
        <v>34242.9</v>
      </c>
      <c r="F78" s="153">
        <v>33735</v>
      </c>
      <c r="G78" s="153">
        <f t="shared" si="2"/>
        <v>67977.899999999994</v>
      </c>
      <c r="H78" s="153">
        <f t="shared" si="3"/>
        <v>507.89999999999418</v>
      </c>
      <c r="I78" s="162" t="s">
        <v>708</v>
      </c>
      <c r="J78" s="163" t="s">
        <v>550</v>
      </c>
    </row>
    <row r="79" spans="1:10" ht="28.8" hidden="1" outlineLevel="2" x14ac:dyDescent="0.3">
      <c r="A79" s="151" t="s">
        <v>6</v>
      </c>
      <c r="B79" s="152" t="s">
        <v>50</v>
      </c>
      <c r="C79" s="152" t="s">
        <v>374</v>
      </c>
      <c r="D79" s="153">
        <v>25000</v>
      </c>
      <c r="E79" s="153">
        <v>0</v>
      </c>
      <c r="F79" s="153">
        <v>25000</v>
      </c>
      <c r="G79" s="153">
        <f t="shared" si="2"/>
        <v>25000</v>
      </c>
      <c r="H79" s="153">
        <f t="shared" si="3"/>
        <v>0</v>
      </c>
      <c r="I79" s="162" t="s">
        <v>554</v>
      </c>
      <c r="J79" s="163" t="s">
        <v>547</v>
      </c>
    </row>
    <row r="80" spans="1:10" hidden="1" outlineLevel="1" x14ac:dyDescent="0.3">
      <c r="A80" s="157" t="s">
        <v>6</v>
      </c>
      <c r="B80" s="158" t="s">
        <v>484</v>
      </c>
      <c r="C80" s="158"/>
      <c r="D80" s="159">
        <f>SUM(D74:D79)</f>
        <v>120165</v>
      </c>
      <c r="E80" s="159">
        <f>SUM(E74:E79)</f>
        <v>67877.440000000002</v>
      </c>
      <c r="F80" s="159">
        <f>SUM(F74:F79)</f>
        <v>66356.320000000007</v>
      </c>
      <c r="G80" s="159">
        <f>SUM(G74:G79)</f>
        <v>134233.76</v>
      </c>
      <c r="H80" s="159">
        <f>SUM(H74:H79)</f>
        <v>14068.759999999995</v>
      </c>
      <c r="I80" s="160"/>
      <c r="J80" s="161"/>
    </row>
    <row r="81" spans="1:10" ht="28.8" hidden="1" outlineLevel="2" x14ac:dyDescent="0.3">
      <c r="A81" s="151" t="s">
        <v>6</v>
      </c>
      <c r="B81" s="152" t="s">
        <v>51</v>
      </c>
      <c r="C81" s="152" t="s">
        <v>166</v>
      </c>
      <c r="D81" s="153">
        <v>12200</v>
      </c>
      <c r="E81" s="153">
        <v>0</v>
      </c>
      <c r="F81" s="153">
        <v>12200</v>
      </c>
      <c r="G81" s="153">
        <f>E81+F81</f>
        <v>12200</v>
      </c>
      <c r="H81" s="153">
        <f>G81-D81</f>
        <v>0</v>
      </c>
      <c r="I81" s="162" t="s">
        <v>555</v>
      </c>
      <c r="J81" s="163" t="s">
        <v>547</v>
      </c>
    </row>
    <row r="82" spans="1:10" hidden="1" outlineLevel="1" x14ac:dyDescent="0.3">
      <c r="A82" s="157" t="s">
        <v>6</v>
      </c>
      <c r="B82" s="158" t="s">
        <v>485</v>
      </c>
      <c r="C82" s="158"/>
      <c r="D82" s="159">
        <f>SUM(D81:D81)</f>
        <v>12200</v>
      </c>
      <c r="E82" s="159">
        <f>SUM(E81:E81)</f>
        <v>0</v>
      </c>
      <c r="F82" s="159">
        <f>SUM(F81:F81)</f>
        <v>12200</v>
      </c>
      <c r="G82" s="159">
        <f>SUM(G81:G81)</f>
        <v>12200</v>
      </c>
      <c r="H82" s="159">
        <f>SUM(H81:H81)</f>
        <v>0</v>
      </c>
      <c r="I82" s="160"/>
      <c r="J82" s="161"/>
    </row>
    <row r="83" spans="1:10" ht="28.8" hidden="1" outlineLevel="2" x14ac:dyDescent="0.3">
      <c r="A83" s="151" t="s">
        <v>6</v>
      </c>
      <c r="B83" s="152" t="s">
        <v>52</v>
      </c>
      <c r="C83" s="152" t="s">
        <v>370</v>
      </c>
      <c r="D83" s="153">
        <v>359</v>
      </c>
      <c r="E83" s="153">
        <v>0</v>
      </c>
      <c r="F83" s="153">
        <v>359</v>
      </c>
      <c r="G83" s="153">
        <f>E83+F83</f>
        <v>359</v>
      </c>
      <c r="H83" s="153">
        <f>G83-D83</f>
        <v>0</v>
      </c>
      <c r="I83" s="162" t="s">
        <v>556</v>
      </c>
      <c r="J83" s="163" t="s">
        <v>547</v>
      </c>
    </row>
    <row r="84" spans="1:10" hidden="1" outlineLevel="1" x14ac:dyDescent="0.3">
      <c r="A84" s="157" t="s">
        <v>6</v>
      </c>
      <c r="B84" s="158" t="s">
        <v>486</v>
      </c>
      <c r="C84" s="158"/>
      <c r="D84" s="159">
        <f>SUM(D83:D83)</f>
        <v>359</v>
      </c>
      <c r="E84" s="159">
        <f>SUM(E83:E83)</f>
        <v>0</v>
      </c>
      <c r="F84" s="159">
        <f>SUM(F83:F83)</f>
        <v>359</v>
      </c>
      <c r="G84" s="159">
        <f>SUM(G83:G83)</f>
        <v>359</v>
      </c>
      <c r="H84" s="159">
        <f>SUM(H83:H83)</f>
        <v>0</v>
      </c>
      <c r="I84" s="160"/>
      <c r="J84" s="161"/>
    </row>
    <row r="85" spans="1:10" ht="28.8" hidden="1" outlineLevel="2" x14ac:dyDescent="0.3">
      <c r="A85" s="151" t="s">
        <v>6</v>
      </c>
      <c r="B85" s="152" t="s">
        <v>53</v>
      </c>
      <c r="C85" s="152" t="s">
        <v>170</v>
      </c>
      <c r="D85" s="153">
        <v>236250</v>
      </c>
      <c r="E85" s="153">
        <v>0</v>
      </c>
      <c r="F85" s="153">
        <v>236250</v>
      </c>
      <c r="G85" s="153">
        <f>E85+F85</f>
        <v>236250</v>
      </c>
      <c r="H85" s="153">
        <f>G85-D85</f>
        <v>0</v>
      </c>
      <c r="I85" s="162" t="s">
        <v>557</v>
      </c>
      <c r="J85" s="163" t="s">
        <v>547</v>
      </c>
    </row>
    <row r="86" spans="1:10" ht="28.8" hidden="1" outlineLevel="2" x14ac:dyDescent="0.3">
      <c r="A86" s="151" t="s">
        <v>6</v>
      </c>
      <c r="B86" s="152" t="s">
        <v>53</v>
      </c>
      <c r="C86" s="152" t="s">
        <v>176</v>
      </c>
      <c r="D86" s="153">
        <v>141750</v>
      </c>
      <c r="E86" s="153">
        <v>0</v>
      </c>
      <c r="F86" s="153">
        <v>141750</v>
      </c>
      <c r="G86" s="153">
        <f>E86+F86</f>
        <v>141750</v>
      </c>
      <c r="H86" s="153">
        <f>G86-D86</f>
        <v>0</v>
      </c>
      <c r="I86" s="162" t="s">
        <v>557</v>
      </c>
      <c r="J86" s="163" t="s">
        <v>547</v>
      </c>
    </row>
    <row r="87" spans="1:10" ht="28.8" hidden="1" outlineLevel="2" x14ac:dyDescent="0.3">
      <c r="A87" s="151" t="s">
        <v>6</v>
      </c>
      <c r="B87" s="152" t="s">
        <v>53</v>
      </c>
      <c r="C87" s="152" t="s">
        <v>177</v>
      </c>
      <c r="D87" s="153">
        <v>17099</v>
      </c>
      <c r="E87" s="153">
        <v>0</v>
      </c>
      <c r="F87" s="153">
        <v>17099</v>
      </c>
      <c r="G87" s="153">
        <f>E87+F87</f>
        <v>17099</v>
      </c>
      <c r="H87" s="153">
        <f>G87-D87</f>
        <v>0</v>
      </c>
      <c r="I87" s="162" t="s">
        <v>558</v>
      </c>
      <c r="J87" s="163" t="s">
        <v>547</v>
      </c>
    </row>
    <row r="88" spans="1:10" ht="43.2" hidden="1" outlineLevel="2" x14ac:dyDescent="0.3">
      <c r="A88" s="151" t="s">
        <v>6</v>
      </c>
      <c r="B88" s="152" t="s">
        <v>53</v>
      </c>
      <c r="C88" s="152" t="s">
        <v>112</v>
      </c>
      <c r="D88" s="153">
        <v>259449</v>
      </c>
      <c r="E88" s="153">
        <v>83657.850000000006</v>
      </c>
      <c r="F88" s="153">
        <v>125791</v>
      </c>
      <c r="G88" s="153">
        <f>E88+F88</f>
        <v>209448.85</v>
      </c>
      <c r="H88" s="153">
        <f>G88-D88</f>
        <v>-50000.149999999994</v>
      </c>
      <c r="I88" s="156" t="s">
        <v>709</v>
      </c>
      <c r="J88" s="155" t="s">
        <v>546</v>
      </c>
    </row>
    <row r="89" spans="1:10" hidden="1" outlineLevel="1" x14ac:dyDescent="0.3">
      <c r="A89" s="157" t="s">
        <v>6</v>
      </c>
      <c r="B89" s="158" t="s">
        <v>487</v>
      </c>
      <c r="C89" s="158"/>
      <c r="D89" s="159">
        <f>SUM(D85:D88)</f>
        <v>654548</v>
      </c>
      <c r="E89" s="159">
        <f>SUM(E85:E88)</f>
        <v>83657.850000000006</v>
      </c>
      <c r="F89" s="159">
        <f>SUM(F85:F88)</f>
        <v>520890</v>
      </c>
      <c r="G89" s="159">
        <f>SUM(G85:G88)</f>
        <v>604547.85</v>
      </c>
      <c r="H89" s="159">
        <f>SUM(H85:H88)</f>
        <v>-50000.149999999994</v>
      </c>
      <c r="I89" s="160"/>
      <c r="J89" s="161"/>
    </row>
    <row r="90" spans="1:10" ht="43.2" hidden="1" outlineLevel="2" x14ac:dyDescent="0.3">
      <c r="A90" s="151" t="s">
        <v>6</v>
      </c>
      <c r="B90" s="152" t="s">
        <v>420</v>
      </c>
      <c r="C90" s="152" t="s">
        <v>419</v>
      </c>
      <c r="D90" s="153">
        <v>1244018</v>
      </c>
      <c r="E90" s="153">
        <v>600811.08750000014</v>
      </c>
      <c r="F90" s="153">
        <v>841135.5225000002</v>
      </c>
      <c r="G90" s="153">
        <f>E90+F90</f>
        <v>1441946.6100000003</v>
      </c>
      <c r="H90" s="153">
        <f>G90-D90</f>
        <v>197928.61000000034</v>
      </c>
      <c r="I90" s="170" t="s">
        <v>710</v>
      </c>
      <c r="J90" s="169" t="s">
        <v>41</v>
      </c>
    </row>
    <row r="91" spans="1:10" hidden="1" outlineLevel="1" x14ac:dyDescent="0.3">
      <c r="A91" s="157" t="s">
        <v>6</v>
      </c>
      <c r="B91" s="158" t="s">
        <v>559</v>
      </c>
      <c r="C91" s="158"/>
      <c r="D91" s="159">
        <f>SUM(D90:D90)</f>
        <v>1244018</v>
      </c>
      <c r="E91" s="159">
        <f>SUM(E90:E90)</f>
        <v>600811.08750000014</v>
      </c>
      <c r="F91" s="159">
        <f>SUM(F90:F90)</f>
        <v>841135.5225000002</v>
      </c>
      <c r="G91" s="159">
        <f>SUM(G90:G90)</f>
        <v>1441946.6100000003</v>
      </c>
      <c r="H91" s="159">
        <f>SUM(H90:H90)</f>
        <v>197928.61000000034</v>
      </c>
      <c r="I91" s="160"/>
      <c r="J91" s="161"/>
    </row>
    <row r="92" spans="1:10" hidden="1" collapsed="1" x14ac:dyDescent="0.3">
      <c r="A92" s="164" t="s">
        <v>560</v>
      </c>
      <c r="B92" s="165"/>
      <c r="C92" s="165"/>
      <c r="D92" s="166">
        <f>SUM(D80,D82,D84,D89,D91)</f>
        <v>2031290</v>
      </c>
      <c r="E92" s="166">
        <f>SUM(E80,E82,E84,E89,E91)</f>
        <v>752346.37750000018</v>
      </c>
      <c r="F92" s="166">
        <f>SUM(F80,F82,F84,F89,F91)</f>
        <v>1440940.8425000003</v>
      </c>
      <c r="G92" s="166">
        <f>SUM(G80,G82,G84,G89,G91)</f>
        <v>2193287.2200000002</v>
      </c>
      <c r="H92" s="166">
        <f>SUM(H80,H82,H84,H89,H91)</f>
        <v>161997.22000000032</v>
      </c>
      <c r="I92" s="160"/>
      <c r="J92" s="161"/>
    </row>
    <row r="93" spans="1:10" ht="43.2" hidden="1" outlineLevel="2" x14ac:dyDescent="0.3">
      <c r="A93" s="151" t="s">
        <v>7</v>
      </c>
      <c r="B93" s="152" t="s">
        <v>48</v>
      </c>
      <c r="C93" s="152" t="s">
        <v>322</v>
      </c>
      <c r="D93" s="153">
        <v>191646</v>
      </c>
      <c r="E93" s="153">
        <v>28503.335000000003</v>
      </c>
      <c r="F93" s="153">
        <v>99761.672500000001</v>
      </c>
      <c r="G93" s="153">
        <f t="shared" ref="G93:G100" si="4">E93+F93</f>
        <v>128265.00750000001</v>
      </c>
      <c r="H93" s="153">
        <f t="shared" ref="H93:H100" si="5">G93-D93</f>
        <v>-63380.992499999993</v>
      </c>
      <c r="I93" s="156" t="s">
        <v>711</v>
      </c>
      <c r="J93" s="155" t="s">
        <v>546</v>
      </c>
    </row>
    <row r="94" spans="1:10" ht="28.8" hidden="1" outlineLevel="2" x14ac:dyDescent="0.3">
      <c r="A94" s="151" t="s">
        <v>7</v>
      </c>
      <c r="B94" s="152" t="s">
        <v>48</v>
      </c>
      <c r="C94" s="152" t="s">
        <v>234</v>
      </c>
      <c r="D94" s="153">
        <v>10080</v>
      </c>
      <c r="E94" s="153">
        <v>4800</v>
      </c>
      <c r="F94" s="153">
        <v>5280</v>
      </c>
      <c r="G94" s="153">
        <f t="shared" si="4"/>
        <v>10080</v>
      </c>
      <c r="H94" s="153">
        <f t="shared" si="5"/>
        <v>0</v>
      </c>
      <c r="I94" s="162" t="s">
        <v>561</v>
      </c>
      <c r="J94" s="163" t="s">
        <v>547</v>
      </c>
    </row>
    <row r="95" spans="1:10" ht="28.8" hidden="1" outlineLevel="2" x14ac:dyDescent="0.3">
      <c r="A95" s="151" t="s">
        <v>7</v>
      </c>
      <c r="B95" s="152" t="s">
        <v>48</v>
      </c>
      <c r="C95" s="152" t="s">
        <v>313</v>
      </c>
      <c r="D95" s="153">
        <v>139684</v>
      </c>
      <c r="E95" s="153">
        <v>58201.666666666672</v>
      </c>
      <c r="F95" s="153">
        <v>81482.333333333328</v>
      </c>
      <c r="G95" s="153">
        <f t="shared" si="4"/>
        <v>139684</v>
      </c>
      <c r="H95" s="153">
        <f t="shared" si="5"/>
        <v>0</v>
      </c>
      <c r="I95" s="162" t="s">
        <v>562</v>
      </c>
      <c r="J95" s="163" t="s">
        <v>547</v>
      </c>
    </row>
    <row r="96" spans="1:10" ht="28.8" hidden="1" outlineLevel="2" x14ac:dyDescent="0.3">
      <c r="A96" s="151" t="s">
        <v>7</v>
      </c>
      <c r="B96" s="152" t="s">
        <v>48</v>
      </c>
      <c r="C96" s="152" t="s">
        <v>181</v>
      </c>
      <c r="D96" s="153">
        <v>100844.1</v>
      </c>
      <c r="E96" s="153">
        <v>96041.64</v>
      </c>
      <c r="F96" s="153">
        <v>0</v>
      </c>
      <c r="G96" s="153">
        <f t="shared" si="4"/>
        <v>96041.64</v>
      </c>
      <c r="H96" s="153">
        <f t="shared" si="5"/>
        <v>-4802.4600000000064</v>
      </c>
      <c r="I96" s="156" t="s">
        <v>712</v>
      </c>
      <c r="J96" s="155" t="s">
        <v>158</v>
      </c>
    </row>
    <row r="97" spans="1:10" ht="28.8" hidden="1" outlineLevel="2" x14ac:dyDescent="0.3">
      <c r="A97" s="151" t="s">
        <v>7</v>
      </c>
      <c r="B97" s="152" t="s">
        <v>48</v>
      </c>
      <c r="C97" s="152" t="s">
        <v>304</v>
      </c>
      <c r="D97" s="153">
        <v>117539.0055</v>
      </c>
      <c r="E97" s="153">
        <v>14025.49</v>
      </c>
      <c r="F97" s="153">
        <v>103536.75</v>
      </c>
      <c r="G97" s="153">
        <f t="shared" si="4"/>
        <v>117562.24000000001</v>
      </c>
      <c r="H97" s="153">
        <f t="shared" si="5"/>
        <v>23.234500000005937</v>
      </c>
      <c r="I97" s="162" t="s">
        <v>565</v>
      </c>
      <c r="J97" s="163" t="s">
        <v>547</v>
      </c>
    </row>
    <row r="98" spans="1:10" ht="43.2" hidden="1" outlineLevel="2" x14ac:dyDescent="0.3">
      <c r="A98" s="151" t="s">
        <v>7</v>
      </c>
      <c r="B98" s="152" t="s">
        <v>48</v>
      </c>
      <c r="C98" s="152" t="s">
        <v>208</v>
      </c>
      <c r="D98" s="153">
        <v>1410968.58415</v>
      </c>
      <c r="E98" s="153">
        <v>553592.44999999995</v>
      </c>
      <c r="F98" s="153">
        <v>641600.51250000007</v>
      </c>
      <c r="G98" s="153">
        <f t="shared" si="4"/>
        <v>1195192.9624999999</v>
      </c>
      <c r="H98" s="153">
        <f t="shared" si="5"/>
        <v>-215775.6216500001</v>
      </c>
      <c r="I98" s="156" t="s">
        <v>713</v>
      </c>
      <c r="J98" s="155" t="s">
        <v>546</v>
      </c>
    </row>
    <row r="99" spans="1:10" ht="28.8" hidden="1" outlineLevel="2" x14ac:dyDescent="0.3">
      <c r="A99" s="151" t="s">
        <v>7</v>
      </c>
      <c r="B99" s="152" t="s">
        <v>48</v>
      </c>
      <c r="C99" s="152" t="s">
        <v>278</v>
      </c>
      <c r="D99" s="153">
        <v>51930.15</v>
      </c>
      <c r="E99" s="153">
        <v>46713</v>
      </c>
      <c r="F99" s="153">
        <v>7470</v>
      </c>
      <c r="G99" s="153">
        <f t="shared" si="4"/>
        <v>54183</v>
      </c>
      <c r="H99" s="153">
        <f t="shared" si="5"/>
        <v>2252.8499999999985</v>
      </c>
      <c r="I99" s="170" t="s">
        <v>714</v>
      </c>
      <c r="J99" s="169" t="s">
        <v>41</v>
      </c>
    </row>
    <row r="100" spans="1:10" ht="28.8" hidden="1" outlineLevel="2" x14ac:dyDescent="0.3">
      <c r="A100" s="151" t="s">
        <v>7</v>
      </c>
      <c r="B100" s="152" t="s">
        <v>48</v>
      </c>
      <c r="C100" s="152" t="s">
        <v>70</v>
      </c>
      <c r="D100" s="153">
        <v>215860.41749999998</v>
      </c>
      <c r="E100" s="153">
        <v>957.23</v>
      </c>
      <c r="F100" s="153">
        <v>214903.5</v>
      </c>
      <c r="G100" s="153">
        <f t="shared" si="4"/>
        <v>215860.73</v>
      </c>
      <c r="H100" s="153">
        <f t="shared" si="5"/>
        <v>0.31250000002910383</v>
      </c>
      <c r="I100" s="162" t="s">
        <v>715</v>
      </c>
      <c r="J100" s="163" t="s">
        <v>547</v>
      </c>
    </row>
    <row r="101" spans="1:10" hidden="1" outlineLevel="1" x14ac:dyDescent="0.3">
      <c r="A101" s="157" t="s">
        <v>7</v>
      </c>
      <c r="B101" s="158" t="s">
        <v>482</v>
      </c>
      <c r="C101" s="158"/>
      <c r="D101" s="159">
        <f>SUM(D93:D100)</f>
        <v>2238552.25715</v>
      </c>
      <c r="E101" s="159">
        <f>SUM(E93:E100)</f>
        <v>802834.81166666653</v>
      </c>
      <c r="F101" s="159">
        <f>SUM(F93:F100)</f>
        <v>1154034.7683333335</v>
      </c>
      <c r="G101" s="159">
        <f>SUM(G93:G100)</f>
        <v>1956869.5799999998</v>
      </c>
      <c r="H101" s="159">
        <f>SUM(H93:H100)</f>
        <v>-281682.67715000012</v>
      </c>
      <c r="I101" s="160"/>
      <c r="J101" s="161"/>
    </row>
    <row r="102" spans="1:10" ht="28.8" hidden="1" outlineLevel="2" x14ac:dyDescent="0.3">
      <c r="A102" s="151" t="s">
        <v>7</v>
      </c>
      <c r="B102" s="152" t="s">
        <v>49</v>
      </c>
      <c r="C102" s="152" t="s">
        <v>57</v>
      </c>
      <c r="D102" s="153">
        <v>1338002.9220000003</v>
      </c>
      <c r="E102" s="153">
        <v>7579.2400000000007</v>
      </c>
      <c r="F102" s="153">
        <v>1330423.9310000001</v>
      </c>
      <c r="G102" s="153">
        <f t="shared" ref="G102:G110" si="6">E102+F102</f>
        <v>1338003.1710000001</v>
      </c>
      <c r="H102" s="153">
        <f t="shared" ref="H102:H110" si="7">G102-D102</f>
        <v>0.24899999983608723</v>
      </c>
      <c r="I102" s="162" t="s">
        <v>716</v>
      </c>
      <c r="J102" s="163" t="s">
        <v>547</v>
      </c>
    </row>
    <row r="103" spans="1:10" ht="28.8" hidden="1" outlineLevel="2" x14ac:dyDescent="0.3">
      <c r="A103" s="151" t="s">
        <v>7</v>
      </c>
      <c r="B103" s="152" t="s">
        <v>49</v>
      </c>
      <c r="C103" s="152" t="s">
        <v>75</v>
      </c>
      <c r="D103" s="153">
        <v>5250</v>
      </c>
      <c r="E103" s="153">
        <v>0</v>
      </c>
      <c r="F103" s="153">
        <v>5250</v>
      </c>
      <c r="G103" s="153">
        <f t="shared" si="6"/>
        <v>5250</v>
      </c>
      <c r="H103" s="153">
        <f t="shared" si="7"/>
        <v>0</v>
      </c>
      <c r="I103" s="162" t="s">
        <v>563</v>
      </c>
      <c r="J103" s="163" t="s">
        <v>547</v>
      </c>
    </row>
    <row r="104" spans="1:10" ht="28.8" hidden="1" outlineLevel="2" x14ac:dyDescent="0.3">
      <c r="A104" s="151" t="s">
        <v>7</v>
      </c>
      <c r="B104" s="152" t="s">
        <v>49</v>
      </c>
      <c r="C104" s="152" t="s">
        <v>76</v>
      </c>
      <c r="D104" s="153">
        <v>27790.5285</v>
      </c>
      <c r="E104" s="153">
        <v>0</v>
      </c>
      <c r="F104" s="153">
        <v>27791</v>
      </c>
      <c r="G104" s="153">
        <f t="shared" si="6"/>
        <v>27791</v>
      </c>
      <c r="H104" s="153">
        <f t="shared" si="7"/>
        <v>0.47149999999965075</v>
      </c>
      <c r="I104" s="162" t="s">
        <v>717</v>
      </c>
      <c r="J104" s="163" t="s">
        <v>547</v>
      </c>
    </row>
    <row r="105" spans="1:10" ht="43.2" hidden="1" outlineLevel="2" x14ac:dyDescent="0.3">
      <c r="A105" s="151" t="s">
        <v>7</v>
      </c>
      <c r="B105" s="152" t="s">
        <v>49</v>
      </c>
      <c r="C105" s="152" t="s">
        <v>67</v>
      </c>
      <c r="D105" s="153">
        <v>3052298</v>
      </c>
      <c r="E105" s="153">
        <v>1263122.23</v>
      </c>
      <c r="F105" s="153">
        <v>2113806.3666666667</v>
      </c>
      <c r="G105" s="153">
        <f t="shared" si="6"/>
        <v>3376928.5966666667</v>
      </c>
      <c r="H105" s="153">
        <f t="shared" si="7"/>
        <v>324630.59666666668</v>
      </c>
      <c r="I105" s="170" t="s">
        <v>718</v>
      </c>
      <c r="J105" s="168" t="s">
        <v>41</v>
      </c>
    </row>
    <row r="106" spans="1:10" ht="28.8" hidden="1" outlineLevel="2" x14ac:dyDescent="0.3">
      <c r="A106" s="151" t="s">
        <v>7</v>
      </c>
      <c r="B106" s="152" t="s">
        <v>49</v>
      </c>
      <c r="C106" s="152" t="s">
        <v>77</v>
      </c>
      <c r="D106" s="153">
        <v>307613.80000000005</v>
      </c>
      <c r="E106" s="153">
        <v>124541.66666666666</v>
      </c>
      <c r="F106" s="153">
        <v>181125</v>
      </c>
      <c r="G106" s="153">
        <f t="shared" si="6"/>
        <v>305666.66666666663</v>
      </c>
      <c r="H106" s="153">
        <f t="shared" si="7"/>
        <v>-1947.1333333334187</v>
      </c>
      <c r="I106" s="156" t="s">
        <v>719</v>
      </c>
      <c r="J106" s="155" t="s">
        <v>158</v>
      </c>
    </row>
    <row r="107" spans="1:10" ht="43.2" hidden="1" outlineLevel="2" x14ac:dyDescent="0.3">
      <c r="A107" s="151" t="s">
        <v>7</v>
      </c>
      <c r="B107" s="152" t="s">
        <v>49</v>
      </c>
      <c r="C107" s="152" t="s">
        <v>74</v>
      </c>
      <c r="D107" s="153">
        <v>453011.9645</v>
      </c>
      <c r="E107" s="153">
        <v>209854.97916666663</v>
      </c>
      <c r="F107" s="153">
        <v>343788.93949999998</v>
      </c>
      <c r="G107" s="153">
        <f t="shared" si="6"/>
        <v>553643.91866666661</v>
      </c>
      <c r="H107" s="153">
        <f t="shared" si="7"/>
        <v>100631.9541666666</v>
      </c>
      <c r="I107" s="167" t="s">
        <v>720</v>
      </c>
      <c r="J107" s="168" t="s">
        <v>41</v>
      </c>
    </row>
    <row r="108" spans="1:10" ht="28.8" hidden="1" outlineLevel="2" x14ac:dyDescent="0.3">
      <c r="A108" s="151" t="s">
        <v>7</v>
      </c>
      <c r="B108" s="152" t="s">
        <v>49</v>
      </c>
      <c r="C108" s="152" t="s">
        <v>70</v>
      </c>
      <c r="D108" s="153">
        <v>0</v>
      </c>
      <c r="E108" s="153">
        <v>0</v>
      </c>
      <c r="F108" s="153">
        <v>0</v>
      </c>
      <c r="G108" s="153">
        <f t="shared" si="6"/>
        <v>0</v>
      </c>
      <c r="H108" s="153">
        <f t="shared" si="7"/>
        <v>0</v>
      </c>
      <c r="I108" s="162" t="s">
        <v>721</v>
      </c>
      <c r="J108" s="163" t="s">
        <v>547</v>
      </c>
    </row>
    <row r="109" spans="1:10" ht="28.8" hidden="1" outlineLevel="2" x14ac:dyDescent="0.3">
      <c r="A109" s="151" t="s">
        <v>7</v>
      </c>
      <c r="B109" s="152" t="s">
        <v>49</v>
      </c>
      <c r="C109" s="152" t="s">
        <v>78</v>
      </c>
      <c r="D109" s="153">
        <v>5407.5</v>
      </c>
      <c r="E109" s="153">
        <v>0</v>
      </c>
      <c r="F109" s="153">
        <v>5407.5</v>
      </c>
      <c r="G109" s="153">
        <f t="shared" si="6"/>
        <v>5407.5</v>
      </c>
      <c r="H109" s="153">
        <f t="shared" si="7"/>
        <v>0</v>
      </c>
      <c r="I109" s="162" t="s">
        <v>561</v>
      </c>
      <c r="J109" s="163" t="s">
        <v>547</v>
      </c>
    </row>
    <row r="110" spans="1:10" ht="28.8" hidden="1" outlineLevel="2" x14ac:dyDescent="0.3">
      <c r="A110" s="151" t="s">
        <v>7</v>
      </c>
      <c r="B110" s="152" t="s">
        <v>49</v>
      </c>
      <c r="C110" s="152" t="s">
        <v>79</v>
      </c>
      <c r="D110" s="153">
        <v>61830</v>
      </c>
      <c r="E110" s="153">
        <v>0</v>
      </c>
      <c r="F110" s="153">
        <v>61830</v>
      </c>
      <c r="G110" s="153">
        <f t="shared" si="6"/>
        <v>61830</v>
      </c>
      <c r="H110" s="153">
        <f t="shared" si="7"/>
        <v>0</v>
      </c>
      <c r="I110" s="162" t="s">
        <v>564</v>
      </c>
      <c r="J110" s="163" t="s">
        <v>547</v>
      </c>
    </row>
    <row r="111" spans="1:10" hidden="1" outlineLevel="1" x14ac:dyDescent="0.3">
      <c r="A111" s="157" t="s">
        <v>7</v>
      </c>
      <c r="B111" s="158" t="s">
        <v>483</v>
      </c>
      <c r="C111" s="158"/>
      <c r="D111" s="159">
        <f>SUM(D102:D110)</f>
        <v>5251204.7149999999</v>
      </c>
      <c r="E111" s="159">
        <f>SUM(E102:E110)</f>
        <v>1605098.1158333332</v>
      </c>
      <c r="F111" s="159">
        <f>SUM(F102:F110)</f>
        <v>4069422.7371666669</v>
      </c>
      <c r="G111" s="159">
        <f>SUM(G102:G110)</f>
        <v>5674520.8530000001</v>
      </c>
      <c r="H111" s="159">
        <f>SUM(H102:H110)</f>
        <v>423316.13799999969</v>
      </c>
      <c r="I111" s="160"/>
      <c r="J111" s="161"/>
    </row>
    <row r="112" spans="1:10" ht="28.8" hidden="1" outlineLevel="2" x14ac:dyDescent="0.3">
      <c r="A112" s="151" t="s">
        <v>7</v>
      </c>
      <c r="B112" s="152" t="s">
        <v>50</v>
      </c>
      <c r="C112" s="152" t="s">
        <v>406</v>
      </c>
      <c r="D112" s="153">
        <v>1778445.9000000001</v>
      </c>
      <c r="E112" s="153">
        <v>776946.67499999993</v>
      </c>
      <c r="F112" s="153">
        <v>1087725.345</v>
      </c>
      <c r="G112" s="153">
        <f t="shared" ref="G112:G122" si="8">E112+F112</f>
        <v>1864672.02</v>
      </c>
      <c r="H112" s="153">
        <f t="shared" ref="H112:H122" si="9">G112-D112</f>
        <v>86226.119999999879</v>
      </c>
      <c r="I112" s="167" t="s">
        <v>722</v>
      </c>
      <c r="J112" s="168" t="s">
        <v>41</v>
      </c>
    </row>
    <row r="113" spans="1:10" ht="28.8" hidden="1" outlineLevel="2" x14ac:dyDescent="0.3">
      <c r="A113" s="151" t="s">
        <v>7</v>
      </c>
      <c r="B113" s="152" t="s">
        <v>50</v>
      </c>
      <c r="C113" s="152" t="s">
        <v>416</v>
      </c>
      <c r="D113" s="153">
        <v>0</v>
      </c>
      <c r="E113" s="153">
        <v>92000</v>
      </c>
      <c r="F113" s="153">
        <v>10000</v>
      </c>
      <c r="G113" s="153">
        <f t="shared" si="8"/>
        <v>102000</v>
      </c>
      <c r="H113" s="153">
        <f t="shared" si="9"/>
        <v>102000</v>
      </c>
      <c r="I113" s="167" t="s">
        <v>723</v>
      </c>
      <c r="J113" s="168" t="s">
        <v>41</v>
      </c>
    </row>
    <row r="114" spans="1:10" ht="43.2" hidden="1" outlineLevel="2" x14ac:dyDescent="0.3">
      <c r="A114" s="151" t="s">
        <v>7</v>
      </c>
      <c r="B114" s="152" t="s">
        <v>50</v>
      </c>
      <c r="C114" s="152" t="s">
        <v>56</v>
      </c>
      <c r="D114" s="153">
        <v>3617396</v>
      </c>
      <c r="E114" s="153">
        <v>1737038.96</v>
      </c>
      <c r="F114" s="153">
        <v>2336436.4099999997</v>
      </c>
      <c r="G114" s="153">
        <f t="shared" si="8"/>
        <v>4073475.3699999996</v>
      </c>
      <c r="H114" s="153">
        <f t="shared" si="9"/>
        <v>456079.36999999965</v>
      </c>
      <c r="I114" s="167" t="s">
        <v>724</v>
      </c>
      <c r="J114" s="168" t="s">
        <v>41</v>
      </c>
    </row>
    <row r="115" spans="1:10" ht="28.8" hidden="1" outlineLevel="2" x14ac:dyDescent="0.3">
      <c r="A115" s="151" t="s">
        <v>7</v>
      </c>
      <c r="B115" s="152" t="s">
        <v>50</v>
      </c>
      <c r="C115" s="152" t="s">
        <v>133</v>
      </c>
      <c r="D115" s="153">
        <v>14700</v>
      </c>
      <c r="E115" s="153">
        <v>9900</v>
      </c>
      <c r="F115" s="153">
        <v>46050</v>
      </c>
      <c r="G115" s="153">
        <f t="shared" si="8"/>
        <v>55950</v>
      </c>
      <c r="H115" s="153">
        <f t="shared" si="9"/>
        <v>41250</v>
      </c>
      <c r="I115" s="170" t="s">
        <v>725</v>
      </c>
      <c r="J115" s="169" t="s">
        <v>41</v>
      </c>
    </row>
    <row r="116" spans="1:10" ht="28.8" hidden="1" outlineLevel="2" x14ac:dyDescent="0.3">
      <c r="A116" s="151" t="s">
        <v>7</v>
      </c>
      <c r="B116" s="152" t="s">
        <v>50</v>
      </c>
      <c r="C116" s="152" t="s">
        <v>240</v>
      </c>
      <c r="D116" s="153">
        <v>12600</v>
      </c>
      <c r="E116" s="153">
        <v>12000</v>
      </c>
      <c r="F116" s="153">
        <v>0</v>
      </c>
      <c r="G116" s="153">
        <f t="shared" si="8"/>
        <v>12000</v>
      </c>
      <c r="H116" s="153">
        <f t="shared" si="9"/>
        <v>-600</v>
      </c>
      <c r="I116" s="162" t="s">
        <v>726</v>
      </c>
      <c r="J116" s="163" t="s">
        <v>158</v>
      </c>
    </row>
    <row r="117" spans="1:10" ht="43.2" hidden="1" outlineLevel="2" x14ac:dyDescent="0.3">
      <c r="A117" s="151" t="s">
        <v>7</v>
      </c>
      <c r="B117" s="152" t="s">
        <v>50</v>
      </c>
      <c r="C117" s="152" t="s">
        <v>208</v>
      </c>
      <c r="D117" s="153">
        <v>111003</v>
      </c>
      <c r="E117" s="153">
        <v>101291</v>
      </c>
      <c r="F117" s="153">
        <v>14460</v>
      </c>
      <c r="G117" s="153">
        <f t="shared" si="8"/>
        <v>115751</v>
      </c>
      <c r="H117" s="153">
        <f t="shared" si="9"/>
        <v>4748</v>
      </c>
      <c r="I117" s="170" t="s">
        <v>727</v>
      </c>
      <c r="J117" s="169" t="s">
        <v>41</v>
      </c>
    </row>
    <row r="118" spans="1:10" ht="28.8" hidden="1" outlineLevel="2" x14ac:dyDescent="0.3">
      <c r="A118" s="151" t="s">
        <v>7</v>
      </c>
      <c r="B118" s="152" t="s">
        <v>50</v>
      </c>
      <c r="C118" s="152" t="s">
        <v>256</v>
      </c>
      <c r="D118" s="153">
        <v>2751</v>
      </c>
      <c r="E118" s="153">
        <v>3192.75</v>
      </c>
      <c r="F118" s="153">
        <v>0</v>
      </c>
      <c r="G118" s="153">
        <f t="shared" si="8"/>
        <v>3192.75</v>
      </c>
      <c r="H118" s="153">
        <f t="shared" si="9"/>
        <v>441.75</v>
      </c>
      <c r="I118" s="162" t="s">
        <v>728</v>
      </c>
      <c r="J118" s="163" t="s">
        <v>547</v>
      </c>
    </row>
    <row r="119" spans="1:10" ht="43.2" hidden="1" outlineLevel="2" x14ac:dyDescent="0.3">
      <c r="A119" s="151" t="s">
        <v>7</v>
      </c>
      <c r="B119" s="152" t="s">
        <v>50</v>
      </c>
      <c r="C119" s="152" t="s">
        <v>334</v>
      </c>
      <c r="D119" s="153">
        <v>3500000</v>
      </c>
      <c r="E119" s="153">
        <v>1522576.67</v>
      </c>
      <c r="F119" s="153">
        <v>2095744.4133333336</v>
      </c>
      <c r="G119" s="153">
        <f t="shared" si="8"/>
        <v>3618321.0833333335</v>
      </c>
      <c r="H119" s="153">
        <f t="shared" si="9"/>
        <v>118321.08333333349</v>
      </c>
      <c r="I119" s="170" t="s">
        <v>729</v>
      </c>
      <c r="J119" s="169" t="s">
        <v>550</v>
      </c>
    </row>
    <row r="120" spans="1:10" ht="28.8" hidden="1" outlineLevel="2" x14ac:dyDescent="0.3">
      <c r="A120" s="151" t="s">
        <v>7</v>
      </c>
      <c r="B120" s="152" t="s">
        <v>50</v>
      </c>
      <c r="C120" s="152" t="s">
        <v>409</v>
      </c>
      <c r="D120" s="153">
        <v>298544.40000000002</v>
      </c>
      <c r="E120" s="153">
        <v>118470.15416666667</v>
      </c>
      <c r="F120" s="153">
        <v>165858.21583333332</v>
      </c>
      <c r="G120" s="153">
        <f t="shared" si="8"/>
        <v>284328.37</v>
      </c>
      <c r="H120" s="153">
        <f t="shared" si="9"/>
        <v>-14216.030000000028</v>
      </c>
      <c r="I120" s="156" t="s">
        <v>730</v>
      </c>
      <c r="J120" s="155" t="s">
        <v>158</v>
      </c>
    </row>
    <row r="121" spans="1:10" ht="28.8" hidden="1" outlineLevel="2" x14ac:dyDescent="0.3">
      <c r="A121" s="151" t="s">
        <v>7</v>
      </c>
      <c r="B121" s="152" t="s">
        <v>50</v>
      </c>
      <c r="C121" s="152" t="s">
        <v>272</v>
      </c>
      <c r="D121" s="153">
        <v>8435.7000000000007</v>
      </c>
      <c r="E121" s="153">
        <v>0</v>
      </c>
      <c r="F121" s="153">
        <v>8436</v>
      </c>
      <c r="G121" s="153">
        <f t="shared" si="8"/>
        <v>8436</v>
      </c>
      <c r="H121" s="153">
        <f t="shared" si="9"/>
        <v>0.2999999999992724</v>
      </c>
      <c r="I121" s="162" t="s">
        <v>717</v>
      </c>
      <c r="J121" s="163" t="s">
        <v>547</v>
      </c>
    </row>
    <row r="122" spans="1:10" ht="28.8" hidden="1" outlineLevel="2" x14ac:dyDescent="0.3">
      <c r="A122" s="151" t="s">
        <v>7</v>
      </c>
      <c r="B122" s="152" t="s">
        <v>50</v>
      </c>
      <c r="C122" s="152" t="s">
        <v>353</v>
      </c>
      <c r="D122" s="153">
        <v>411547.5</v>
      </c>
      <c r="E122" s="153">
        <v>226822.91666666669</v>
      </c>
      <c r="F122" s="153">
        <v>317552.08333333331</v>
      </c>
      <c r="G122" s="153">
        <f t="shared" si="8"/>
        <v>544375</v>
      </c>
      <c r="H122" s="153">
        <f t="shared" si="9"/>
        <v>132827.5</v>
      </c>
      <c r="I122" s="167" t="s">
        <v>731</v>
      </c>
      <c r="J122" s="168" t="s">
        <v>41</v>
      </c>
    </row>
    <row r="123" spans="1:10" hidden="1" outlineLevel="1" collapsed="1" x14ac:dyDescent="0.3">
      <c r="A123" s="157" t="s">
        <v>7</v>
      </c>
      <c r="B123" s="158" t="s">
        <v>484</v>
      </c>
      <c r="C123" s="158"/>
      <c r="D123" s="159">
        <f>SUM(D112:D122)</f>
        <v>9755423.5</v>
      </c>
      <c r="E123" s="159">
        <f>SUM(E112:E122)</f>
        <v>4600239.1258333335</v>
      </c>
      <c r="F123" s="159">
        <f>SUM(F112:F122)</f>
        <v>6082262.4674999993</v>
      </c>
      <c r="G123" s="159">
        <f>SUM(G112:G122)</f>
        <v>10682501.593333332</v>
      </c>
      <c r="H123" s="159">
        <f>SUM(H112:H122)</f>
        <v>927078.09333333303</v>
      </c>
      <c r="I123" s="160"/>
      <c r="J123" s="161"/>
    </row>
    <row r="124" spans="1:10" ht="28.8" hidden="1" outlineLevel="2" x14ac:dyDescent="0.3">
      <c r="A124" s="151" t="s">
        <v>7</v>
      </c>
      <c r="B124" s="152" t="s">
        <v>51</v>
      </c>
      <c r="C124" s="152" t="s">
        <v>248</v>
      </c>
      <c r="D124" s="153">
        <v>1260</v>
      </c>
      <c r="E124" s="153">
        <v>1260</v>
      </c>
      <c r="F124" s="153">
        <v>0</v>
      </c>
      <c r="G124" s="153">
        <f>E124+F124</f>
        <v>1260</v>
      </c>
      <c r="H124" s="153">
        <f>G124-D124</f>
        <v>0</v>
      </c>
      <c r="I124" s="162" t="s">
        <v>566</v>
      </c>
      <c r="J124" s="163" t="s">
        <v>547</v>
      </c>
    </row>
    <row r="125" spans="1:10" ht="28.8" hidden="1" outlineLevel="2" x14ac:dyDescent="0.3">
      <c r="A125" s="151" t="s">
        <v>7</v>
      </c>
      <c r="B125" s="152" t="s">
        <v>51</v>
      </c>
      <c r="C125" s="152" t="s">
        <v>282</v>
      </c>
      <c r="D125" s="153">
        <v>39305.700000000004</v>
      </c>
      <c r="E125" s="153">
        <v>2808</v>
      </c>
      <c r="F125" s="153">
        <v>36498</v>
      </c>
      <c r="G125" s="153">
        <f>E125+F125</f>
        <v>39306</v>
      </c>
      <c r="H125" s="153">
        <f>G125-D125</f>
        <v>0.29999999999563443</v>
      </c>
      <c r="I125" s="162" t="s">
        <v>717</v>
      </c>
      <c r="J125" s="163" t="s">
        <v>547</v>
      </c>
    </row>
    <row r="126" spans="1:10" ht="28.8" hidden="1" outlineLevel="2" x14ac:dyDescent="0.3">
      <c r="A126" s="151" t="s">
        <v>7</v>
      </c>
      <c r="B126" s="152" t="s">
        <v>51</v>
      </c>
      <c r="C126" s="152" t="s">
        <v>284</v>
      </c>
      <c r="D126" s="153">
        <v>174825</v>
      </c>
      <c r="E126" s="153">
        <v>72843.75</v>
      </c>
      <c r="F126" s="153">
        <v>101981.25</v>
      </c>
      <c r="G126" s="153">
        <f>E126+F126</f>
        <v>174825</v>
      </c>
      <c r="H126" s="153">
        <f>G126-D126</f>
        <v>0</v>
      </c>
      <c r="I126" s="162" t="s">
        <v>561</v>
      </c>
      <c r="J126" s="163" t="s">
        <v>547</v>
      </c>
    </row>
    <row r="127" spans="1:10" hidden="1" outlineLevel="1" collapsed="1" x14ac:dyDescent="0.3">
      <c r="A127" s="157" t="s">
        <v>7</v>
      </c>
      <c r="B127" s="158" t="s">
        <v>485</v>
      </c>
      <c r="C127" s="158"/>
      <c r="D127" s="159">
        <f>SUM(D124:D126)</f>
        <v>215390.7</v>
      </c>
      <c r="E127" s="159">
        <f>SUM(E124:E126)</f>
        <v>76911.75</v>
      </c>
      <c r="F127" s="159">
        <f>SUM(F124:F126)</f>
        <v>138479.25</v>
      </c>
      <c r="G127" s="159">
        <f>SUM(G124:G126)</f>
        <v>215391</v>
      </c>
      <c r="H127" s="159">
        <f>SUM(H124:H126)</f>
        <v>0.29999999999563443</v>
      </c>
      <c r="I127" s="160"/>
      <c r="J127" s="161"/>
    </row>
    <row r="128" spans="1:10" ht="28.8" hidden="1" outlineLevel="2" x14ac:dyDescent="0.3">
      <c r="A128" s="151" t="s">
        <v>7</v>
      </c>
      <c r="B128" s="152" t="s">
        <v>52</v>
      </c>
      <c r="C128" s="152" t="s">
        <v>198</v>
      </c>
      <c r="D128" s="153">
        <v>1211114.9924999999</v>
      </c>
      <c r="E128" s="153">
        <v>635699.3433333335</v>
      </c>
      <c r="F128" s="153">
        <v>575415.35666666669</v>
      </c>
      <c r="G128" s="153">
        <f>E128+F128</f>
        <v>1211114.7000000002</v>
      </c>
      <c r="H128" s="153">
        <f>G128-D128</f>
        <v>-0.2924999997485429</v>
      </c>
      <c r="I128" s="162" t="s">
        <v>561</v>
      </c>
      <c r="J128" s="163" t="s">
        <v>547</v>
      </c>
    </row>
    <row r="129" spans="1:10" ht="28.8" hidden="1" outlineLevel="2" x14ac:dyDescent="0.3">
      <c r="A129" s="151" t="s">
        <v>7</v>
      </c>
      <c r="B129" s="152" t="s">
        <v>52</v>
      </c>
      <c r="C129" s="152" t="s">
        <v>236</v>
      </c>
      <c r="D129" s="153">
        <v>238897.86250000002</v>
      </c>
      <c r="E129" s="153">
        <v>0</v>
      </c>
      <c r="F129" s="153">
        <v>232868.65</v>
      </c>
      <c r="G129" s="153">
        <f>E129+F129</f>
        <v>232868.65</v>
      </c>
      <c r="H129" s="153">
        <f>G129-D129</f>
        <v>-6029.2125000000233</v>
      </c>
      <c r="I129" s="156" t="s">
        <v>732</v>
      </c>
      <c r="J129" s="155" t="s">
        <v>546</v>
      </c>
    </row>
    <row r="130" spans="1:10" ht="28.8" hidden="1" outlineLevel="2" x14ac:dyDescent="0.3">
      <c r="A130" s="151" t="s">
        <v>7</v>
      </c>
      <c r="B130" s="152" t="s">
        <v>52</v>
      </c>
      <c r="C130" s="152" t="s">
        <v>381</v>
      </c>
      <c r="D130" s="153">
        <v>160000</v>
      </c>
      <c r="E130" s="153">
        <v>62500</v>
      </c>
      <c r="F130" s="153">
        <v>97500</v>
      </c>
      <c r="G130" s="153">
        <f>E130+F130</f>
        <v>160000</v>
      </c>
      <c r="H130" s="153">
        <f>G130-D130</f>
        <v>0</v>
      </c>
      <c r="I130" s="162" t="s">
        <v>733</v>
      </c>
      <c r="J130" s="163" t="s">
        <v>547</v>
      </c>
    </row>
    <row r="131" spans="1:10" ht="28.8" hidden="1" outlineLevel="2" x14ac:dyDescent="0.3">
      <c r="A131" s="151" t="s">
        <v>7</v>
      </c>
      <c r="B131" s="152" t="s">
        <v>52</v>
      </c>
      <c r="C131" s="152" t="s">
        <v>138</v>
      </c>
      <c r="D131" s="153">
        <v>175245.90000000002</v>
      </c>
      <c r="E131" s="153">
        <v>57666.666666666672</v>
      </c>
      <c r="F131" s="153">
        <v>117579.65</v>
      </c>
      <c r="G131" s="153">
        <f>E131+F131</f>
        <v>175246.31666666665</v>
      </c>
      <c r="H131" s="153">
        <f>G131-D131</f>
        <v>0.41666666662786156</v>
      </c>
      <c r="I131" s="156" t="s">
        <v>734</v>
      </c>
      <c r="J131" s="155" t="s">
        <v>546</v>
      </c>
    </row>
    <row r="132" spans="1:10" hidden="1" outlineLevel="1" collapsed="1" x14ac:dyDescent="0.3">
      <c r="A132" s="157" t="s">
        <v>7</v>
      </c>
      <c r="B132" s="158" t="s">
        <v>486</v>
      </c>
      <c r="C132" s="158"/>
      <c r="D132" s="159">
        <f>SUM(D128:D131)</f>
        <v>1785258.7549999999</v>
      </c>
      <c r="E132" s="159">
        <f>SUM(E128:E131)</f>
        <v>755866.01000000013</v>
      </c>
      <c r="F132" s="159">
        <f>SUM(F128:F131)</f>
        <v>1023363.6566666667</v>
      </c>
      <c r="G132" s="159">
        <f>SUM(G128:G131)</f>
        <v>1779229.6666666667</v>
      </c>
      <c r="H132" s="159">
        <f>SUM(H128:H131)</f>
        <v>-6029.088333333144</v>
      </c>
      <c r="I132" s="160"/>
      <c r="J132" s="161"/>
    </row>
    <row r="133" spans="1:10" ht="28.8" hidden="1" outlineLevel="2" x14ac:dyDescent="0.3">
      <c r="A133" s="151" t="s">
        <v>7</v>
      </c>
      <c r="B133" s="152" t="s">
        <v>53</v>
      </c>
      <c r="C133" s="152" t="s">
        <v>324</v>
      </c>
      <c r="D133" s="153">
        <v>50400</v>
      </c>
      <c r="E133" s="153">
        <v>0</v>
      </c>
      <c r="F133" s="153">
        <v>50400</v>
      </c>
      <c r="G133" s="153">
        <f t="shared" ref="G133:G145" si="10">E133+F133</f>
        <v>50400</v>
      </c>
      <c r="H133" s="153">
        <f t="shared" ref="H133:H145" si="11">G133-D133</f>
        <v>0</v>
      </c>
      <c r="I133" s="162" t="s">
        <v>561</v>
      </c>
      <c r="J133" s="163" t="s">
        <v>547</v>
      </c>
    </row>
    <row r="134" spans="1:10" ht="28.8" hidden="1" outlineLevel="2" x14ac:dyDescent="0.3">
      <c r="A134" s="151" t="s">
        <v>7</v>
      </c>
      <c r="B134" s="152" t="s">
        <v>53</v>
      </c>
      <c r="C134" s="152" t="s">
        <v>222</v>
      </c>
      <c r="D134" s="153">
        <v>99225</v>
      </c>
      <c r="E134" s="153">
        <v>40500</v>
      </c>
      <c r="F134" s="153">
        <v>58725</v>
      </c>
      <c r="G134" s="153">
        <f t="shared" si="10"/>
        <v>99225</v>
      </c>
      <c r="H134" s="153">
        <f t="shared" si="11"/>
        <v>0</v>
      </c>
      <c r="I134" s="162" t="s">
        <v>561</v>
      </c>
      <c r="J134" s="163" t="s">
        <v>547</v>
      </c>
    </row>
    <row r="135" spans="1:10" ht="28.8" hidden="1" outlineLevel="2" x14ac:dyDescent="0.3">
      <c r="A135" s="151" t="s">
        <v>7</v>
      </c>
      <c r="B135" s="152" t="s">
        <v>53</v>
      </c>
      <c r="C135" s="152" t="s">
        <v>57</v>
      </c>
      <c r="D135" s="153">
        <v>2512</v>
      </c>
      <c r="E135" s="153">
        <v>8136.97</v>
      </c>
      <c r="F135" s="153">
        <v>0</v>
      </c>
      <c r="G135" s="153">
        <f t="shared" si="10"/>
        <v>8136.97</v>
      </c>
      <c r="H135" s="153">
        <f t="shared" si="11"/>
        <v>5624.97</v>
      </c>
      <c r="I135" s="170" t="s">
        <v>735</v>
      </c>
      <c r="J135" s="169" t="s">
        <v>41</v>
      </c>
    </row>
    <row r="136" spans="1:10" ht="28.8" hidden="1" outlineLevel="2" x14ac:dyDescent="0.3">
      <c r="A136" s="151" t="s">
        <v>7</v>
      </c>
      <c r="B136" s="152" t="s">
        <v>53</v>
      </c>
      <c r="C136" s="152" t="s">
        <v>308</v>
      </c>
      <c r="D136" s="153">
        <v>32760</v>
      </c>
      <c r="E136" s="153">
        <v>0</v>
      </c>
      <c r="F136" s="153">
        <v>32760</v>
      </c>
      <c r="G136" s="153">
        <f t="shared" si="10"/>
        <v>32760</v>
      </c>
      <c r="H136" s="153">
        <f t="shared" si="11"/>
        <v>0</v>
      </c>
      <c r="I136" s="162" t="s">
        <v>561</v>
      </c>
      <c r="J136" s="163" t="s">
        <v>547</v>
      </c>
    </row>
    <row r="137" spans="1:10" ht="28.8" hidden="1" outlineLevel="2" x14ac:dyDescent="0.3">
      <c r="A137" s="151" t="s">
        <v>7</v>
      </c>
      <c r="B137" s="152" t="s">
        <v>53</v>
      </c>
      <c r="C137" s="152" t="s">
        <v>318</v>
      </c>
      <c r="D137" s="153">
        <v>3150</v>
      </c>
      <c r="E137" s="153">
        <v>0</v>
      </c>
      <c r="F137" s="153">
        <v>3150</v>
      </c>
      <c r="G137" s="153">
        <f t="shared" si="10"/>
        <v>3150</v>
      </c>
      <c r="H137" s="153">
        <f t="shared" si="11"/>
        <v>0</v>
      </c>
      <c r="I137" s="162" t="s">
        <v>561</v>
      </c>
      <c r="J137" s="163" t="s">
        <v>547</v>
      </c>
    </row>
    <row r="138" spans="1:10" ht="28.8" hidden="1" outlineLevel="2" x14ac:dyDescent="0.3">
      <c r="A138" s="151" t="s">
        <v>7</v>
      </c>
      <c r="B138" s="152" t="s">
        <v>53</v>
      </c>
      <c r="C138" s="152" t="s">
        <v>333</v>
      </c>
      <c r="D138" s="153">
        <v>48934</v>
      </c>
      <c r="E138" s="153">
        <v>8895</v>
      </c>
      <c r="F138" s="153">
        <v>40037</v>
      </c>
      <c r="G138" s="153">
        <f t="shared" si="10"/>
        <v>48932</v>
      </c>
      <c r="H138" s="153">
        <f t="shared" si="11"/>
        <v>-2</v>
      </c>
      <c r="I138" s="162" t="s">
        <v>561</v>
      </c>
      <c r="J138" s="163" t="s">
        <v>547</v>
      </c>
    </row>
    <row r="139" spans="1:10" ht="28.8" hidden="1" outlineLevel="2" x14ac:dyDescent="0.3">
      <c r="A139" s="151" t="s">
        <v>7</v>
      </c>
      <c r="B139" s="152" t="s">
        <v>53</v>
      </c>
      <c r="C139" s="152" t="s">
        <v>242</v>
      </c>
      <c r="D139" s="153">
        <v>90000</v>
      </c>
      <c r="E139" s="153">
        <v>0</v>
      </c>
      <c r="F139" s="153">
        <v>90000</v>
      </c>
      <c r="G139" s="153">
        <f t="shared" si="10"/>
        <v>90000</v>
      </c>
      <c r="H139" s="153">
        <f t="shared" si="11"/>
        <v>0</v>
      </c>
      <c r="I139" s="162" t="s">
        <v>561</v>
      </c>
      <c r="J139" s="163" t="s">
        <v>547</v>
      </c>
    </row>
    <row r="140" spans="1:10" ht="28.8" hidden="1" outlineLevel="2" x14ac:dyDescent="0.3">
      <c r="A140" s="151" t="s">
        <v>7</v>
      </c>
      <c r="B140" s="152" t="s">
        <v>53</v>
      </c>
      <c r="C140" s="152" t="s">
        <v>320</v>
      </c>
      <c r="D140" s="153">
        <v>2594.5500000000002</v>
      </c>
      <c r="E140" s="153">
        <v>0</v>
      </c>
      <c r="F140" s="153">
        <v>2595</v>
      </c>
      <c r="G140" s="153">
        <f t="shared" si="10"/>
        <v>2595</v>
      </c>
      <c r="H140" s="153">
        <f t="shared" si="11"/>
        <v>0.4499999999998181</v>
      </c>
      <c r="I140" s="162" t="s">
        <v>717</v>
      </c>
      <c r="J140" s="163" t="s">
        <v>547</v>
      </c>
    </row>
    <row r="141" spans="1:10" ht="28.8" hidden="1" outlineLevel="2" x14ac:dyDescent="0.3">
      <c r="A141" s="151" t="s">
        <v>7</v>
      </c>
      <c r="B141" s="152" t="s">
        <v>53</v>
      </c>
      <c r="C141" s="152" t="s">
        <v>402</v>
      </c>
      <c r="D141" s="153">
        <v>100000</v>
      </c>
      <c r="E141" s="153">
        <v>0</v>
      </c>
      <c r="F141" s="153">
        <v>113850</v>
      </c>
      <c r="G141" s="153">
        <f t="shared" si="10"/>
        <v>113850</v>
      </c>
      <c r="H141" s="153">
        <f t="shared" si="11"/>
        <v>13850</v>
      </c>
      <c r="I141" s="170" t="s">
        <v>736</v>
      </c>
      <c r="J141" s="169" t="s">
        <v>41</v>
      </c>
    </row>
    <row r="142" spans="1:10" ht="28.8" hidden="1" outlineLevel="2" x14ac:dyDescent="0.3">
      <c r="A142" s="151" t="s">
        <v>7</v>
      </c>
      <c r="B142" s="152" t="s">
        <v>53</v>
      </c>
      <c r="C142" s="152" t="s">
        <v>276</v>
      </c>
      <c r="D142" s="153">
        <v>72888.816000000006</v>
      </c>
      <c r="E142" s="153">
        <v>69417.919999999998</v>
      </c>
      <c r="F142" s="153">
        <v>0</v>
      </c>
      <c r="G142" s="153">
        <f t="shared" si="10"/>
        <v>69417.919999999998</v>
      </c>
      <c r="H142" s="153">
        <f t="shared" si="11"/>
        <v>-3470.8960000000079</v>
      </c>
      <c r="I142" s="156" t="s">
        <v>737</v>
      </c>
      <c r="J142" s="155" t="s">
        <v>158</v>
      </c>
    </row>
    <row r="143" spans="1:10" ht="28.8" hidden="1" outlineLevel="2" x14ac:dyDescent="0.3">
      <c r="A143" s="151" t="s">
        <v>7</v>
      </c>
      <c r="B143" s="152" t="s">
        <v>53</v>
      </c>
      <c r="C143" s="152" t="s">
        <v>347</v>
      </c>
      <c r="D143" s="153">
        <v>139031.20000000001</v>
      </c>
      <c r="E143" s="153">
        <v>56980</v>
      </c>
      <c r="F143" s="153">
        <v>82051.666666666672</v>
      </c>
      <c r="G143" s="153">
        <f t="shared" si="10"/>
        <v>139031.66666666669</v>
      </c>
      <c r="H143" s="153">
        <f t="shared" si="11"/>
        <v>0.46666666667442769</v>
      </c>
      <c r="I143" s="162" t="s">
        <v>717</v>
      </c>
      <c r="J143" s="163" t="s">
        <v>547</v>
      </c>
    </row>
    <row r="144" spans="1:10" hidden="1" outlineLevel="2" x14ac:dyDescent="0.3">
      <c r="A144" s="151" t="s">
        <v>7</v>
      </c>
      <c r="B144" s="152" t="s">
        <v>53</v>
      </c>
      <c r="C144" s="152" t="s">
        <v>298</v>
      </c>
      <c r="D144" s="153">
        <v>70432.698000000004</v>
      </c>
      <c r="E144" s="153">
        <v>878.21</v>
      </c>
      <c r="F144" s="153">
        <v>69432.698000000004</v>
      </c>
      <c r="G144" s="153">
        <f t="shared" si="10"/>
        <v>70310.90800000001</v>
      </c>
      <c r="H144" s="153">
        <f t="shared" si="11"/>
        <v>-121.7899999999936</v>
      </c>
      <c r="I144" s="162" t="s">
        <v>738</v>
      </c>
      <c r="J144" s="163" t="s">
        <v>546</v>
      </c>
    </row>
    <row r="145" spans="1:10" ht="28.8" hidden="1" outlineLevel="2" x14ac:dyDescent="0.3">
      <c r="A145" s="151" t="s">
        <v>7</v>
      </c>
      <c r="B145" s="152" t="s">
        <v>53</v>
      </c>
      <c r="C145" s="152" t="s">
        <v>215</v>
      </c>
      <c r="D145" s="153">
        <v>440671.35000000003</v>
      </c>
      <c r="E145" s="153">
        <v>108702.6</v>
      </c>
      <c r="F145" s="153">
        <v>331968.40000000002</v>
      </c>
      <c r="G145" s="153">
        <f t="shared" si="10"/>
        <v>440671</v>
      </c>
      <c r="H145" s="153">
        <f t="shared" si="11"/>
        <v>-0.3500000000349246</v>
      </c>
      <c r="I145" s="162" t="s">
        <v>717</v>
      </c>
      <c r="J145" s="163" t="s">
        <v>547</v>
      </c>
    </row>
    <row r="146" spans="1:10" hidden="1" outlineLevel="1" collapsed="1" x14ac:dyDescent="0.3">
      <c r="A146" s="157" t="s">
        <v>7</v>
      </c>
      <c r="B146" s="158" t="s">
        <v>487</v>
      </c>
      <c r="C146" s="158"/>
      <c r="D146" s="159">
        <f>SUM(D133:D145)</f>
        <v>1152599.6140000001</v>
      </c>
      <c r="E146" s="159">
        <f>SUM(E133:E145)</f>
        <v>293510.7</v>
      </c>
      <c r="F146" s="159">
        <f>SUM(F133:F145)</f>
        <v>874969.76466666674</v>
      </c>
      <c r="G146" s="159">
        <f>SUM(G133:G145)</f>
        <v>1168480.4646666667</v>
      </c>
      <c r="H146" s="159">
        <f>SUM(H133:H145)</f>
        <v>15880.850666666636</v>
      </c>
      <c r="I146" s="160"/>
      <c r="J146" s="161"/>
    </row>
    <row r="147" spans="1:10" hidden="1" collapsed="1" x14ac:dyDescent="0.3">
      <c r="A147" s="171" t="s">
        <v>567</v>
      </c>
      <c r="B147" s="172"/>
      <c r="C147" s="172"/>
      <c r="D147" s="173">
        <f>SUM(D101,D111,D123,D127,D132,D146)</f>
        <v>20398429.541149996</v>
      </c>
      <c r="E147" s="173">
        <f>SUM(E101,E111,E123,E127,E132,E146)</f>
        <v>8134460.5133333327</v>
      </c>
      <c r="F147" s="173">
        <f>SUM(F101,F111,F123,F127,F132,F146)</f>
        <v>13342532.644333333</v>
      </c>
      <c r="G147" s="173">
        <f>SUM(G101,G111,G123,G127,G132,G146)</f>
        <v>21476993.157666668</v>
      </c>
      <c r="H147" s="173">
        <f>SUM(H101,H111,H123,H127,H132,H146)</f>
        <v>1078563.6165166663</v>
      </c>
      <c r="I147" s="174"/>
      <c r="J147" s="175"/>
    </row>
    <row r="148" spans="1:10" hidden="1" x14ac:dyDescent="0.3"/>
    <row r="149" spans="1:10" hidden="1" x14ac:dyDescent="0.3">
      <c r="D149" s="176">
        <f>SUM(D147,D92,D73,D59,D42,D21,D15)</f>
        <v>44788397.956149995</v>
      </c>
      <c r="E149" s="176">
        <f t="shared" ref="E149:H149" si="12">SUM(E147,E92,E73,E59,E42,E21,E15)</f>
        <v>17444836.636733335</v>
      </c>
      <c r="F149" s="176">
        <f t="shared" si="12"/>
        <v>28731180.496833332</v>
      </c>
      <c r="G149" s="176">
        <f t="shared" si="12"/>
        <v>46176017.13356667</v>
      </c>
      <c r="H149" s="176">
        <f t="shared" si="12"/>
        <v>1387619.1774166673</v>
      </c>
    </row>
    <row r="150" spans="1:10" hidden="1" x14ac:dyDescent="0.3"/>
    <row r="151" spans="1:10" hidden="1" x14ac:dyDescent="0.3">
      <c r="B151" s="177"/>
    </row>
    <row r="152" spans="1:10" hidden="1" x14ac:dyDescent="0.3">
      <c r="B152" s="177"/>
    </row>
  </sheetData>
  <autoFilter ref="A1:O152" xr:uid="{D1E03DB6-5375-4A68-B640-A8140BFCB75E}">
    <filterColumn colId="0">
      <filters>
        <filter val="Hardware"/>
      </filters>
    </filterColumn>
    <filterColumn colId="2">
      <filters>
        <filter val="SHI International Corp"/>
      </filters>
    </filterColumn>
  </autoFilter>
  <conditionalFormatting sqref="I2:I43 I45:I67 I69:I149">
    <cfRule type="expression" dxfId="93" priority="1">
      <formula>$J2="Hard Opportunity"</formula>
    </cfRule>
    <cfRule type="expression" dxfId="92" priority="2">
      <formula>$J2="Hard Risk"</formula>
    </cfRule>
    <cfRule type="expression" dxfId="91" priority="3">
      <formula>$J2="Soft Opportunity"</formula>
    </cfRule>
    <cfRule type="expression" dxfId="90" priority="4">
      <formula>$J2="Soft Risk"</formula>
    </cfRule>
  </conditionalFormatting>
  <conditionalFormatting sqref="J2:J149">
    <cfRule type="expression" dxfId="89" priority="5">
      <formula>$J2="Hard Opportunity"</formula>
    </cfRule>
    <cfRule type="expression" dxfId="88" priority="6">
      <formula>$J2="Hard Risk"</formula>
    </cfRule>
    <cfRule type="expression" dxfId="87" priority="7">
      <formula>$J2="Soft Opportunity"</formula>
    </cfRule>
    <cfRule type="expression" dxfId="86" priority="8">
      <formula>$J2="Soft Risk"</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G3" sqref="G3"/>
    </sheetView>
  </sheetViews>
  <sheetFormatPr defaultRowHeight="14.4" x14ac:dyDescent="0.3"/>
  <cols>
    <col min="1" max="1" width="15.44140625" bestFit="1" customWidth="1"/>
    <col min="2" max="2" width="12.21875" bestFit="1" customWidth="1"/>
    <col min="3" max="3" width="12.33203125" bestFit="1" customWidth="1"/>
    <col min="4" max="4" width="18" bestFit="1" customWidth="1"/>
    <col min="5" max="5" width="12.6640625" bestFit="1" customWidth="1"/>
    <col min="6" max="6" width="12.77734375" bestFit="1" customWidth="1"/>
    <col min="7" max="7" width="19" bestFit="1" customWidth="1"/>
    <col min="8" max="8" width="12.6640625" bestFit="1" customWidth="1"/>
    <col min="9" max="9" width="12.77734375" bestFit="1" customWidth="1"/>
    <col min="10" max="10" width="19" bestFit="1" customWidth="1"/>
    <col min="11" max="11" width="12.44140625" bestFit="1" customWidth="1"/>
    <col min="12" max="12" width="12.5546875" bestFit="1" customWidth="1"/>
    <col min="13" max="13" width="18.77734375" bestFit="1" customWidth="1"/>
    <col min="14" max="14" width="12.88671875" bestFit="1" customWidth="1"/>
    <col min="15" max="15" width="13.109375" bestFit="1" customWidth="1"/>
    <col min="16" max="16" width="19.21875" bestFit="1" customWidth="1"/>
  </cols>
  <sheetData>
    <row r="1" spans="1:16" x14ac:dyDescent="0.3">
      <c r="B1" s="8" t="s">
        <v>488</v>
      </c>
    </row>
    <row r="2" spans="1:16" x14ac:dyDescent="0.3">
      <c r="A2" s="8" t="s">
        <v>54</v>
      </c>
      <c r="B2" t="s">
        <v>489</v>
      </c>
      <c r="C2" t="s">
        <v>490</v>
      </c>
      <c r="D2" t="s">
        <v>508</v>
      </c>
      <c r="E2" t="s">
        <v>491</v>
      </c>
      <c r="F2" t="s">
        <v>492</v>
      </c>
      <c r="G2" t="s">
        <v>509</v>
      </c>
      <c r="H2" t="s">
        <v>493</v>
      </c>
      <c r="I2" t="s">
        <v>494</v>
      </c>
      <c r="J2" t="s">
        <v>510</v>
      </c>
      <c r="K2" t="s">
        <v>581</v>
      </c>
      <c r="L2" t="s">
        <v>582</v>
      </c>
      <c r="M2" t="s">
        <v>583</v>
      </c>
      <c r="N2" t="s">
        <v>641</v>
      </c>
      <c r="O2" t="s">
        <v>642</v>
      </c>
      <c r="P2" t="s">
        <v>643</v>
      </c>
    </row>
    <row r="3" spans="1:16" x14ac:dyDescent="0.3">
      <c r="A3" t="s">
        <v>48</v>
      </c>
      <c r="B3" s="97">
        <v>858455.56333333324</v>
      </c>
      <c r="C3" s="97">
        <v>858344.35333333327</v>
      </c>
      <c r="D3" s="97">
        <v>-111.21000000000276</v>
      </c>
      <c r="E3" s="97">
        <v>929854.57333333325</v>
      </c>
      <c r="F3" s="97">
        <v>932993.91333333333</v>
      </c>
      <c r="G3" s="97">
        <v>3139.3399999999965</v>
      </c>
      <c r="H3" s="97">
        <v>872198.97333333339</v>
      </c>
      <c r="I3" s="97">
        <v>949145.58333333337</v>
      </c>
      <c r="J3" s="97">
        <v>76946.609999999971</v>
      </c>
      <c r="K3" s="97">
        <v>845437.49083333323</v>
      </c>
      <c r="L3" s="97">
        <v>877895.58083333331</v>
      </c>
      <c r="M3" s="97">
        <v>32458.09</v>
      </c>
      <c r="N3" s="97">
        <v>855269.49083333323</v>
      </c>
      <c r="O3" s="97">
        <v>731310.30083333328</v>
      </c>
      <c r="P3" s="97">
        <v>-123959.19</v>
      </c>
    </row>
    <row r="4" spans="1:16" x14ac:dyDescent="0.3">
      <c r="A4" t="s">
        <v>49</v>
      </c>
      <c r="B4" s="97">
        <v>1074720.8158333334</v>
      </c>
      <c r="C4" s="97">
        <v>1094660.7091666665</v>
      </c>
      <c r="D4" s="97">
        <v>19939.893333333359</v>
      </c>
      <c r="E4" s="97">
        <v>1084523.1558333335</v>
      </c>
      <c r="F4" s="97">
        <v>1042923.5591666667</v>
      </c>
      <c r="G4" s="97">
        <v>-41599.596666666599</v>
      </c>
      <c r="H4" s="97">
        <v>1135563.8694166664</v>
      </c>
      <c r="I4" s="97">
        <v>1089858.3966666667</v>
      </c>
      <c r="J4" s="97">
        <v>-45705.472749999935</v>
      </c>
      <c r="K4" s="97">
        <v>1116657.6494166667</v>
      </c>
      <c r="L4" s="97">
        <v>1057768.5583666668</v>
      </c>
      <c r="M4" s="97">
        <v>-58889.091050000075</v>
      </c>
      <c r="N4" s="97">
        <v>1122679.0194166668</v>
      </c>
      <c r="O4" s="97">
        <v>1039393.7183666667</v>
      </c>
      <c r="P4" s="97">
        <v>-83285.301050000038</v>
      </c>
    </row>
    <row r="5" spans="1:16" x14ac:dyDescent="0.3">
      <c r="A5" t="s">
        <v>50</v>
      </c>
      <c r="B5" s="97">
        <v>1004215.4558333334</v>
      </c>
      <c r="C5" s="97">
        <v>1055969.0658333334</v>
      </c>
      <c r="D5" s="97">
        <v>51753.61</v>
      </c>
      <c r="E5" s="97">
        <v>988517.3058333334</v>
      </c>
      <c r="F5" s="97">
        <v>965695.13583333336</v>
      </c>
      <c r="G5" s="97">
        <v>-22822.170000000002</v>
      </c>
      <c r="H5" s="97">
        <v>974528.3058333334</v>
      </c>
      <c r="I5" s="97">
        <v>981751.3058333334</v>
      </c>
      <c r="J5" s="97">
        <v>7223</v>
      </c>
      <c r="K5" s="97">
        <v>1356520.5991666666</v>
      </c>
      <c r="L5" s="97">
        <v>1307445.7291666667</v>
      </c>
      <c r="M5" s="97">
        <v>-49074.87</v>
      </c>
      <c r="N5" s="97">
        <v>1105578.3491666666</v>
      </c>
      <c r="O5" s="97">
        <v>1039016.3291666667</v>
      </c>
      <c r="P5" s="97">
        <v>-66562.02</v>
      </c>
    </row>
    <row r="6" spans="1:16" x14ac:dyDescent="0.3">
      <c r="A6" t="s">
        <v>51</v>
      </c>
      <c r="B6" s="97">
        <v>94578.75</v>
      </c>
      <c r="C6" s="97">
        <v>89378.75</v>
      </c>
      <c r="D6" s="97">
        <v>-5200</v>
      </c>
      <c r="E6" s="97">
        <v>67318.75</v>
      </c>
      <c r="F6" s="97">
        <v>66118.75</v>
      </c>
      <c r="G6" s="97">
        <v>-1200</v>
      </c>
      <c r="H6" s="97">
        <v>82346.75</v>
      </c>
      <c r="I6" s="97">
        <v>84746.75</v>
      </c>
      <c r="J6" s="97">
        <v>2400</v>
      </c>
      <c r="K6" s="97">
        <v>94098.75</v>
      </c>
      <c r="L6" s="97">
        <v>96498.75</v>
      </c>
      <c r="M6" s="97">
        <v>2400</v>
      </c>
      <c r="N6" s="97">
        <v>108678.75</v>
      </c>
      <c r="O6" s="97">
        <v>47208.75</v>
      </c>
      <c r="P6" s="97">
        <v>-61470</v>
      </c>
    </row>
    <row r="7" spans="1:16" x14ac:dyDescent="0.3">
      <c r="A7" t="s">
        <v>52</v>
      </c>
      <c r="B7" s="97">
        <v>150507.38333333333</v>
      </c>
      <c r="C7" s="97">
        <v>148008.06666666665</v>
      </c>
      <c r="D7" s="97">
        <v>-2499.3166666666693</v>
      </c>
      <c r="E7" s="97">
        <v>122926.40333333335</v>
      </c>
      <c r="F7" s="97">
        <v>121927.08666666667</v>
      </c>
      <c r="G7" s="97">
        <v>-999.31666666666933</v>
      </c>
      <c r="H7" s="97">
        <v>145131.40333333335</v>
      </c>
      <c r="I7" s="97">
        <v>141273.08666666667</v>
      </c>
      <c r="J7" s="97">
        <v>-3858.3166666666693</v>
      </c>
      <c r="K7" s="97">
        <v>408744.10666666669</v>
      </c>
      <c r="L7" s="97">
        <v>172376.14</v>
      </c>
      <c r="M7" s="97">
        <v>-236367.96666666667</v>
      </c>
      <c r="N7" s="97">
        <v>125471.94666666668</v>
      </c>
      <c r="O7" s="97">
        <v>172281.63000000003</v>
      </c>
      <c r="P7" s="97">
        <v>46809.683333333349</v>
      </c>
    </row>
    <row r="8" spans="1:16" x14ac:dyDescent="0.3">
      <c r="A8" t="s">
        <v>53</v>
      </c>
      <c r="B8" s="97">
        <v>123983.54999999999</v>
      </c>
      <c r="C8" s="97">
        <v>119155.93999999999</v>
      </c>
      <c r="D8" s="97">
        <v>-4827.6099999999997</v>
      </c>
      <c r="E8" s="97">
        <v>84112.97</v>
      </c>
      <c r="F8" s="97">
        <v>80152.850000000006</v>
      </c>
      <c r="G8" s="97">
        <v>-3960.1200000000003</v>
      </c>
      <c r="H8" s="97">
        <v>205708.20600000001</v>
      </c>
      <c r="I8" s="97">
        <v>199385.62</v>
      </c>
      <c r="J8" s="97">
        <v>-6322.5860000000084</v>
      </c>
      <c r="K8" s="97">
        <v>140925.20000000001</v>
      </c>
      <c r="L8" s="97">
        <v>146382.48000000001</v>
      </c>
      <c r="M8" s="97">
        <v>5457.2800000000007</v>
      </c>
      <c r="N8" s="97">
        <v>137521.34999999998</v>
      </c>
      <c r="O8" s="97">
        <v>134958.65999999997</v>
      </c>
      <c r="P8" s="97">
        <v>-2562.69</v>
      </c>
    </row>
    <row r="9" spans="1:16" x14ac:dyDescent="0.3">
      <c r="A9" t="s">
        <v>8</v>
      </c>
      <c r="B9" s="97">
        <v>3306461.5183333331</v>
      </c>
      <c r="C9" s="97">
        <v>3365516.8849999993</v>
      </c>
      <c r="D9" s="97">
        <v>59055.366666666698</v>
      </c>
      <c r="E9" s="97">
        <v>3277253.1583333337</v>
      </c>
      <c r="F9" s="97">
        <v>3209811.2950000004</v>
      </c>
      <c r="G9" s="97">
        <v>-67441.863333333269</v>
      </c>
      <c r="H9" s="97">
        <v>3415477.5079166666</v>
      </c>
      <c r="I9" s="97">
        <v>3446160.7425000006</v>
      </c>
      <c r="J9" s="97">
        <v>30683.234583333353</v>
      </c>
      <c r="K9" s="97">
        <v>3962383.796083333</v>
      </c>
      <c r="L9" s="97">
        <v>3658367.2383666672</v>
      </c>
      <c r="M9" s="97">
        <v>-304016.55771666672</v>
      </c>
      <c r="N9" s="97">
        <v>3455198.9060833333</v>
      </c>
      <c r="O9" s="97">
        <v>3164169.3883666666</v>
      </c>
      <c r="P9" s="97">
        <v>-291029.51771666668</v>
      </c>
    </row>
    <row r="12" spans="1:16" ht="15" thickBot="1" x14ac:dyDescent="0.35"/>
    <row r="13" spans="1:16" ht="14.4" customHeight="1" x14ac:dyDescent="0.3">
      <c r="F13" s="182">
        <f>(D9+G9+J9+M9+P9)/100000</f>
        <v>-5.7274933751666666</v>
      </c>
      <c r="G13" s="185" t="s">
        <v>644</v>
      </c>
      <c r="H13" s="186"/>
      <c r="I13" s="186"/>
      <c r="J13" s="187"/>
    </row>
    <row r="14" spans="1:16" x14ac:dyDescent="0.3">
      <c r="F14" s="183"/>
      <c r="G14" s="188"/>
      <c r="H14" s="189"/>
      <c r="I14" s="189"/>
      <c r="J14" s="190"/>
    </row>
    <row r="15" spans="1:16" ht="15" thickBot="1" x14ac:dyDescent="0.35">
      <c r="F15" s="184"/>
      <c r="G15" s="191"/>
      <c r="H15" s="192"/>
      <c r="I15" s="192"/>
      <c r="J15" s="193"/>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8F122-750B-48CD-B64B-C52B6F444A03}">
  <dimension ref="A1:BX169"/>
  <sheetViews>
    <sheetView zoomScaleNormal="100" workbookViewId="0">
      <pane xSplit="2" ySplit="1" topLeftCell="BA127" activePane="bottomRight" state="frozen"/>
      <selection pane="topRight" activeCell="C1" sqref="C1"/>
      <selection pane="bottomLeft" activeCell="A2" sqref="A2"/>
      <selection pane="bottomRight" activeCell="U1" sqref="U1"/>
    </sheetView>
  </sheetViews>
  <sheetFormatPr defaultColWidth="8.88671875" defaultRowHeight="14.4" x14ac:dyDescent="0.3"/>
  <cols>
    <col min="1" max="1" width="19.44140625" bestFit="1" customWidth="1"/>
    <col min="2" max="2" width="42.77734375" bestFit="1" customWidth="1"/>
    <col min="3" max="3" width="32.6640625" customWidth="1"/>
    <col min="4" max="4" width="13.5546875" style="9" customWidth="1"/>
    <col min="5" max="5" width="51.109375" customWidth="1"/>
    <col min="6" max="6" width="22.33203125" customWidth="1"/>
    <col min="7" max="7" width="17.6640625" style="9" customWidth="1"/>
    <col min="8" max="8" width="17.109375" style="13" customWidth="1"/>
    <col min="9" max="9" width="16.109375" style="13" customWidth="1"/>
    <col min="10" max="10" width="12.5546875" customWidth="1"/>
    <col min="11" max="11" width="56.21875" customWidth="1"/>
    <col min="12" max="12" width="12.77734375" customWidth="1"/>
    <col min="13" max="14" width="17.77734375" customWidth="1"/>
    <col min="15" max="15" width="18.21875" customWidth="1"/>
    <col min="16" max="16" width="34.21875" customWidth="1"/>
    <col min="17" max="17" width="44.88671875" customWidth="1"/>
    <col min="18" max="18" width="29.109375" customWidth="1"/>
    <col min="19" max="19" width="20.44140625" customWidth="1"/>
    <col min="20" max="20" width="16.109375" customWidth="1"/>
    <col min="21" max="21" width="21" customWidth="1"/>
    <col min="22" max="22" width="20.21875" style="6" customWidth="1"/>
    <col min="23" max="23" width="26.5546875" style="6" customWidth="1"/>
    <col min="24" max="24" width="19.88671875" style="6" customWidth="1"/>
    <col min="25" max="25" width="13.33203125" style="6" customWidth="1"/>
    <col min="26" max="26" width="21.109375" style="6" customWidth="1"/>
    <col min="27" max="27" width="26.6640625" style="6" customWidth="1"/>
    <col min="28" max="28" width="13.44140625" style="6" customWidth="1"/>
    <col min="29" max="29" width="13.5546875" style="6" customWidth="1"/>
    <col min="30" max="30" width="13.77734375" style="6" customWidth="1"/>
    <col min="31" max="32" width="13.88671875" style="6" customWidth="1"/>
    <col min="33" max="34" width="13.88671875" customWidth="1"/>
    <col min="35" max="42" width="13.88671875" style="6" customWidth="1"/>
    <col min="43" max="43" width="11.21875" style="6" customWidth="1"/>
    <col min="44" max="44" width="15.109375" style="6" customWidth="1"/>
    <col min="45" max="54" width="15" style="6" customWidth="1"/>
    <col min="55" max="56" width="15" style="6" hidden="1" customWidth="1"/>
    <col min="57" max="57" width="20.77734375" style="6" hidden="1" customWidth="1"/>
    <col min="58" max="58" width="18" style="6" hidden="1" customWidth="1"/>
    <col min="59" max="60" width="13.88671875" style="6" hidden="1" customWidth="1"/>
    <col min="61" max="67" width="13.88671875" hidden="1" customWidth="1"/>
    <col min="68" max="68" width="27.33203125" customWidth="1"/>
    <col min="69" max="69" width="18.33203125" bestFit="1" customWidth="1"/>
    <col min="70" max="70" width="13.5546875" bestFit="1" customWidth="1"/>
    <col min="71" max="74" width="10.109375" bestFit="1" customWidth="1"/>
    <col min="75" max="75" width="11.109375" bestFit="1" customWidth="1"/>
  </cols>
  <sheetData>
    <row r="1" spans="1:76" s="16" customFormat="1" x14ac:dyDescent="0.3">
      <c r="A1" s="23" t="s">
        <v>42</v>
      </c>
      <c r="B1" s="23" t="s">
        <v>55</v>
      </c>
      <c r="C1" s="23" t="s">
        <v>80</v>
      </c>
      <c r="D1" s="23" t="s">
        <v>81</v>
      </c>
      <c r="E1" s="23" t="s">
        <v>82</v>
      </c>
      <c r="F1" s="23" t="s">
        <v>83</v>
      </c>
      <c r="G1" s="23" t="s">
        <v>54</v>
      </c>
      <c r="H1" s="24" t="s">
        <v>84</v>
      </c>
      <c r="I1" s="24" t="s">
        <v>85</v>
      </c>
      <c r="J1" s="24" t="s">
        <v>86</v>
      </c>
      <c r="K1" s="23" t="s">
        <v>87</v>
      </c>
      <c r="L1" s="23" t="s">
        <v>88</v>
      </c>
      <c r="M1" s="23" t="s">
        <v>47</v>
      </c>
      <c r="N1" s="23" t="s">
        <v>89</v>
      </c>
      <c r="O1" s="25" t="s">
        <v>90</v>
      </c>
      <c r="P1" s="23" t="s">
        <v>91</v>
      </c>
      <c r="Q1" s="23" t="s">
        <v>92</v>
      </c>
      <c r="R1" s="23" t="s">
        <v>93</v>
      </c>
      <c r="S1" s="23" t="s">
        <v>94</v>
      </c>
      <c r="T1" s="25" t="s">
        <v>95</v>
      </c>
      <c r="U1" s="26" t="s">
        <v>96</v>
      </c>
      <c r="V1" s="26" t="s">
        <v>97</v>
      </c>
      <c r="W1" s="26" t="s">
        <v>98</v>
      </c>
      <c r="X1" s="28" t="s">
        <v>99</v>
      </c>
      <c r="Y1" s="27" t="s">
        <v>100</v>
      </c>
      <c r="Z1" s="27" t="s">
        <v>475</v>
      </c>
      <c r="AA1" s="29" t="s">
        <v>447</v>
      </c>
      <c r="AB1" s="26" t="s">
        <v>448</v>
      </c>
      <c r="AC1" s="26" t="s">
        <v>449</v>
      </c>
      <c r="AD1" s="26" t="s">
        <v>450</v>
      </c>
      <c r="AE1" s="26" t="s">
        <v>463</v>
      </c>
      <c r="AF1" s="25" t="s">
        <v>464</v>
      </c>
      <c r="AG1" s="25" t="s">
        <v>465</v>
      </c>
      <c r="AH1" s="25" t="s">
        <v>466</v>
      </c>
      <c r="AI1" s="25" t="s">
        <v>467</v>
      </c>
      <c r="AJ1" s="25" t="s">
        <v>468</v>
      </c>
      <c r="AK1" s="25" t="s">
        <v>469</v>
      </c>
      <c r="AL1" s="25" t="s">
        <v>470</v>
      </c>
      <c r="AM1" s="25" t="s">
        <v>471</v>
      </c>
      <c r="AN1" s="25" t="s">
        <v>473</v>
      </c>
      <c r="AO1" s="30" t="s">
        <v>627</v>
      </c>
      <c r="AP1" s="69" t="s">
        <v>451</v>
      </c>
      <c r="AQ1" s="69" t="s">
        <v>452</v>
      </c>
      <c r="AR1" s="69" t="s">
        <v>453</v>
      </c>
      <c r="AS1" s="69" t="s">
        <v>454</v>
      </c>
      <c r="AT1" s="70" t="s">
        <v>455</v>
      </c>
      <c r="AU1" s="70" t="s">
        <v>456</v>
      </c>
      <c r="AV1" s="70" t="s">
        <v>457</v>
      </c>
      <c r="AW1" s="70" t="s">
        <v>458</v>
      </c>
      <c r="AX1" s="70" t="s">
        <v>459</v>
      </c>
      <c r="AY1" s="70" t="s">
        <v>460</v>
      </c>
      <c r="AZ1" s="70" t="s">
        <v>461</v>
      </c>
      <c r="BA1" s="70" t="s">
        <v>462</v>
      </c>
      <c r="BB1" s="78" t="s">
        <v>474</v>
      </c>
      <c r="BC1" s="72" t="s">
        <v>495</v>
      </c>
      <c r="BD1" s="72" t="s">
        <v>496</v>
      </c>
      <c r="BE1" s="72" t="s">
        <v>497</v>
      </c>
      <c r="BF1" s="72" t="s">
        <v>498</v>
      </c>
      <c r="BG1" s="73" t="s">
        <v>499</v>
      </c>
      <c r="BH1" s="73" t="s">
        <v>500</v>
      </c>
      <c r="BI1" s="73" t="s">
        <v>501</v>
      </c>
      <c r="BJ1" s="73" t="s">
        <v>502</v>
      </c>
      <c r="BK1" s="73" t="s">
        <v>503</v>
      </c>
      <c r="BL1" s="73" t="s">
        <v>504</v>
      </c>
      <c r="BM1" s="73" t="s">
        <v>505</v>
      </c>
      <c r="BN1" s="74" t="s">
        <v>506</v>
      </c>
      <c r="BO1" s="74" t="s">
        <v>507</v>
      </c>
      <c r="BP1" s="31" t="s">
        <v>472</v>
      </c>
      <c r="BQ1" s="50" t="s">
        <v>645</v>
      </c>
      <c r="BR1" s="50" t="s">
        <v>646</v>
      </c>
      <c r="BS1" s="50" t="s">
        <v>647</v>
      </c>
      <c r="BT1" s="50" t="s">
        <v>648</v>
      </c>
      <c r="BU1" s="50" t="s">
        <v>649</v>
      </c>
      <c r="BV1" s="50" t="s">
        <v>750</v>
      </c>
    </row>
    <row r="2" spans="1:76" x14ac:dyDescent="0.3">
      <c r="A2" s="22" t="s">
        <v>101</v>
      </c>
      <c r="B2" s="21" t="s">
        <v>67</v>
      </c>
      <c r="C2" s="21" t="s">
        <v>102</v>
      </c>
      <c r="D2" s="10" t="s">
        <v>17</v>
      </c>
      <c r="E2" s="7" t="s">
        <v>103</v>
      </c>
      <c r="F2" s="3" t="s">
        <v>104</v>
      </c>
      <c r="G2" s="3" t="s">
        <v>49</v>
      </c>
      <c r="H2" s="4">
        <v>45809</v>
      </c>
      <c r="I2" s="4">
        <v>46904</v>
      </c>
      <c r="J2" s="21" t="s">
        <v>105</v>
      </c>
      <c r="K2" s="3" t="str">
        <f t="shared" ref="K2:K65" si="0">D2 &amp; "-" &amp;E2</f>
        <v>Prj000350-Support - Infrastructure for Tech</v>
      </c>
      <c r="L2" s="21" t="s">
        <v>106</v>
      </c>
      <c r="M2" s="21" t="s">
        <v>7</v>
      </c>
      <c r="N2" s="21" t="s">
        <v>7</v>
      </c>
      <c r="O2" s="21" t="s">
        <v>105</v>
      </c>
      <c r="P2" s="21" t="s">
        <v>107</v>
      </c>
      <c r="Q2" s="21" t="s">
        <v>108</v>
      </c>
      <c r="R2" s="21" t="s">
        <v>108</v>
      </c>
      <c r="S2" s="21" t="s">
        <v>109</v>
      </c>
      <c r="T2" s="5">
        <v>351839.43333333335</v>
      </c>
      <c r="U2" s="15">
        <v>361000</v>
      </c>
      <c r="V2" s="15">
        <v>361000</v>
      </c>
      <c r="W2" s="15">
        <f t="shared" ref="W2:W65" si="1">AO2+IF(ISBLANK(AP2),AB2,AP2)+IF(ISBLANK(AQ2),AC2,AQ2)+IF(ISBLANK(AR2),AD2,AR2)+IF(ISBLANK(AS2),AE2,AS2)+IF(ISBLANK(AT2),AF2,AT2)</f>
        <v>371392.66666666663</v>
      </c>
      <c r="X2" s="15">
        <f>IF(V2 &gt;= W2, V2 - W2, 0)*-1</f>
        <v>0</v>
      </c>
      <c r="Y2" s="15">
        <f t="shared" ref="Y2:Y65" si="2">IF(W2 &gt; V2, W2 - V2, 0)</f>
        <v>10392.666666666628</v>
      </c>
      <c r="Z2" s="15">
        <f>SUM(Financials20263[[#This Row],[2026 Opportunity]:[2026 Risk]])</f>
        <v>10392.666666666628</v>
      </c>
      <c r="AA2" s="3" t="s">
        <v>425</v>
      </c>
      <c r="AB2" s="51">
        <f>361000/12</f>
        <v>30083.333333333332</v>
      </c>
      <c r="AC2" s="51">
        <f t="shared" ref="AC2:AF2" si="3">361000/12</f>
        <v>30083.333333333332</v>
      </c>
      <c r="AD2" s="51">
        <f t="shared" si="3"/>
        <v>30083.333333333332</v>
      </c>
      <c r="AE2" s="51">
        <f t="shared" si="3"/>
        <v>30083.333333333332</v>
      </c>
      <c r="AF2" s="51">
        <f t="shared" si="3"/>
        <v>30083.333333333332</v>
      </c>
      <c r="AG2" s="51">
        <f>378816/12</f>
        <v>31568</v>
      </c>
      <c r="AH2" s="51">
        <f t="shared" ref="AH2:AM2" si="4">378816/12</f>
        <v>31568</v>
      </c>
      <c r="AI2" s="51">
        <f t="shared" si="4"/>
        <v>31568</v>
      </c>
      <c r="AJ2" s="51">
        <f t="shared" si="4"/>
        <v>31568</v>
      </c>
      <c r="AK2" s="51">
        <f t="shared" si="4"/>
        <v>31568</v>
      </c>
      <c r="AL2" s="51">
        <f t="shared" si="4"/>
        <v>31568</v>
      </c>
      <c r="AM2" s="51">
        <f t="shared" si="4"/>
        <v>31568</v>
      </c>
      <c r="AN2" s="51">
        <f>SUM(Financials20263[[#This Row],[Jan FC]:[Dec FC]])</f>
        <v>371392.66666666663</v>
      </c>
      <c r="AO2" s="15">
        <f t="shared" ref="AO2:AO65" si="5">SUM(AG2:AM2)</f>
        <v>220976</v>
      </c>
      <c r="AP2" s="60">
        <f>361000/12</f>
        <v>30083.333333333332</v>
      </c>
      <c r="AQ2" s="60">
        <f t="shared" ref="AQ2:AT2" si="6">361000/12</f>
        <v>30083.333333333332</v>
      </c>
      <c r="AR2" s="60">
        <f t="shared" si="6"/>
        <v>30083.333333333332</v>
      </c>
      <c r="AS2" s="60">
        <f t="shared" si="6"/>
        <v>30083.333333333332</v>
      </c>
      <c r="AT2" s="60">
        <f t="shared" si="6"/>
        <v>30083.333333333332</v>
      </c>
      <c r="AU2" s="60"/>
      <c r="AV2" s="60"/>
      <c r="AW2" s="60"/>
      <c r="AX2" s="60"/>
      <c r="AY2" s="60"/>
      <c r="AZ2" s="60"/>
      <c r="BA2" s="60"/>
      <c r="BB2" s="79">
        <f>SUM(Financials20263[[#This Row],[Jan AC]:[Dec AC]])</f>
        <v>150416.66666666666</v>
      </c>
      <c r="BC2" s="71">
        <f>Financials20263[[#This Row],[Jan AC]]-Financials20263[[#This Row],[Jan FC]]</f>
        <v>0</v>
      </c>
      <c r="BD2" s="71">
        <f>Financials20263[[#This Row],[Feb AC]]-Financials20263[[#This Row],[Feb FC]]</f>
        <v>0</v>
      </c>
      <c r="BE2" s="71">
        <f>Financials20263[[#This Row],[Mar AC]]-Financials20263[[#This Row],[Mar FC]]</f>
        <v>0</v>
      </c>
      <c r="BF2" s="71">
        <f>Financials20263[[#This Row],[Apr AC]]-Financials20263[[#This Row],[Apr FC]]</f>
        <v>0</v>
      </c>
      <c r="BG2" s="71">
        <f>Financials20263[[#This Row],[May AC]]-Financials20263[[#This Row],[May FC]]</f>
        <v>0</v>
      </c>
      <c r="BH2" s="71">
        <f>Financials20263[[#This Row],[Jun AC]]-Financials20263[[#This Row],[Jun FC]]</f>
        <v>-31568</v>
      </c>
      <c r="BI2" s="71">
        <f>Financials20263[[#This Row],[Jul AC]]-Financials20263[[#This Row],[Jul FC]]</f>
        <v>-31568</v>
      </c>
      <c r="BJ2" s="71">
        <f>Financials20263[[#This Row],[Aug AC]]-Financials20263[[#This Row],[Aug FC]]</f>
        <v>-31568</v>
      </c>
      <c r="BK2" s="71">
        <f>Financials20263[[#This Row],[Sep AC]]-Financials20263[[#This Row],[Sep FC]]</f>
        <v>-31568</v>
      </c>
      <c r="BL2" s="71">
        <f>Financials20263[[#This Row],[Oct AC]]-Financials20263[[#This Row],[Oct FC]]</f>
        <v>-31568</v>
      </c>
      <c r="BM2" s="71">
        <f>Financials20263[[#This Row],[Nov AC]]-Financials20263[[#This Row],[Nov FC]]</f>
        <v>-31568</v>
      </c>
      <c r="BN2" s="71">
        <f>Financials20263[[#This Row],[Dec AC]]-Financials20263[[#This Row],[Dec FC]]</f>
        <v>-31568</v>
      </c>
      <c r="BO2" s="71">
        <f>SUM(Financials20263[[#This Row],[Jan Opp/Risk]:[Dec Opp./Risk]])</f>
        <v>-220976</v>
      </c>
      <c r="BP2" s="86"/>
      <c r="BQ2" s="47">
        <f>SUM(Financials20263[[#This Row],[Jan AC]:[May AC]])</f>
        <v>150416.66666666666</v>
      </c>
      <c r="BR2" s="6">
        <f>Financials20263[[#This Row],[2026 (Actuals + Forecast)]]-Financials20263[[#This Row],[Jan-May Actuals]]-Financials20263[[#This Row],[Jun-Dec FC]]</f>
        <v>0</v>
      </c>
      <c r="BS2" s="6">
        <f>Financials20263[[#This Row],[Jun-Dec FC]]+Financials20263[[#This Row],[Jan-May Forecast ]]</f>
        <v>220976</v>
      </c>
      <c r="BT2" s="6">
        <f>SUM(Financials20263[[#This Row],[Jan FC]:[May FC]])</f>
        <v>150416.66666666666</v>
      </c>
      <c r="BU2" s="6">
        <f>Financials20263[[#This Row],[Jan-May Actuals]]+Financials20263[[#This Row],[Forecast Jun-Dec]]</f>
        <v>371392.66666666663</v>
      </c>
      <c r="BV2" s="6"/>
      <c r="BW2" s="6"/>
      <c r="BX2" s="6"/>
    </row>
    <row r="3" spans="1:76" x14ac:dyDescent="0.3">
      <c r="A3" s="22" t="s">
        <v>101</v>
      </c>
      <c r="B3" s="21" t="s">
        <v>67</v>
      </c>
      <c r="C3" s="21" t="s">
        <v>102</v>
      </c>
      <c r="D3" s="10" t="s">
        <v>17</v>
      </c>
      <c r="E3" s="7" t="s">
        <v>103</v>
      </c>
      <c r="F3" s="3" t="s">
        <v>104</v>
      </c>
      <c r="G3" s="3" t="s">
        <v>49</v>
      </c>
      <c r="H3" s="4">
        <v>45809</v>
      </c>
      <c r="I3" s="4">
        <v>46904</v>
      </c>
      <c r="J3" s="21" t="s">
        <v>110</v>
      </c>
      <c r="K3" s="3" t="str">
        <f t="shared" si="0"/>
        <v>Prj000350-Support - Infrastructure for Tech</v>
      </c>
      <c r="L3" s="21" t="s">
        <v>106</v>
      </c>
      <c r="M3" s="21" t="s">
        <v>7</v>
      </c>
      <c r="N3" s="21" t="s">
        <v>7</v>
      </c>
      <c r="O3" s="21" t="s">
        <v>110</v>
      </c>
      <c r="P3" s="21" t="s">
        <v>107</v>
      </c>
      <c r="Q3" s="21" t="s">
        <v>108</v>
      </c>
      <c r="R3" s="21" t="s">
        <v>108</v>
      </c>
      <c r="S3" s="21" t="s">
        <v>109</v>
      </c>
      <c r="T3" s="5">
        <v>104417</v>
      </c>
      <c r="U3" s="15">
        <v>179000</v>
      </c>
      <c r="V3" s="15">
        <v>179000</v>
      </c>
      <c r="W3" s="15">
        <f t="shared" si="1"/>
        <v>273923.73333333334</v>
      </c>
      <c r="X3" s="15">
        <f t="shared" ref="X3:X70" si="7">IF(V3 &gt;= W3, V3 - W3, 0)*-1</f>
        <v>0</v>
      </c>
      <c r="Y3" s="15">
        <f t="shared" si="2"/>
        <v>94923.733333333337</v>
      </c>
      <c r="Z3" s="15">
        <f>SUM(Financials20263[[#This Row],[2026 Opportunity]:[2026 Risk]])</f>
        <v>94923.733333333337</v>
      </c>
      <c r="AA3" s="3" t="s">
        <v>426</v>
      </c>
      <c r="AB3" s="52">
        <f>179000/12</f>
        <v>14916.666666666666</v>
      </c>
      <c r="AC3" s="52">
        <f t="shared" ref="AC3:AF3" si="8">179000/12</f>
        <v>14916.666666666666</v>
      </c>
      <c r="AD3" s="52">
        <f t="shared" si="8"/>
        <v>14916.666666666666</v>
      </c>
      <c r="AE3" s="52">
        <f t="shared" si="8"/>
        <v>14916.666666666666</v>
      </c>
      <c r="AF3" s="52">
        <f t="shared" si="8"/>
        <v>14916.666666666666</v>
      </c>
      <c r="AG3" s="52">
        <f>341726.4/12</f>
        <v>28477.200000000001</v>
      </c>
      <c r="AH3" s="52">
        <f t="shared" ref="AH3:AM3" si="9">341726.4/12</f>
        <v>28477.200000000001</v>
      </c>
      <c r="AI3" s="52">
        <f t="shared" si="9"/>
        <v>28477.200000000001</v>
      </c>
      <c r="AJ3" s="52">
        <f t="shared" si="9"/>
        <v>28477.200000000001</v>
      </c>
      <c r="AK3" s="52">
        <f t="shared" si="9"/>
        <v>28477.200000000001</v>
      </c>
      <c r="AL3" s="52">
        <f t="shared" si="9"/>
        <v>28477.200000000001</v>
      </c>
      <c r="AM3" s="52">
        <f t="shared" si="9"/>
        <v>28477.200000000001</v>
      </c>
      <c r="AN3" s="52">
        <f>SUM(Financials20263[[#This Row],[Jan FC]:[Dec FC]])</f>
        <v>273923.7333333334</v>
      </c>
      <c r="AO3" s="15">
        <f t="shared" si="5"/>
        <v>199340.40000000002</v>
      </c>
      <c r="AP3" s="61">
        <f>179000/12</f>
        <v>14916.666666666666</v>
      </c>
      <c r="AQ3" s="61">
        <f t="shared" ref="AQ3:AT3" si="10">179000/12</f>
        <v>14916.666666666666</v>
      </c>
      <c r="AR3" s="61">
        <f t="shared" si="10"/>
        <v>14916.666666666666</v>
      </c>
      <c r="AS3" s="61">
        <f t="shared" si="10"/>
        <v>14916.666666666666</v>
      </c>
      <c r="AT3" s="61">
        <f t="shared" si="10"/>
        <v>14916.666666666666</v>
      </c>
      <c r="AU3" s="61"/>
      <c r="AV3" s="61"/>
      <c r="AW3" s="61"/>
      <c r="AX3" s="61"/>
      <c r="AY3" s="61"/>
      <c r="AZ3" s="61"/>
      <c r="BA3" s="61"/>
      <c r="BB3" s="80">
        <f>SUM(Financials20263[[#This Row],[Jan AC]:[Dec AC]])</f>
        <v>74583.333333333328</v>
      </c>
      <c r="BC3" s="71">
        <f>Financials20263[[#This Row],[Jan AC]]-Financials20263[[#This Row],[Jan FC]]</f>
        <v>0</v>
      </c>
      <c r="BD3" s="71">
        <f>Financials20263[[#This Row],[Feb AC]]-Financials20263[[#This Row],[Feb FC]]</f>
        <v>0</v>
      </c>
      <c r="BE3" s="71">
        <f>Financials20263[[#This Row],[Mar AC]]-Financials20263[[#This Row],[Mar FC]]</f>
        <v>0</v>
      </c>
      <c r="BF3" s="71">
        <f>Financials20263[[#This Row],[Apr AC]]-Financials20263[[#This Row],[Apr FC]]</f>
        <v>0</v>
      </c>
      <c r="BG3" s="71">
        <f>Financials20263[[#This Row],[May AC]]-Financials20263[[#This Row],[May FC]]</f>
        <v>0</v>
      </c>
      <c r="BH3" s="71">
        <f>Financials20263[[#This Row],[Jun AC]]-Financials20263[[#This Row],[Jun FC]]</f>
        <v>-28477.200000000001</v>
      </c>
      <c r="BI3" s="71">
        <f>Financials20263[[#This Row],[Jul AC]]-Financials20263[[#This Row],[Jul FC]]</f>
        <v>-28477.200000000001</v>
      </c>
      <c r="BJ3" s="71">
        <f>Financials20263[[#This Row],[Aug AC]]-Financials20263[[#This Row],[Aug FC]]</f>
        <v>-28477.200000000001</v>
      </c>
      <c r="BK3" s="71">
        <f>Financials20263[[#This Row],[Sep AC]]-Financials20263[[#This Row],[Sep FC]]</f>
        <v>-28477.200000000001</v>
      </c>
      <c r="BL3" s="71">
        <f>Financials20263[[#This Row],[Oct AC]]-Financials20263[[#This Row],[Oct FC]]</f>
        <v>-28477.200000000001</v>
      </c>
      <c r="BM3" s="71">
        <f>Financials20263[[#This Row],[Nov AC]]-Financials20263[[#This Row],[Nov FC]]</f>
        <v>-28477.200000000001</v>
      </c>
      <c r="BN3" s="71">
        <f>Financials20263[[#This Row],[Dec AC]]-Financials20263[[#This Row],[Dec FC]]</f>
        <v>-28477.200000000001</v>
      </c>
      <c r="BO3" s="71">
        <f>SUM(Financials20263[[#This Row],[Jan Opp/Risk]:[Dec Opp./Risk]])</f>
        <v>-199340.40000000002</v>
      </c>
      <c r="BP3" s="86"/>
      <c r="BQ3" s="47">
        <f>SUM(Financials20263[[#This Row],[Jan AC]:[May AC]])</f>
        <v>74583.333333333328</v>
      </c>
      <c r="BR3" s="6">
        <f>Financials20263[[#This Row],[2026 (Actuals + Forecast)]]-Financials20263[[#This Row],[Jan-May Actuals]]-Financials20263[[#This Row],[Jun-Dec FC]]</f>
        <v>0</v>
      </c>
      <c r="BS3" s="6">
        <f>Financials20263[[#This Row],[Jun-Dec FC]]+Financials20263[[#This Row],[Jan-May Forecast ]]</f>
        <v>199340.40000000002</v>
      </c>
      <c r="BT3" s="6">
        <f>SUM(Financials20263[[#This Row],[Jan FC]:[May FC]])</f>
        <v>74583.333333333328</v>
      </c>
      <c r="BU3" s="6">
        <f>Financials20263[[#This Row],[Jan-May Actuals]]+Financials20263[[#This Row],[Forecast Jun-Dec]]</f>
        <v>273923.73333333334</v>
      </c>
      <c r="BV3" s="6"/>
      <c r="BW3" s="6"/>
      <c r="BX3" s="6"/>
    </row>
    <row r="4" spans="1:76" x14ac:dyDescent="0.3">
      <c r="A4" s="22" t="s">
        <v>111</v>
      </c>
      <c r="B4" s="21" t="s">
        <v>112</v>
      </c>
      <c r="C4" s="21"/>
      <c r="D4" s="10" t="s">
        <v>11</v>
      </c>
      <c r="E4" s="7" t="s">
        <v>113</v>
      </c>
      <c r="F4" s="3" t="s">
        <v>114</v>
      </c>
      <c r="G4" s="3" t="s">
        <v>53</v>
      </c>
      <c r="H4" s="4" t="s">
        <v>115</v>
      </c>
      <c r="I4" s="4" t="s">
        <v>115</v>
      </c>
      <c r="J4" s="3"/>
      <c r="K4" s="3" t="str">
        <f t="shared" si="0"/>
        <v>Prj000266-Support - Internal Tech Workforce Activities</v>
      </c>
      <c r="L4" s="21" t="s">
        <v>106</v>
      </c>
      <c r="M4" s="21" t="s">
        <v>6</v>
      </c>
      <c r="N4" s="21" t="s">
        <v>6</v>
      </c>
      <c r="O4" s="21"/>
      <c r="P4" s="21" t="s">
        <v>116</v>
      </c>
      <c r="Q4" s="21" t="s">
        <v>117</v>
      </c>
      <c r="R4" s="21" t="s">
        <v>118</v>
      </c>
      <c r="S4" s="21" t="s">
        <v>119</v>
      </c>
      <c r="T4" s="5">
        <v>211257</v>
      </c>
      <c r="U4" s="15">
        <v>259449</v>
      </c>
      <c r="V4" s="15">
        <v>259449</v>
      </c>
      <c r="W4" s="15">
        <f t="shared" si="1"/>
        <v>229670.84999999998</v>
      </c>
      <c r="X4" s="15">
        <f t="shared" si="7"/>
        <v>-29778.150000000023</v>
      </c>
      <c r="Y4" s="15">
        <f t="shared" si="2"/>
        <v>0</v>
      </c>
      <c r="Z4" s="15">
        <f>SUM(Financials20263[[#This Row],[2026 Opportunity]:[2026 Risk]])</f>
        <v>-29778.150000000023</v>
      </c>
      <c r="AA4" s="14" t="s">
        <v>749</v>
      </c>
      <c r="AB4" s="52">
        <v>11185.549999999997</v>
      </c>
      <c r="AC4" s="52">
        <v>7399.97</v>
      </c>
      <c r="AD4" s="52">
        <v>16129.190000000002</v>
      </c>
      <c r="AE4" s="52">
        <v>25262</v>
      </c>
      <c r="AF4" s="52">
        <v>23681.14</v>
      </c>
      <c r="AG4" s="52"/>
      <c r="AH4" s="52"/>
      <c r="AI4" s="52"/>
      <c r="AJ4" s="52"/>
      <c r="AK4" s="52"/>
      <c r="AL4" s="52"/>
      <c r="AM4" s="46">
        <f>159449-83658+50000+20222</f>
        <v>146013</v>
      </c>
      <c r="AN4" s="46">
        <f>SUM(Financials20263[[#This Row],[Jan FC]:[Dec FC]])</f>
        <v>229670.85</v>
      </c>
      <c r="AO4" s="15">
        <f t="shared" si="5"/>
        <v>146013</v>
      </c>
      <c r="AP4" s="61">
        <v>11185.549999999997</v>
      </c>
      <c r="AQ4" s="61">
        <v>7399.97</v>
      </c>
      <c r="AR4" s="61">
        <v>16129.190000000002</v>
      </c>
      <c r="AS4" s="61">
        <v>25262</v>
      </c>
      <c r="AT4" s="61">
        <v>23681.14</v>
      </c>
      <c r="AU4" s="61"/>
      <c r="AV4" s="61"/>
      <c r="AW4" s="61"/>
      <c r="AX4" s="61"/>
      <c r="AY4" s="61"/>
      <c r="AZ4" s="61"/>
      <c r="BA4" s="61"/>
      <c r="BB4" s="80">
        <f>SUM(Financials20263[[#This Row],[Jan AC]:[Dec AC]])</f>
        <v>83657.850000000006</v>
      </c>
      <c r="BC4" s="71">
        <f>Financials20263[[#This Row],[Jan AC]]-Financials20263[[#This Row],[Jan FC]]</f>
        <v>0</v>
      </c>
      <c r="BD4" s="71">
        <f>Financials20263[[#This Row],[Feb AC]]-Financials20263[[#This Row],[Feb FC]]</f>
        <v>0</v>
      </c>
      <c r="BE4" s="71">
        <f>Financials20263[[#This Row],[Mar AC]]-Financials20263[[#This Row],[Mar FC]]</f>
        <v>0</v>
      </c>
      <c r="BF4" s="71">
        <f>Financials20263[[#This Row],[Apr AC]]-Financials20263[[#This Row],[Apr FC]]</f>
        <v>0</v>
      </c>
      <c r="BG4" s="71">
        <f>Financials20263[[#This Row],[May AC]]-Financials20263[[#This Row],[May FC]]</f>
        <v>0</v>
      </c>
      <c r="BH4" s="71">
        <f>Financials20263[[#This Row],[Jun AC]]-Financials20263[[#This Row],[Jun FC]]</f>
        <v>0</v>
      </c>
      <c r="BI4" s="71">
        <f>Financials20263[[#This Row],[Jul AC]]-Financials20263[[#This Row],[Jul FC]]</f>
        <v>0</v>
      </c>
      <c r="BJ4" s="71">
        <f>Financials20263[[#This Row],[Aug AC]]-Financials20263[[#This Row],[Aug FC]]</f>
        <v>0</v>
      </c>
      <c r="BK4" s="71">
        <f>Financials20263[[#This Row],[Sep AC]]-Financials20263[[#This Row],[Sep FC]]</f>
        <v>0</v>
      </c>
      <c r="BL4" s="71">
        <f>Financials20263[[#This Row],[Oct AC]]-Financials20263[[#This Row],[Oct FC]]</f>
        <v>0</v>
      </c>
      <c r="BM4" s="71">
        <f>Financials20263[[#This Row],[Nov AC]]-Financials20263[[#This Row],[Nov FC]]</f>
        <v>0</v>
      </c>
      <c r="BN4" s="71">
        <f>Financials20263[[#This Row],[Dec AC]]-Financials20263[[#This Row],[Dec FC]]</f>
        <v>-146013</v>
      </c>
      <c r="BO4" s="71">
        <f>SUM(Financials20263[[#This Row],[Jan Opp/Risk]:[Dec Opp./Risk]])</f>
        <v>-146013</v>
      </c>
      <c r="BP4" s="87" t="s">
        <v>513</v>
      </c>
      <c r="BQ4" s="47">
        <f>SUM(Financials20263[[#This Row],[Jan AC]:[May AC]])</f>
        <v>83657.850000000006</v>
      </c>
      <c r="BR4" s="6">
        <f>Financials20263[[#This Row],[2026 (Actuals + Forecast)]]-Financials20263[[#This Row],[Jan-May Actuals]]-Financials20263[[#This Row],[Jun-Dec FC]]</f>
        <v>0</v>
      </c>
      <c r="BS4" s="6">
        <f>Financials20263[[#This Row],[Jun-Dec FC]]+Financials20263[[#This Row],[Jan-May Forecast ]]</f>
        <v>146013</v>
      </c>
      <c r="BT4" s="6">
        <f>SUM(Financials20263[[#This Row],[Jan FC]:[May FC]])</f>
        <v>83657.850000000006</v>
      </c>
      <c r="BU4" s="6">
        <f>Financials20263[[#This Row],[Jan-May Actuals]]+Financials20263[[#This Row],[Forecast Jun-Dec]]</f>
        <v>229670.85</v>
      </c>
      <c r="BV4" s="6"/>
      <c r="BW4" s="6"/>
      <c r="BX4" s="6"/>
    </row>
    <row r="5" spans="1:76" x14ac:dyDescent="0.3">
      <c r="A5" s="22" t="s">
        <v>101</v>
      </c>
      <c r="B5" s="21" t="s">
        <v>121</v>
      </c>
      <c r="C5" s="21"/>
      <c r="D5" s="10" t="s">
        <v>16</v>
      </c>
      <c r="E5" s="7" t="s">
        <v>122</v>
      </c>
      <c r="F5" s="3" t="s">
        <v>123</v>
      </c>
      <c r="G5" s="3" t="s">
        <v>50</v>
      </c>
      <c r="H5" s="4">
        <v>45666</v>
      </c>
      <c r="I5" s="4">
        <v>46031</v>
      </c>
      <c r="J5" s="3"/>
      <c r="K5" s="3" t="str">
        <f t="shared" si="0"/>
        <v>Prj000344-Support - Prod support for Finance Applications</v>
      </c>
      <c r="L5" s="21" t="s">
        <v>124</v>
      </c>
      <c r="M5" s="21" t="s">
        <v>5</v>
      </c>
      <c r="N5" s="21" t="s">
        <v>125</v>
      </c>
      <c r="O5" s="21" t="s">
        <v>2</v>
      </c>
      <c r="P5" s="21" t="s">
        <v>126</v>
      </c>
      <c r="Q5" s="21" t="s">
        <v>127</v>
      </c>
      <c r="R5" s="21" t="s">
        <v>128</v>
      </c>
      <c r="S5" s="21" t="s">
        <v>129</v>
      </c>
      <c r="T5" s="5">
        <v>91200</v>
      </c>
      <c r="U5" s="15">
        <v>100000</v>
      </c>
      <c r="V5" s="15">
        <v>100000</v>
      </c>
      <c r="W5" s="15">
        <f t="shared" si="1"/>
        <v>100000</v>
      </c>
      <c r="X5" s="15">
        <f t="shared" si="7"/>
        <v>0</v>
      </c>
      <c r="Y5" s="15">
        <f t="shared" si="2"/>
        <v>0</v>
      </c>
      <c r="Z5" s="15">
        <f>SUM(Financials20263[[#This Row],[2026 Opportunity]:[2026 Risk]])</f>
        <v>0</v>
      </c>
      <c r="AA5" s="14" t="s">
        <v>130</v>
      </c>
      <c r="AB5" s="52">
        <v>7600</v>
      </c>
      <c r="AC5" s="52">
        <v>7600</v>
      </c>
      <c r="AD5" s="52">
        <v>7600</v>
      </c>
      <c r="AE5" s="52">
        <v>7600</v>
      </c>
      <c r="AF5" s="52">
        <v>7600</v>
      </c>
      <c r="AG5" s="52">
        <v>7600</v>
      </c>
      <c r="AH5" s="52">
        <v>7600</v>
      </c>
      <c r="AI5" s="52">
        <v>7600</v>
      </c>
      <c r="AJ5" s="52">
        <v>7600</v>
      </c>
      <c r="AK5" s="52">
        <v>7600</v>
      </c>
      <c r="AL5" s="52">
        <v>7600</v>
      </c>
      <c r="AM5" s="46">
        <f>7600-15</f>
        <v>7585</v>
      </c>
      <c r="AN5" s="46">
        <f>SUM(Financials20263[[#This Row],[Jan FC]:[Dec FC]])</f>
        <v>91185</v>
      </c>
      <c r="AO5" s="15">
        <f t="shared" si="5"/>
        <v>53185</v>
      </c>
      <c r="AP5" s="61">
        <v>7600</v>
      </c>
      <c r="AQ5" s="61">
        <v>7600</v>
      </c>
      <c r="AR5" s="61">
        <v>8675</v>
      </c>
      <c r="AS5" s="61">
        <v>7600</v>
      </c>
      <c r="AT5" s="61">
        <v>15340</v>
      </c>
      <c r="AU5" s="61">
        <v>7600</v>
      </c>
      <c r="AV5" s="61"/>
      <c r="AW5" s="61"/>
      <c r="AX5" s="61"/>
      <c r="AY5" s="61"/>
      <c r="AZ5" s="61"/>
      <c r="BA5" s="61"/>
      <c r="BB5" s="80">
        <f>SUM(Financials20263[[#This Row],[Jan AC]:[Dec AC]])</f>
        <v>54415</v>
      </c>
      <c r="BC5" s="71">
        <f>Financials20263[[#This Row],[Jan AC]]-Financials20263[[#This Row],[Jan FC]]</f>
        <v>0</v>
      </c>
      <c r="BD5" s="71">
        <f>Financials20263[[#This Row],[Feb AC]]-Financials20263[[#This Row],[Feb FC]]</f>
        <v>0</v>
      </c>
      <c r="BE5" s="71">
        <f>Financials20263[[#This Row],[Mar AC]]-Financials20263[[#This Row],[Mar FC]]</f>
        <v>1075</v>
      </c>
      <c r="BF5" s="71">
        <f>Financials20263[[#This Row],[Apr AC]]-Financials20263[[#This Row],[Apr FC]]</f>
        <v>0</v>
      </c>
      <c r="BG5" s="71">
        <f>Financials20263[[#This Row],[May AC]]-Financials20263[[#This Row],[May FC]]</f>
        <v>7740</v>
      </c>
      <c r="BH5" s="71">
        <f>Financials20263[[#This Row],[Jun AC]]-Financials20263[[#This Row],[Jun FC]]</f>
        <v>0</v>
      </c>
      <c r="BI5" s="71">
        <f>Financials20263[[#This Row],[Jul AC]]-Financials20263[[#This Row],[Jul FC]]</f>
        <v>-7600</v>
      </c>
      <c r="BJ5" s="71">
        <f>Financials20263[[#This Row],[Aug AC]]-Financials20263[[#This Row],[Aug FC]]</f>
        <v>-7600</v>
      </c>
      <c r="BK5" s="71">
        <f>Financials20263[[#This Row],[Sep AC]]-Financials20263[[#This Row],[Sep FC]]</f>
        <v>-7600</v>
      </c>
      <c r="BL5" s="71">
        <f>Financials20263[[#This Row],[Oct AC]]-Financials20263[[#This Row],[Oct FC]]</f>
        <v>-7600</v>
      </c>
      <c r="BM5" s="71">
        <f>Financials20263[[#This Row],[Nov AC]]-Financials20263[[#This Row],[Nov FC]]</f>
        <v>-7600</v>
      </c>
      <c r="BN5" s="71">
        <f>Financials20263[[#This Row],[Dec AC]]-Financials20263[[#This Row],[Dec FC]]</f>
        <v>-7585</v>
      </c>
      <c r="BO5" s="71">
        <f>SUM(Financials20263[[#This Row],[Jan Opp/Risk]:[Dec Opp./Risk]])</f>
        <v>-36770</v>
      </c>
      <c r="BP5" s="88" t="s">
        <v>592</v>
      </c>
      <c r="BQ5" s="47">
        <f>SUM(Financials20263[[#This Row],[Jan AC]:[May AC]])</f>
        <v>46815</v>
      </c>
      <c r="BR5" s="6">
        <f>Financials20263[[#This Row],[2026 (Actuals + Forecast)]]-Financials20263[[#This Row],[Jan-May Actuals]]-Financials20263[[#This Row],[Jun-Dec FC]]</f>
        <v>0</v>
      </c>
      <c r="BS5" s="6">
        <f>Financials20263[[#This Row],[Jun-Dec FC]]+Financials20263[[#This Row],[Jan-May Forecast ]]</f>
        <v>53185</v>
      </c>
      <c r="BT5" s="6">
        <f>SUM(Financials20263[[#This Row],[Jan FC]:[May FC]])</f>
        <v>38000</v>
      </c>
      <c r="BU5" s="6">
        <f>Financials20263[[#This Row],[Jan-May Actuals]]+Financials20263[[#This Row],[Forecast Jun-Dec]]</f>
        <v>100000</v>
      </c>
      <c r="BV5" s="6"/>
      <c r="BW5" s="6"/>
      <c r="BX5" s="6"/>
    </row>
    <row r="6" spans="1:76" x14ac:dyDescent="0.3">
      <c r="A6" s="22" t="s">
        <v>101</v>
      </c>
      <c r="B6" s="21" t="s">
        <v>79</v>
      </c>
      <c r="C6" s="21" t="s">
        <v>131</v>
      </c>
      <c r="D6" s="10" t="s">
        <v>17</v>
      </c>
      <c r="E6" s="7" t="s">
        <v>103</v>
      </c>
      <c r="F6" s="3" t="s">
        <v>104</v>
      </c>
      <c r="G6" s="3" t="s">
        <v>49</v>
      </c>
      <c r="H6" s="4">
        <v>45853</v>
      </c>
      <c r="I6" s="4">
        <v>46217</v>
      </c>
      <c r="J6" s="3" t="s">
        <v>131</v>
      </c>
      <c r="K6" s="3" t="str">
        <f t="shared" si="0"/>
        <v>Prj000350-Support - Infrastructure for Tech</v>
      </c>
      <c r="L6" s="21" t="s">
        <v>106</v>
      </c>
      <c r="M6" s="21" t="s">
        <v>7</v>
      </c>
      <c r="N6" s="21" t="s">
        <v>7</v>
      </c>
      <c r="O6" s="21"/>
      <c r="P6" s="21" t="s">
        <v>107</v>
      </c>
      <c r="Q6" s="21" t="s">
        <v>108</v>
      </c>
      <c r="R6" s="21" t="s">
        <v>108</v>
      </c>
      <c r="S6" s="21" t="s">
        <v>132</v>
      </c>
      <c r="T6" s="5">
        <v>37630</v>
      </c>
      <c r="U6" s="15">
        <v>39512</v>
      </c>
      <c r="V6" s="15">
        <v>39512</v>
      </c>
      <c r="W6" s="15">
        <f t="shared" si="1"/>
        <v>39512</v>
      </c>
      <c r="X6" s="15">
        <f t="shared" si="7"/>
        <v>0</v>
      </c>
      <c r="Y6" s="15">
        <f t="shared" si="2"/>
        <v>0</v>
      </c>
      <c r="Z6" s="15">
        <f>SUM(Financials20263[[#This Row],[2026 Opportunity]:[2026 Risk]])</f>
        <v>0</v>
      </c>
      <c r="AA6" s="14"/>
      <c r="AB6" s="52"/>
      <c r="AC6" s="52"/>
      <c r="AD6" s="52"/>
      <c r="AE6" s="52"/>
      <c r="AF6" s="51"/>
      <c r="AG6" s="51"/>
      <c r="AH6" s="52">
        <v>39512</v>
      </c>
      <c r="AI6" s="52"/>
      <c r="AJ6" s="52"/>
      <c r="AK6" s="52"/>
      <c r="AL6" s="51"/>
      <c r="AM6" s="51"/>
      <c r="AN6" s="51">
        <f>SUM(Financials20263[[#This Row],[Jan FC]:[Dec FC]])</f>
        <v>39512</v>
      </c>
      <c r="AO6" s="15">
        <f t="shared" si="5"/>
        <v>39512</v>
      </c>
      <c r="AP6" s="61"/>
      <c r="AQ6" s="61"/>
      <c r="AR6" s="61"/>
      <c r="AS6" s="61"/>
      <c r="AT6" s="60"/>
      <c r="AU6" s="60"/>
      <c r="AV6" s="61"/>
      <c r="AW6" s="61"/>
      <c r="AX6" s="61"/>
      <c r="AY6" s="61"/>
      <c r="AZ6" s="60"/>
      <c r="BA6" s="60"/>
      <c r="BB6" s="79">
        <f>SUM(Financials20263[[#This Row],[Jan AC]:[Dec AC]])</f>
        <v>0</v>
      </c>
      <c r="BC6" s="71">
        <f>Financials20263[[#This Row],[Jan AC]]-Financials20263[[#This Row],[Jan FC]]</f>
        <v>0</v>
      </c>
      <c r="BD6" s="71">
        <f>Financials20263[[#This Row],[Feb AC]]-Financials20263[[#This Row],[Feb FC]]</f>
        <v>0</v>
      </c>
      <c r="BE6" s="71">
        <f>Financials20263[[#This Row],[Mar AC]]-Financials20263[[#This Row],[Mar FC]]</f>
        <v>0</v>
      </c>
      <c r="BF6" s="71">
        <f>Financials20263[[#This Row],[Apr AC]]-Financials20263[[#This Row],[Apr FC]]</f>
        <v>0</v>
      </c>
      <c r="BG6" s="71">
        <f>Financials20263[[#This Row],[May AC]]-Financials20263[[#This Row],[May FC]]</f>
        <v>0</v>
      </c>
      <c r="BH6" s="71">
        <f>Financials20263[[#This Row],[Jun AC]]-Financials20263[[#This Row],[Jun FC]]</f>
        <v>0</v>
      </c>
      <c r="BI6" s="71">
        <f>Financials20263[[#This Row],[Jul AC]]-Financials20263[[#This Row],[Jul FC]]</f>
        <v>-39512</v>
      </c>
      <c r="BJ6" s="71">
        <f>Financials20263[[#This Row],[Aug AC]]-Financials20263[[#This Row],[Aug FC]]</f>
        <v>0</v>
      </c>
      <c r="BK6" s="71">
        <f>Financials20263[[#This Row],[Sep AC]]-Financials20263[[#This Row],[Sep FC]]</f>
        <v>0</v>
      </c>
      <c r="BL6" s="71">
        <f>Financials20263[[#This Row],[Oct AC]]-Financials20263[[#This Row],[Oct FC]]</f>
        <v>0</v>
      </c>
      <c r="BM6" s="71">
        <f>Financials20263[[#This Row],[Nov AC]]-Financials20263[[#This Row],[Nov FC]]</f>
        <v>0</v>
      </c>
      <c r="BN6" s="71">
        <f>Financials20263[[#This Row],[Dec AC]]-Financials20263[[#This Row],[Dec FC]]</f>
        <v>0</v>
      </c>
      <c r="BO6" s="71">
        <f>SUM(Financials20263[[#This Row],[Jan Opp/Risk]:[Dec Opp./Risk]])</f>
        <v>-39512</v>
      </c>
      <c r="BP6" s="87"/>
      <c r="BQ6" s="47">
        <f>SUM(Financials20263[[#This Row],[Jan AC]:[May AC]])</f>
        <v>0</v>
      </c>
      <c r="BR6" s="6">
        <f>Financials20263[[#This Row],[2026 (Actuals + Forecast)]]-Financials20263[[#This Row],[Jan-May Actuals]]-Financials20263[[#This Row],[Jun-Dec FC]]</f>
        <v>0</v>
      </c>
      <c r="BS6" s="6">
        <f>Financials20263[[#This Row],[Jun-Dec FC]]+Financials20263[[#This Row],[Jan-May Forecast ]]</f>
        <v>39512</v>
      </c>
      <c r="BT6" s="6">
        <f>SUM(Financials20263[[#This Row],[Jan FC]:[May FC]])</f>
        <v>0</v>
      </c>
      <c r="BU6" s="6">
        <f>Financials20263[[#This Row],[Jan-May Actuals]]+Financials20263[[#This Row],[Forecast Jun-Dec]]</f>
        <v>39512</v>
      </c>
      <c r="BV6" s="6"/>
      <c r="BW6" s="6"/>
      <c r="BX6" s="6"/>
    </row>
    <row r="7" spans="1:76" s="18" customFormat="1" x14ac:dyDescent="0.3">
      <c r="A7" s="22" t="s">
        <v>101</v>
      </c>
      <c r="B7" s="21" t="s">
        <v>133</v>
      </c>
      <c r="C7" s="21"/>
      <c r="D7" s="10" t="s">
        <v>16</v>
      </c>
      <c r="E7" s="7" t="s">
        <v>122</v>
      </c>
      <c r="F7" s="3" t="s">
        <v>123</v>
      </c>
      <c r="G7" s="3" t="s">
        <v>50</v>
      </c>
      <c r="H7" s="4" t="s">
        <v>115</v>
      </c>
      <c r="I7" s="4" t="s">
        <v>115</v>
      </c>
      <c r="J7" s="3"/>
      <c r="K7" s="3" t="str">
        <f t="shared" si="0"/>
        <v>Prj000344-Support - Prod support for Finance Applications</v>
      </c>
      <c r="L7" s="21" t="s">
        <v>106</v>
      </c>
      <c r="M7" s="21" t="s">
        <v>7</v>
      </c>
      <c r="N7" s="21" t="s">
        <v>7</v>
      </c>
      <c r="O7" s="21"/>
      <c r="P7" s="21" t="s">
        <v>107</v>
      </c>
      <c r="Q7" s="21" t="s">
        <v>134</v>
      </c>
      <c r="R7" s="21" t="s">
        <v>135</v>
      </c>
      <c r="S7" s="21" t="s">
        <v>136</v>
      </c>
      <c r="T7" s="5">
        <v>14000</v>
      </c>
      <c r="U7" s="15">
        <v>14700</v>
      </c>
      <c r="V7" s="15">
        <v>14700</v>
      </c>
      <c r="W7" s="15">
        <f t="shared" si="1"/>
        <v>14700</v>
      </c>
      <c r="X7" s="15">
        <f t="shared" si="7"/>
        <v>0</v>
      </c>
      <c r="Y7" s="15">
        <f t="shared" si="2"/>
        <v>0</v>
      </c>
      <c r="Z7" s="15">
        <f>SUM(Financials20263[[#This Row],[2026 Opportunity]:[2026 Risk]])</f>
        <v>0</v>
      </c>
      <c r="AA7" s="14" t="s">
        <v>137</v>
      </c>
      <c r="AB7" s="52"/>
      <c r="AC7" s="52"/>
      <c r="AD7" s="52"/>
      <c r="AE7" s="52"/>
      <c r="AF7" s="52"/>
      <c r="AG7" s="51"/>
      <c r="AH7" s="52"/>
      <c r="AI7" s="52"/>
      <c r="AJ7" s="52"/>
      <c r="AK7" s="52"/>
      <c r="AL7" s="51"/>
      <c r="AM7" s="51">
        <v>14700</v>
      </c>
      <c r="AN7" s="51">
        <f>SUM(Financials20263[[#This Row],[Jan FC]:[Dec FC]])</f>
        <v>14700</v>
      </c>
      <c r="AO7" s="15">
        <f t="shared" si="5"/>
        <v>14700</v>
      </c>
      <c r="AP7" s="61"/>
      <c r="AQ7" s="61"/>
      <c r="AR7" s="61"/>
      <c r="AS7" s="61"/>
      <c r="AT7" s="61"/>
      <c r="AU7" s="60"/>
      <c r="AV7" s="61"/>
      <c r="AW7" s="61"/>
      <c r="AX7" s="61"/>
      <c r="AY7" s="61"/>
      <c r="AZ7" s="60"/>
      <c r="BA7" s="60"/>
      <c r="BB7" s="79">
        <f>SUM(Financials20263[[#This Row],[Jan AC]:[Dec AC]])</f>
        <v>0</v>
      </c>
      <c r="BC7" s="71">
        <f>Financials20263[[#This Row],[Jan AC]]-Financials20263[[#This Row],[Jan FC]]</f>
        <v>0</v>
      </c>
      <c r="BD7" s="71">
        <f>Financials20263[[#This Row],[Feb AC]]-Financials20263[[#This Row],[Feb FC]]</f>
        <v>0</v>
      </c>
      <c r="BE7" s="71">
        <f>Financials20263[[#This Row],[Mar AC]]-Financials20263[[#This Row],[Mar FC]]</f>
        <v>0</v>
      </c>
      <c r="BF7" s="71">
        <f>Financials20263[[#This Row],[Apr AC]]-Financials20263[[#This Row],[Apr FC]]</f>
        <v>0</v>
      </c>
      <c r="BG7" s="71">
        <f>Financials20263[[#This Row],[May AC]]-Financials20263[[#This Row],[May FC]]</f>
        <v>0</v>
      </c>
      <c r="BH7" s="71">
        <f>Financials20263[[#This Row],[Jun AC]]-Financials20263[[#This Row],[Jun FC]]</f>
        <v>0</v>
      </c>
      <c r="BI7" s="71">
        <f>Financials20263[[#This Row],[Jul AC]]-Financials20263[[#This Row],[Jul FC]]</f>
        <v>0</v>
      </c>
      <c r="BJ7" s="71">
        <f>Financials20263[[#This Row],[Aug AC]]-Financials20263[[#This Row],[Aug FC]]</f>
        <v>0</v>
      </c>
      <c r="BK7" s="71">
        <f>Financials20263[[#This Row],[Sep AC]]-Financials20263[[#This Row],[Sep FC]]</f>
        <v>0</v>
      </c>
      <c r="BL7" s="71">
        <f>Financials20263[[#This Row],[Oct AC]]-Financials20263[[#This Row],[Oct FC]]</f>
        <v>0</v>
      </c>
      <c r="BM7" s="71">
        <f>Financials20263[[#This Row],[Nov AC]]-Financials20263[[#This Row],[Nov FC]]</f>
        <v>0</v>
      </c>
      <c r="BN7" s="71">
        <f>Financials20263[[#This Row],[Dec AC]]-Financials20263[[#This Row],[Dec FC]]</f>
        <v>-14700</v>
      </c>
      <c r="BO7" s="71">
        <f>SUM(Financials20263[[#This Row],[Jan Opp/Risk]:[Dec Opp./Risk]])</f>
        <v>-14700</v>
      </c>
      <c r="BP7" s="87"/>
      <c r="BQ7" s="48">
        <f>SUM(Financials20263[[#This Row],[Jan AC]:[May AC]])</f>
        <v>0</v>
      </c>
      <c r="BR7" s="145">
        <f>Financials20263[[#This Row],[2026 (Actuals + Forecast)]]-Financials20263[[#This Row],[Jan-May Actuals]]-Financials20263[[#This Row],[Jun-Dec FC]]</f>
        <v>0</v>
      </c>
      <c r="BS7" s="6">
        <f>Financials20263[[#This Row],[Jun-Dec FC]]+Financials20263[[#This Row],[Jan-May Forecast ]]</f>
        <v>14700</v>
      </c>
      <c r="BT7" s="6">
        <f>SUM(Financials20263[[#This Row],[Jan FC]:[May FC]])</f>
        <v>0</v>
      </c>
      <c r="BU7" s="6">
        <f>Financials20263[[#This Row],[Jan-May Actuals]]+Financials20263[[#This Row],[Forecast Jun-Dec]]</f>
        <v>14700</v>
      </c>
      <c r="BV7" s="6"/>
      <c r="BW7" s="6"/>
      <c r="BX7" s="6"/>
    </row>
    <row r="8" spans="1:76" x14ac:dyDescent="0.3">
      <c r="A8" s="22" t="s">
        <v>101</v>
      </c>
      <c r="B8" s="21" t="s">
        <v>133</v>
      </c>
      <c r="C8" s="21"/>
      <c r="D8" s="10" t="s">
        <v>517</v>
      </c>
      <c r="E8" s="7" t="s">
        <v>518</v>
      </c>
      <c r="F8" s="3" t="s">
        <v>123</v>
      </c>
      <c r="G8" s="3" t="s">
        <v>50</v>
      </c>
      <c r="H8" s="104">
        <v>46120</v>
      </c>
      <c r="I8" s="104">
        <v>46484</v>
      </c>
      <c r="J8" s="3"/>
      <c r="K8" s="3" t="str">
        <f t="shared" si="0"/>
        <v>Prj000603-Implement - Cash Matching Recon Solution</v>
      </c>
      <c r="L8" s="21" t="s">
        <v>106</v>
      </c>
      <c r="M8" s="21" t="s">
        <v>7</v>
      </c>
      <c r="N8" s="21" t="s">
        <v>7</v>
      </c>
      <c r="O8" s="21"/>
      <c r="P8" s="21" t="s">
        <v>107</v>
      </c>
      <c r="Q8" s="21" t="s">
        <v>134</v>
      </c>
      <c r="R8" s="21" t="s">
        <v>135</v>
      </c>
      <c r="S8" s="21" t="s">
        <v>132</v>
      </c>
      <c r="T8" s="5"/>
      <c r="U8" s="15"/>
      <c r="V8" s="15"/>
      <c r="W8" s="15">
        <f t="shared" si="1"/>
        <v>41250</v>
      </c>
      <c r="X8" s="15">
        <f>IF(V8 &gt;= W8, V8 - W8, 0)*-1</f>
        <v>0</v>
      </c>
      <c r="Y8" s="15">
        <f>IF(W8 &gt; V8, W8 - V8, 0)</f>
        <v>41250</v>
      </c>
      <c r="Z8" s="15">
        <f>SUM(Financials20263[[#This Row],[2026 Opportunity]:[2026 Risk]])</f>
        <v>41250</v>
      </c>
      <c r="AA8" s="14" t="s">
        <v>571</v>
      </c>
      <c r="AB8" s="52"/>
      <c r="AC8" s="52"/>
      <c r="AD8" s="52"/>
      <c r="AE8" s="52">
        <v>7500</v>
      </c>
      <c r="AF8" s="52">
        <v>2400</v>
      </c>
      <c r="AG8" s="51"/>
      <c r="AH8" s="52"/>
      <c r="AI8" s="52"/>
      <c r="AJ8" s="52"/>
      <c r="AK8" s="52"/>
      <c r="AL8" s="51"/>
      <c r="AM8" s="111">
        <f>41250-7500-2400</f>
        <v>31350</v>
      </c>
      <c r="AN8" s="51">
        <f>SUM(Financials20263[[#This Row],[Jan FC]:[Dec FC]])</f>
        <v>41250</v>
      </c>
      <c r="AO8" s="15">
        <f t="shared" si="5"/>
        <v>31350</v>
      </c>
      <c r="AP8" s="61"/>
      <c r="AQ8" s="61"/>
      <c r="AR8" s="61"/>
      <c r="AS8" s="61">
        <v>7500</v>
      </c>
      <c r="AT8" s="61">
        <v>2400</v>
      </c>
      <c r="AU8" s="60"/>
      <c r="AV8" s="61"/>
      <c r="AW8" s="61"/>
      <c r="AX8" s="61"/>
      <c r="AY8" s="61"/>
      <c r="AZ8" s="60"/>
      <c r="BA8" s="60"/>
      <c r="BB8" s="79">
        <f>SUM(Financials20263[[#This Row],[Jan AC]:[Dec AC]])</f>
        <v>9900</v>
      </c>
      <c r="BC8" s="71">
        <f>Financials20263[[#This Row],[Jan AC]]-Financials20263[[#This Row],[Jan FC]]</f>
        <v>0</v>
      </c>
      <c r="BD8" s="71">
        <f>Financials20263[[#This Row],[Feb AC]]-Financials20263[[#This Row],[Feb FC]]</f>
        <v>0</v>
      </c>
      <c r="BE8" s="71">
        <f>Financials20263[[#This Row],[Mar AC]]-Financials20263[[#This Row],[Mar FC]]</f>
        <v>0</v>
      </c>
      <c r="BF8" s="71">
        <f>Financials20263[[#This Row],[Apr AC]]-Financials20263[[#This Row],[Apr FC]]</f>
        <v>0</v>
      </c>
      <c r="BG8" s="71">
        <f>Financials20263[[#This Row],[May AC]]-Financials20263[[#This Row],[May FC]]</f>
        <v>0</v>
      </c>
      <c r="BH8" s="71">
        <f>Financials20263[[#This Row],[Jun AC]]-Financials20263[[#This Row],[Jun FC]]</f>
        <v>0</v>
      </c>
      <c r="BI8" s="71">
        <f>Financials20263[[#This Row],[Jul AC]]-Financials20263[[#This Row],[Jul FC]]</f>
        <v>0</v>
      </c>
      <c r="BJ8" s="71">
        <f>Financials20263[[#This Row],[Aug AC]]-Financials20263[[#This Row],[Aug FC]]</f>
        <v>0</v>
      </c>
      <c r="BK8" s="71">
        <f>Financials20263[[#This Row],[Sep AC]]-Financials20263[[#This Row],[Sep FC]]</f>
        <v>0</v>
      </c>
      <c r="BL8" s="71">
        <f>Financials20263[[#This Row],[Oct AC]]-Financials20263[[#This Row],[Oct FC]]</f>
        <v>0</v>
      </c>
      <c r="BM8" s="71">
        <f>Financials20263[[#This Row],[Nov AC]]-Financials20263[[#This Row],[Nov FC]]</f>
        <v>0</v>
      </c>
      <c r="BN8" s="71">
        <f>Financials20263[[#This Row],[Dec AC]]-Financials20263[[#This Row],[Dec FC]]</f>
        <v>-31350</v>
      </c>
      <c r="BO8" s="71">
        <f>SUM(Financials20263[[#This Row],[Jan Opp/Risk]:[Dec Opp./Risk]])</f>
        <v>-31350</v>
      </c>
      <c r="BP8" s="87" t="s">
        <v>520</v>
      </c>
      <c r="BQ8" s="48">
        <f>SUM(Financials20263[[#This Row],[Jan AC]:[May AC]])</f>
        <v>9900</v>
      </c>
      <c r="BR8" s="6">
        <f>Financials20263[[#This Row],[2026 (Actuals + Forecast)]]-Financials20263[[#This Row],[Jan-May Actuals]]-Financials20263[[#This Row],[Jun-Dec FC]]</f>
        <v>0</v>
      </c>
      <c r="BS8" s="6">
        <f>Financials20263[[#This Row],[Jun-Dec FC]]+Financials20263[[#This Row],[Jan-May Forecast ]]</f>
        <v>31350</v>
      </c>
      <c r="BT8" s="6">
        <f>SUM(Financials20263[[#This Row],[Jan FC]:[May FC]])</f>
        <v>9900</v>
      </c>
      <c r="BU8" s="6">
        <f>Financials20263[[#This Row],[Jan-May Actuals]]+Financials20263[[#This Row],[Forecast Jun-Dec]]</f>
        <v>41250</v>
      </c>
      <c r="BV8" s="6"/>
      <c r="BW8" s="6"/>
      <c r="BX8" s="6"/>
    </row>
    <row r="9" spans="1:76" x14ac:dyDescent="0.3">
      <c r="A9" s="22" t="s">
        <v>101</v>
      </c>
      <c r="B9" s="21" t="s">
        <v>138</v>
      </c>
      <c r="C9" s="21" t="s">
        <v>139</v>
      </c>
      <c r="D9" s="10" t="s">
        <v>13</v>
      </c>
      <c r="E9" s="7" t="s">
        <v>140</v>
      </c>
      <c r="F9" s="3" t="s">
        <v>141</v>
      </c>
      <c r="G9" s="3" t="s">
        <v>52</v>
      </c>
      <c r="H9" s="4" t="s">
        <v>142</v>
      </c>
      <c r="I9" s="4" t="s">
        <v>142</v>
      </c>
      <c r="J9" s="3"/>
      <c r="K9" s="3" t="str">
        <f t="shared" si="0"/>
        <v>Prj000290-Support - Asset Management Applications</v>
      </c>
      <c r="L9" s="21" t="s">
        <v>106</v>
      </c>
      <c r="M9" s="21" t="s">
        <v>7</v>
      </c>
      <c r="N9" s="21" t="s">
        <v>7</v>
      </c>
      <c r="O9" s="21" t="s">
        <v>2</v>
      </c>
      <c r="P9" s="21" t="s">
        <v>107</v>
      </c>
      <c r="Q9" s="21" t="s">
        <v>108</v>
      </c>
      <c r="R9" s="21" t="s">
        <v>143</v>
      </c>
      <c r="S9" s="21" t="s">
        <v>144</v>
      </c>
      <c r="T9" s="5">
        <v>40000</v>
      </c>
      <c r="U9" s="15">
        <v>42000</v>
      </c>
      <c r="V9" s="15">
        <v>42000</v>
      </c>
      <c r="W9" s="15">
        <f t="shared" si="1"/>
        <v>42000</v>
      </c>
      <c r="X9" s="15">
        <f t="shared" si="7"/>
        <v>0</v>
      </c>
      <c r="Y9" s="15">
        <f t="shared" si="2"/>
        <v>0</v>
      </c>
      <c r="Z9" s="15">
        <f>SUM(Financials20263[[#This Row],[2026 Opportunity]:[2026 Risk]])</f>
        <v>0</v>
      </c>
      <c r="AA9" s="14" t="s">
        <v>145</v>
      </c>
      <c r="AB9" s="52">
        <f t="shared" ref="AB9:AL9" si="11">42000/12</f>
        <v>3500</v>
      </c>
      <c r="AC9" s="52">
        <f t="shared" si="11"/>
        <v>3500</v>
      </c>
      <c r="AD9" s="52">
        <f t="shared" si="11"/>
        <v>3500</v>
      </c>
      <c r="AE9" s="52">
        <f t="shared" si="11"/>
        <v>3500</v>
      </c>
      <c r="AF9" s="52">
        <f t="shared" si="11"/>
        <v>3500</v>
      </c>
      <c r="AG9" s="52">
        <f t="shared" si="11"/>
        <v>3500</v>
      </c>
      <c r="AH9" s="52">
        <f t="shared" si="11"/>
        <v>3500</v>
      </c>
      <c r="AI9" s="52">
        <f t="shared" si="11"/>
        <v>3500</v>
      </c>
      <c r="AJ9" s="52">
        <f t="shared" si="11"/>
        <v>3500</v>
      </c>
      <c r="AK9" s="52">
        <f t="shared" si="11"/>
        <v>3500</v>
      </c>
      <c r="AL9" s="52">
        <f t="shared" si="11"/>
        <v>3500</v>
      </c>
      <c r="AM9" s="46">
        <v>7000</v>
      </c>
      <c r="AN9" s="46">
        <f>SUM(Financials20263[[#This Row],[Jan FC]:[Dec FC]])</f>
        <v>45500</v>
      </c>
      <c r="AO9" s="15">
        <f t="shared" si="5"/>
        <v>28000</v>
      </c>
      <c r="AP9" s="61">
        <v>1000</v>
      </c>
      <c r="AQ9" s="61">
        <v>2500</v>
      </c>
      <c r="AR9" s="61"/>
      <c r="AS9" s="61"/>
      <c r="AT9" s="61"/>
      <c r="AU9" s="60"/>
      <c r="AV9" s="61"/>
      <c r="AW9" s="61"/>
      <c r="AX9" s="61"/>
      <c r="AY9" s="61"/>
      <c r="AZ9" s="60"/>
      <c r="BA9" s="60"/>
      <c r="BB9" s="79">
        <f>SUM(Financials20263[[#This Row],[Jan AC]:[Dec AC]])</f>
        <v>3500</v>
      </c>
      <c r="BC9" s="71">
        <f>Financials20263[[#This Row],[Jan AC]]-Financials20263[[#This Row],[Jan FC]]</f>
        <v>-2500</v>
      </c>
      <c r="BD9" s="71">
        <f>Financials20263[[#This Row],[Feb AC]]-Financials20263[[#This Row],[Feb FC]]</f>
        <v>-1000</v>
      </c>
      <c r="BE9" s="71">
        <f>Financials20263[[#This Row],[Mar AC]]-Financials20263[[#This Row],[Mar FC]]</f>
        <v>-3500</v>
      </c>
      <c r="BF9" s="71">
        <f>Financials20263[[#This Row],[Apr AC]]-Financials20263[[#This Row],[Apr FC]]</f>
        <v>-3500</v>
      </c>
      <c r="BG9" s="71">
        <f>Financials20263[[#This Row],[May AC]]-Financials20263[[#This Row],[May FC]]</f>
        <v>-3500</v>
      </c>
      <c r="BH9" s="71">
        <f>Financials20263[[#This Row],[Jun AC]]-Financials20263[[#This Row],[Jun FC]]</f>
        <v>-3500</v>
      </c>
      <c r="BI9" s="71">
        <f>Financials20263[[#This Row],[Jul AC]]-Financials20263[[#This Row],[Jul FC]]</f>
        <v>-3500</v>
      </c>
      <c r="BJ9" s="71">
        <f>Financials20263[[#This Row],[Aug AC]]-Financials20263[[#This Row],[Aug FC]]</f>
        <v>-3500</v>
      </c>
      <c r="BK9" s="71">
        <f>Financials20263[[#This Row],[Sep AC]]-Financials20263[[#This Row],[Sep FC]]</f>
        <v>-3500</v>
      </c>
      <c r="BL9" s="71">
        <f>Financials20263[[#This Row],[Oct AC]]-Financials20263[[#This Row],[Oct FC]]</f>
        <v>-3500</v>
      </c>
      <c r="BM9" s="71">
        <f>Financials20263[[#This Row],[Nov AC]]-Financials20263[[#This Row],[Nov FC]]</f>
        <v>-3500</v>
      </c>
      <c r="BN9" s="71">
        <f>Financials20263[[#This Row],[Dec AC]]-Financials20263[[#This Row],[Dec FC]]</f>
        <v>-7000</v>
      </c>
      <c r="BO9" s="71">
        <f>SUM(Financials20263[[#This Row],[Jan Opp/Risk]:[Dec Opp./Risk]])</f>
        <v>-42000</v>
      </c>
      <c r="BP9" s="87" t="s">
        <v>650</v>
      </c>
      <c r="BQ9" s="47">
        <f>SUM(Financials20263[[#This Row],[Jan AC]:[May AC]])</f>
        <v>3500</v>
      </c>
      <c r="BR9" s="6">
        <f>Financials20263[[#This Row],[2026 (Actuals + Forecast)]]-Financials20263[[#This Row],[Jan-May Actuals]]-Financials20263[[#This Row],[Jun-Dec FC]]</f>
        <v>10500</v>
      </c>
      <c r="BS9" s="6">
        <f>Financials20263[[#This Row],[Jun-Dec FC]]+Financials20263[[#This Row],[Jan-May Forecast ]]</f>
        <v>38500</v>
      </c>
      <c r="BT9" s="6">
        <f>SUM(Financials20263[[#This Row],[Jan FC]:[May FC]])</f>
        <v>17500</v>
      </c>
      <c r="BU9" s="6">
        <f>Financials20263[[#This Row],[Jan-May Actuals]]+Financials20263[[#This Row],[Forecast Jun-Dec]]</f>
        <v>42000</v>
      </c>
      <c r="BV9" s="6"/>
      <c r="BW9" s="6"/>
      <c r="BX9" s="6"/>
    </row>
    <row r="10" spans="1:76" x14ac:dyDescent="0.3">
      <c r="A10" s="22" t="s">
        <v>101</v>
      </c>
      <c r="B10" s="21" t="s">
        <v>57</v>
      </c>
      <c r="C10" s="21"/>
      <c r="D10" s="10" t="s">
        <v>17</v>
      </c>
      <c r="E10" s="7" t="s">
        <v>103</v>
      </c>
      <c r="F10" s="3" t="s">
        <v>104</v>
      </c>
      <c r="G10" s="3" t="s">
        <v>49</v>
      </c>
      <c r="H10" s="4" t="s">
        <v>142</v>
      </c>
      <c r="I10" s="4" t="s">
        <v>142</v>
      </c>
      <c r="J10" s="3"/>
      <c r="K10" s="3" t="str">
        <f t="shared" si="0"/>
        <v>Prj000350-Support - Infrastructure for Tech</v>
      </c>
      <c r="L10" s="21" t="s">
        <v>106</v>
      </c>
      <c r="M10" s="21" t="s">
        <v>4</v>
      </c>
      <c r="N10" s="21" t="s">
        <v>4</v>
      </c>
      <c r="O10" s="21"/>
      <c r="P10" s="21" t="s">
        <v>107</v>
      </c>
      <c r="Q10" s="21" t="s">
        <v>146</v>
      </c>
      <c r="R10" s="21" t="s">
        <v>146</v>
      </c>
      <c r="S10" s="21" t="s">
        <v>129</v>
      </c>
      <c r="T10" s="5">
        <v>237545.39</v>
      </c>
      <c r="U10" s="15">
        <v>180000</v>
      </c>
      <c r="V10" s="15">
        <v>180000</v>
      </c>
      <c r="W10" s="15">
        <f t="shared" si="1"/>
        <v>165100.70000000001</v>
      </c>
      <c r="X10" s="15">
        <f t="shared" si="7"/>
        <v>-14899.299999999988</v>
      </c>
      <c r="Y10" s="15">
        <f t="shared" si="2"/>
        <v>0</v>
      </c>
      <c r="Z10" s="15">
        <f>SUM(Financials20263[[#This Row],[2026 Opportunity]:[2026 Risk]])</f>
        <v>-14899.299999999988</v>
      </c>
      <c r="AA10" s="3" t="s">
        <v>147</v>
      </c>
      <c r="AB10" s="52">
        <v>15000</v>
      </c>
      <c r="AC10" s="52">
        <v>15000</v>
      </c>
      <c r="AD10" s="52">
        <v>15000</v>
      </c>
      <c r="AE10" s="52">
        <v>15000</v>
      </c>
      <c r="AF10" s="52">
        <v>15000</v>
      </c>
      <c r="AG10" s="52">
        <v>15725</v>
      </c>
      <c r="AH10" s="52">
        <v>15725</v>
      </c>
      <c r="AI10" s="52">
        <v>15725</v>
      </c>
      <c r="AJ10" s="52">
        <v>15725</v>
      </c>
      <c r="AK10" s="52">
        <v>15725</v>
      </c>
      <c r="AL10" s="52">
        <v>15725</v>
      </c>
      <c r="AM10" s="52">
        <v>15725</v>
      </c>
      <c r="AN10" s="46">
        <f>SUM(Financials20263[[#This Row],[Jan FC]:[Dec FC]])</f>
        <v>185075</v>
      </c>
      <c r="AO10" s="15">
        <f t="shared" si="5"/>
        <v>110075</v>
      </c>
      <c r="AP10" s="61">
        <v>11005.14</v>
      </c>
      <c r="AQ10" s="61">
        <v>11005.14</v>
      </c>
      <c r="AR10" s="61">
        <v>11005.14</v>
      </c>
      <c r="AS10" s="61">
        <v>11005.14</v>
      </c>
      <c r="AT10" s="61">
        <v>11005.14</v>
      </c>
      <c r="AU10" s="61"/>
      <c r="AV10" s="61"/>
      <c r="AW10" s="61"/>
      <c r="AX10" s="61"/>
      <c r="AY10" s="61"/>
      <c r="AZ10" s="61"/>
      <c r="BA10" s="61"/>
      <c r="BB10" s="80">
        <f>SUM(Financials20263[[#This Row],[Jan AC]:[Dec AC]])</f>
        <v>55025.7</v>
      </c>
      <c r="BC10" s="71">
        <f>Financials20263[[#This Row],[Jan AC]]-Financials20263[[#This Row],[Jan FC]]</f>
        <v>-3994.8600000000006</v>
      </c>
      <c r="BD10" s="71">
        <f>Financials20263[[#This Row],[Feb AC]]-Financials20263[[#This Row],[Feb FC]]</f>
        <v>-3994.8600000000006</v>
      </c>
      <c r="BE10" s="71">
        <f>Financials20263[[#This Row],[Mar AC]]-Financials20263[[#This Row],[Mar FC]]</f>
        <v>-3994.8600000000006</v>
      </c>
      <c r="BF10" s="71">
        <f>Financials20263[[#This Row],[Apr AC]]-Financials20263[[#This Row],[Apr FC]]</f>
        <v>-3994.8600000000006</v>
      </c>
      <c r="BG10" s="71">
        <f>Financials20263[[#This Row],[May AC]]-Financials20263[[#This Row],[May FC]]</f>
        <v>-3994.8600000000006</v>
      </c>
      <c r="BH10" s="71">
        <f>Financials20263[[#This Row],[Jun AC]]-Financials20263[[#This Row],[Jun FC]]</f>
        <v>-15725</v>
      </c>
      <c r="BI10" s="71">
        <f>Financials20263[[#This Row],[Jul AC]]-Financials20263[[#This Row],[Jul FC]]</f>
        <v>-15725</v>
      </c>
      <c r="BJ10" s="71">
        <f>Financials20263[[#This Row],[Aug AC]]-Financials20263[[#This Row],[Aug FC]]</f>
        <v>-15725</v>
      </c>
      <c r="BK10" s="71">
        <f>Financials20263[[#This Row],[Sep AC]]-Financials20263[[#This Row],[Sep FC]]</f>
        <v>-15725</v>
      </c>
      <c r="BL10" s="71">
        <f>Financials20263[[#This Row],[Oct AC]]-Financials20263[[#This Row],[Oct FC]]</f>
        <v>-15725</v>
      </c>
      <c r="BM10" s="71">
        <f>Financials20263[[#This Row],[Nov AC]]-Financials20263[[#This Row],[Nov FC]]</f>
        <v>-15725</v>
      </c>
      <c r="BN10" s="71">
        <f>Financials20263[[#This Row],[Dec AC]]-Financials20263[[#This Row],[Dec FC]]</f>
        <v>-15725</v>
      </c>
      <c r="BO10" s="71">
        <f>SUM(Financials20263[[#This Row],[Jan Opp/Risk]:[Dec Opp./Risk]])</f>
        <v>-130049.3</v>
      </c>
      <c r="BP10" s="88" t="s">
        <v>597</v>
      </c>
      <c r="BQ10" s="47">
        <f>SUM(Financials20263[[#This Row],[Jan AC]:[May AC]])</f>
        <v>55025.7</v>
      </c>
      <c r="BR10" s="6">
        <f>Financials20263[[#This Row],[2026 (Actuals + Forecast)]]-Financials20263[[#This Row],[Jan-May Actuals]]-Financials20263[[#This Row],[Jun-Dec FC]]</f>
        <v>0</v>
      </c>
      <c r="BS10" s="6">
        <f>Financials20263[[#This Row],[Jun-Dec FC]]+Financials20263[[#This Row],[Jan-May Forecast ]]</f>
        <v>110075</v>
      </c>
      <c r="BT10" s="6">
        <f>SUM(Financials20263[[#This Row],[Jan FC]:[May FC]])</f>
        <v>75000</v>
      </c>
      <c r="BU10" s="6">
        <f>Financials20263[[#This Row],[Jan-May Actuals]]+Financials20263[[#This Row],[Forecast Jun-Dec]]</f>
        <v>165100.70000000001</v>
      </c>
      <c r="BV10" s="6"/>
      <c r="BW10" s="6"/>
      <c r="BX10" s="6"/>
    </row>
    <row r="11" spans="1:76" x14ac:dyDescent="0.3">
      <c r="A11" s="22" t="s">
        <v>101</v>
      </c>
      <c r="B11" s="21" t="s">
        <v>63</v>
      </c>
      <c r="C11" s="21"/>
      <c r="D11" s="10" t="s">
        <v>17</v>
      </c>
      <c r="E11" s="7" t="s">
        <v>103</v>
      </c>
      <c r="F11" s="3" t="s">
        <v>104</v>
      </c>
      <c r="G11" s="3" t="s">
        <v>49</v>
      </c>
      <c r="H11" s="4" t="s">
        <v>142</v>
      </c>
      <c r="I11" s="4" t="s">
        <v>142</v>
      </c>
      <c r="J11" s="3"/>
      <c r="K11" s="3" t="str">
        <f t="shared" si="0"/>
        <v>Prj000350-Support - Infrastructure for Tech</v>
      </c>
      <c r="L11" s="21" t="s">
        <v>106</v>
      </c>
      <c r="M11" s="21" t="s">
        <v>4</v>
      </c>
      <c r="N11" s="21" t="s">
        <v>4</v>
      </c>
      <c r="O11" s="21" t="s">
        <v>148</v>
      </c>
      <c r="P11" s="21" t="s">
        <v>107</v>
      </c>
      <c r="Q11" s="21" t="s">
        <v>146</v>
      </c>
      <c r="R11" s="21" t="s">
        <v>146</v>
      </c>
      <c r="S11" s="21" t="s">
        <v>129</v>
      </c>
      <c r="T11" s="5">
        <v>32767</v>
      </c>
      <c r="U11" s="15">
        <v>35314</v>
      </c>
      <c r="V11" s="15">
        <v>35314</v>
      </c>
      <c r="W11" s="15">
        <f t="shared" si="1"/>
        <v>35702.549999999996</v>
      </c>
      <c r="X11" s="15">
        <f t="shared" si="7"/>
        <v>0</v>
      </c>
      <c r="Y11" s="15">
        <f t="shared" si="2"/>
        <v>388.54999999999563</v>
      </c>
      <c r="Z11" s="15">
        <f>SUM(Financials20263[[#This Row],[2026 Opportunity]:[2026 Risk]])</f>
        <v>388.54999999999563</v>
      </c>
      <c r="AA11" s="3" t="s">
        <v>120</v>
      </c>
      <c r="AB11" s="52">
        <v>2943</v>
      </c>
      <c r="AC11" s="52">
        <v>2943</v>
      </c>
      <c r="AD11" s="52">
        <v>2943</v>
      </c>
      <c r="AE11" s="52">
        <v>2943</v>
      </c>
      <c r="AF11" s="52">
        <v>2943</v>
      </c>
      <c r="AG11" s="52">
        <v>2943</v>
      </c>
      <c r="AH11" s="52">
        <v>2943</v>
      </c>
      <c r="AI11" s="52">
        <v>2943</v>
      </c>
      <c r="AJ11" s="52">
        <v>2943</v>
      </c>
      <c r="AK11" s="52">
        <v>2943</v>
      </c>
      <c r="AL11" s="52">
        <v>2943</v>
      </c>
      <c r="AM11" s="52">
        <f>2943-2</f>
        <v>2941</v>
      </c>
      <c r="AN11" s="46">
        <f>SUM(Financials20263[[#This Row],[Jan FC]:[Dec FC]])</f>
        <v>35314</v>
      </c>
      <c r="AO11" s="15">
        <f t="shared" si="5"/>
        <v>20599</v>
      </c>
      <c r="AP11" s="61">
        <f>650+902.71+1250</f>
        <v>2802.71</v>
      </c>
      <c r="AQ11" s="61">
        <v>2802.71</v>
      </c>
      <c r="AR11" s="61">
        <v>2802.71</v>
      </c>
      <c r="AS11" s="61">
        <f>1300+1540+902.71</f>
        <v>3742.71</v>
      </c>
      <c r="AT11" s="61">
        <f>902.71+1300+750</f>
        <v>2952.71</v>
      </c>
      <c r="AU11" s="61">
        <f>1300+902.71+750</f>
        <v>2952.71</v>
      </c>
      <c r="AV11" s="61"/>
      <c r="AW11" s="61"/>
      <c r="AX11" s="61"/>
      <c r="AY11" s="61"/>
      <c r="AZ11" s="61"/>
      <c r="BA11" s="61"/>
      <c r="BB11" s="80">
        <f>SUM(Financials20263[[#This Row],[Jan AC]:[Dec AC]])</f>
        <v>18056.259999999998</v>
      </c>
      <c r="BC11" s="71">
        <f>Financials20263[[#This Row],[Jan AC]]-Financials20263[[#This Row],[Jan FC]]</f>
        <v>-140.28999999999996</v>
      </c>
      <c r="BD11" s="71">
        <f>Financials20263[[#This Row],[Feb AC]]-Financials20263[[#This Row],[Feb FC]]</f>
        <v>-140.28999999999996</v>
      </c>
      <c r="BE11" s="71">
        <f>Financials20263[[#This Row],[Mar AC]]-Financials20263[[#This Row],[Mar FC]]</f>
        <v>-140.28999999999996</v>
      </c>
      <c r="BF11" s="71">
        <f>Financials20263[[#This Row],[Apr AC]]-Financials20263[[#This Row],[Apr FC]]</f>
        <v>799.71</v>
      </c>
      <c r="BG11" s="71">
        <f>Financials20263[[#This Row],[May AC]]-Financials20263[[#This Row],[May FC]]</f>
        <v>9.7100000000000364</v>
      </c>
      <c r="BH11" s="71">
        <f>Financials20263[[#This Row],[Jun AC]]-Financials20263[[#This Row],[Jun FC]]</f>
        <v>9.7100000000000364</v>
      </c>
      <c r="BI11" s="71">
        <f>Financials20263[[#This Row],[Jul AC]]-Financials20263[[#This Row],[Jul FC]]</f>
        <v>-2943</v>
      </c>
      <c r="BJ11" s="71">
        <f>Financials20263[[#This Row],[Aug AC]]-Financials20263[[#This Row],[Aug FC]]</f>
        <v>-2943</v>
      </c>
      <c r="BK11" s="71">
        <f>Financials20263[[#This Row],[Sep AC]]-Financials20263[[#This Row],[Sep FC]]</f>
        <v>-2943</v>
      </c>
      <c r="BL11" s="71">
        <f>Financials20263[[#This Row],[Oct AC]]-Financials20263[[#This Row],[Oct FC]]</f>
        <v>-2943</v>
      </c>
      <c r="BM11" s="71">
        <f>Financials20263[[#This Row],[Nov AC]]-Financials20263[[#This Row],[Nov FC]]</f>
        <v>-2943</v>
      </c>
      <c r="BN11" s="71">
        <f>Financials20263[[#This Row],[Dec AC]]-Financials20263[[#This Row],[Dec FC]]</f>
        <v>-2941</v>
      </c>
      <c r="BO11" s="71">
        <f>SUM(Financials20263[[#This Row],[Jan Opp/Risk]:[Dec Opp./Risk]])</f>
        <v>-17257.739999999998</v>
      </c>
      <c r="BP11" s="87" t="s">
        <v>519</v>
      </c>
      <c r="BQ11" s="47">
        <f>SUM(Financials20263[[#This Row],[Jan AC]:[May AC]])</f>
        <v>15103.55</v>
      </c>
      <c r="BR11" s="6">
        <f>Financials20263[[#This Row],[2026 (Actuals + Forecast)]]-Financials20263[[#This Row],[Jan-May Actuals]]-Financials20263[[#This Row],[Jun-Dec FC]]</f>
        <v>0</v>
      </c>
      <c r="BS11" s="6">
        <f>Financials20263[[#This Row],[Jun-Dec FC]]+Financials20263[[#This Row],[Jan-May Forecast ]]</f>
        <v>20599</v>
      </c>
      <c r="BT11" s="6">
        <f>SUM(Financials20263[[#This Row],[Jan FC]:[May FC]])</f>
        <v>14715</v>
      </c>
      <c r="BU11" s="6">
        <f>Financials20263[[#This Row],[Jan-May Actuals]]+Financials20263[[#This Row],[Forecast Jun-Dec]]</f>
        <v>35702.550000000003</v>
      </c>
      <c r="BV11" s="6"/>
      <c r="BW11" s="6"/>
      <c r="BX11" s="6"/>
    </row>
    <row r="12" spans="1:76" x14ac:dyDescent="0.3">
      <c r="A12" s="22" t="s">
        <v>101</v>
      </c>
      <c r="B12" s="21" t="s">
        <v>65</v>
      </c>
      <c r="C12" s="21" t="s">
        <v>149</v>
      </c>
      <c r="D12" s="10" t="s">
        <v>17</v>
      </c>
      <c r="E12" s="7" t="s">
        <v>103</v>
      </c>
      <c r="F12" s="3" t="s">
        <v>104</v>
      </c>
      <c r="G12" s="3" t="s">
        <v>49</v>
      </c>
      <c r="H12" s="4" t="s">
        <v>142</v>
      </c>
      <c r="I12" s="4" t="s">
        <v>142</v>
      </c>
      <c r="J12" s="3"/>
      <c r="K12" s="3" t="str">
        <f t="shared" si="0"/>
        <v>Prj000350-Support - Infrastructure for Tech</v>
      </c>
      <c r="L12" s="21" t="s">
        <v>106</v>
      </c>
      <c r="M12" s="21" t="s">
        <v>4</v>
      </c>
      <c r="N12" s="21" t="s">
        <v>4</v>
      </c>
      <c r="O12" s="21" t="s">
        <v>148</v>
      </c>
      <c r="P12" s="21" t="s">
        <v>107</v>
      </c>
      <c r="Q12" s="21" t="s">
        <v>146</v>
      </c>
      <c r="R12" s="21" t="s">
        <v>146</v>
      </c>
      <c r="S12" s="21" t="s">
        <v>129</v>
      </c>
      <c r="T12" s="5">
        <v>23746</v>
      </c>
      <c r="U12" s="15">
        <v>25439</v>
      </c>
      <c r="V12" s="15">
        <v>25439</v>
      </c>
      <c r="W12" s="15">
        <f t="shared" si="1"/>
        <v>24935.936666666668</v>
      </c>
      <c r="X12" s="15">
        <f t="shared" si="7"/>
        <v>-503.06333333333168</v>
      </c>
      <c r="Y12" s="15">
        <f t="shared" si="2"/>
        <v>0</v>
      </c>
      <c r="Z12" s="15">
        <f>SUM(Financials20263[[#This Row],[2026 Opportunity]:[2026 Risk]])</f>
        <v>-503.06333333333168</v>
      </c>
      <c r="AA12" s="3" t="s">
        <v>120</v>
      </c>
      <c r="AB12" s="52">
        <f>Financials20263[[#This Row],[2026 Final Budget]]/12</f>
        <v>2119.9166666666665</v>
      </c>
      <c r="AC12" s="52">
        <f>Financials20263[[#This Row],[2026 Final Budget]]/12</f>
        <v>2119.9166666666665</v>
      </c>
      <c r="AD12" s="52">
        <f>Financials20263[[#This Row],[2026 Final Budget]]/12</f>
        <v>2119.9166666666665</v>
      </c>
      <c r="AE12" s="52">
        <f>Financials20263[[#This Row],[2026 Final Budget]]/12</f>
        <v>2119.9166666666665</v>
      </c>
      <c r="AF12" s="52">
        <f>Financials20263[[#This Row],[2026 Final Budget]]/12</f>
        <v>2119.9166666666665</v>
      </c>
      <c r="AG12" s="52">
        <f>Financials20263[[#This Row],[2026 Final Budget]]/12</f>
        <v>2119.9166666666665</v>
      </c>
      <c r="AH12" s="52">
        <f>Financials20263[[#This Row],[2026 Final Budget]]/12</f>
        <v>2119.9166666666665</v>
      </c>
      <c r="AI12" s="52">
        <f>Financials20263[[#This Row],[2026 Final Budget]]/12</f>
        <v>2119.9166666666665</v>
      </c>
      <c r="AJ12" s="52">
        <f>Financials20263[[#This Row],[2026 Final Budget]]/12</f>
        <v>2119.9166666666665</v>
      </c>
      <c r="AK12" s="52">
        <f>Financials20263[[#This Row],[2026 Final Budget]]/12</f>
        <v>2119.9166666666665</v>
      </c>
      <c r="AL12" s="52">
        <f>Financials20263[[#This Row],[2026 Final Budget]]/12</f>
        <v>2119.9166666666665</v>
      </c>
      <c r="AM12" s="52">
        <f>Financials20263[[#This Row],[2026 Final Budget]]/12</f>
        <v>2119.9166666666665</v>
      </c>
      <c r="AN12" s="52">
        <f>SUM(Financials20263[[#This Row],[Jan FC]:[Dec FC]])</f>
        <v>25439.000000000004</v>
      </c>
      <c r="AO12" s="15">
        <f t="shared" si="5"/>
        <v>14839.416666666664</v>
      </c>
      <c r="AP12" s="61">
        <v>2019.14</v>
      </c>
      <c r="AQ12" s="61">
        <v>2019.24</v>
      </c>
      <c r="AR12" s="61">
        <v>2019.24</v>
      </c>
      <c r="AS12" s="61">
        <v>2019.45</v>
      </c>
      <c r="AT12" s="61">
        <v>2019.45</v>
      </c>
      <c r="AU12" s="61">
        <v>2019.45</v>
      </c>
      <c r="AV12" s="61"/>
      <c r="AW12" s="61"/>
      <c r="AX12" s="61"/>
      <c r="AY12" s="61"/>
      <c r="AZ12" s="61"/>
      <c r="BA12" s="61"/>
      <c r="BB12" s="80">
        <f>SUM(Financials20263[[#This Row],[Jan AC]:[Dec AC]])</f>
        <v>12115.970000000001</v>
      </c>
      <c r="BC12" s="71">
        <f>Financials20263[[#This Row],[Jan AC]]-Financials20263[[#This Row],[Jan FC]]</f>
        <v>-100.77666666666642</v>
      </c>
      <c r="BD12" s="71">
        <f>Financials20263[[#This Row],[Feb AC]]-Financials20263[[#This Row],[Feb FC]]</f>
        <v>-100.67666666666651</v>
      </c>
      <c r="BE12" s="71">
        <f>Financials20263[[#This Row],[Mar AC]]-Financials20263[[#This Row],[Mar FC]]</f>
        <v>-100.67666666666651</v>
      </c>
      <c r="BF12" s="71">
        <f>Financials20263[[#This Row],[Apr AC]]-Financials20263[[#This Row],[Apr FC]]</f>
        <v>-100.46666666666647</v>
      </c>
      <c r="BG12" s="71">
        <f>Financials20263[[#This Row],[May AC]]-Financials20263[[#This Row],[May FC]]</f>
        <v>-100.46666666666647</v>
      </c>
      <c r="BH12" s="71">
        <f>Financials20263[[#This Row],[Jun AC]]-Financials20263[[#This Row],[Jun FC]]</f>
        <v>-100.46666666666647</v>
      </c>
      <c r="BI12" s="71">
        <f>Financials20263[[#This Row],[Jul AC]]-Financials20263[[#This Row],[Jul FC]]</f>
        <v>-2119.9166666666665</v>
      </c>
      <c r="BJ12" s="71">
        <f>Financials20263[[#This Row],[Aug AC]]-Financials20263[[#This Row],[Aug FC]]</f>
        <v>-2119.9166666666665</v>
      </c>
      <c r="BK12" s="71">
        <f>Financials20263[[#This Row],[Sep AC]]-Financials20263[[#This Row],[Sep FC]]</f>
        <v>-2119.9166666666665</v>
      </c>
      <c r="BL12" s="71">
        <f>Financials20263[[#This Row],[Oct AC]]-Financials20263[[#This Row],[Oct FC]]</f>
        <v>-2119.9166666666665</v>
      </c>
      <c r="BM12" s="71">
        <f>Financials20263[[#This Row],[Nov AC]]-Financials20263[[#This Row],[Nov FC]]</f>
        <v>-2119.9166666666665</v>
      </c>
      <c r="BN12" s="71">
        <f>Financials20263[[#This Row],[Dec AC]]-Financials20263[[#This Row],[Dec FC]]</f>
        <v>-2119.9166666666665</v>
      </c>
      <c r="BO12" s="71">
        <f>SUM(Financials20263[[#This Row],[Jan Opp/Risk]:[Dec Opp./Risk]])</f>
        <v>-13323.029999999997</v>
      </c>
      <c r="BP12" s="87" t="s">
        <v>519</v>
      </c>
      <c r="BQ12" s="47">
        <f>SUM(Financials20263[[#This Row],[Jan AC]:[May AC]])</f>
        <v>10096.52</v>
      </c>
      <c r="BR12" s="6">
        <f>Financials20263[[#This Row],[2026 (Actuals + Forecast)]]-Financials20263[[#This Row],[Jan-May Actuals]]-Financials20263[[#This Row],[Jun-Dec FC]]</f>
        <v>0</v>
      </c>
      <c r="BS12" s="6">
        <f>Financials20263[[#This Row],[Jun-Dec FC]]+Financials20263[[#This Row],[Jan-May Forecast ]]</f>
        <v>14839.416666666664</v>
      </c>
      <c r="BT12" s="6">
        <f>SUM(Financials20263[[#This Row],[Jan FC]:[May FC]])</f>
        <v>10599.583333333332</v>
      </c>
      <c r="BU12" s="6">
        <f>Financials20263[[#This Row],[Jan-May Actuals]]+Financials20263[[#This Row],[Forecast Jun-Dec]]</f>
        <v>24935.936666666665</v>
      </c>
      <c r="BV12" s="6"/>
      <c r="BW12" s="6"/>
      <c r="BX12" s="6"/>
    </row>
    <row r="13" spans="1:76" x14ac:dyDescent="0.3">
      <c r="A13" s="22" t="s">
        <v>101</v>
      </c>
      <c r="B13" s="21" t="s">
        <v>60</v>
      </c>
      <c r="C13" s="21"/>
      <c r="D13" s="10" t="s">
        <v>17</v>
      </c>
      <c r="E13" s="7" t="s">
        <v>103</v>
      </c>
      <c r="F13" s="3" t="s">
        <v>104</v>
      </c>
      <c r="G13" s="3" t="s">
        <v>49</v>
      </c>
      <c r="H13" s="4">
        <v>45658</v>
      </c>
      <c r="I13" s="4">
        <v>46022</v>
      </c>
      <c r="J13" s="3"/>
      <c r="K13" s="3" t="str">
        <f t="shared" si="0"/>
        <v>Prj000350-Support - Infrastructure for Tech</v>
      </c>
      <c r="L13" s="21" t="s">
        <v>106</v>
      </c>
      <c r="M13" s="21" t="s">
        <v>4</v>
      </c>
      <c r="N13" s="21" t="s">
        <v>4</v>
      </c>
      <c r="O13" s="21" t="s">
        <v>150</v>
      </c>
      <c r="P13" s="21" t="s">
        <v>151</v>
      </c>
      <c r="Q13" s="21" t="s">
        <v>152</v>
      </c>
      <c r="R13" s="21" t="s">
        <v>153</v>
      </c>
      <c r="S13" s="21" t="s">
        <v>154</v>
      </c>
      <c r="T13" s="5">
        <v>2726</v>
      </c>
      <c r="U13" s="15">
        <v>2863</v>
      </c>
      <c r="V13" s="15">
        <v>2863</v>
      </c>
      <c r="W13" s="15">
        <f t="shared" si="1"/>
        <v>2863</v>
      </c>
      <c r="X13" s="15">
        <f t="shared" si="7"/>
        <v>0</v>
      </c>
      <c r="Y13" s="15">
        <f t="shared" si="2"/>
        <v>0</v>
      </c>
      <c r="Z13" s="15">
        <f>SUM(Financials20263[[#This Row],[2026 Opportunity]:[2026 Risk]])</f>
        <v>0</v>
      </c>
      <c r="AA13" s="3"/>
      <c r="AB13" s="52"/>
      <c r="AC13" s="52"/>
      <c r="AD13" s="52">
        <v>715.75</v>
      </c>
      <c r="AE13" s="52"/>
      <c r="AF13" s="52"/>
      <c r="AG13" s="52">
        <v>715.75</v>
      </c>
      <c r="AH13" s="52"/>
      <c r="AI13" s="52"/>
      <c r="AJ13" s="52">
        <v>715.75</v>
      </c>
      <c r="AK13" s="52"/>
      <c r="AL13" s="52"/>
      <c r="AM13" s="52">
        <v>715.75</v>
      </c>
      <c r="AN13" s="52">
        <f>SUM(Financials20263[[#This Row],[Jan FC]:[Dec FC]])</f>
        <v>2863</v>
      </c>
      <c r="AO13" s="15">
        <f t="shared" si="5"/>
        <v>2147.25</v>
      </c>
      <c r="AP13" s="61"/>
      <c r="AQ13" s="61"/>
      <c r="AR13" s="61"/>
      <c r="AS13" s="61"/>
      <c r="AT13" s="61"/>
      <c r="AU13" s="61"/>
      <c r="AV13" s="61"/>
      <c r="AW13" s="61"/>
      <c r="AX13" s="61"/>
      <c r="AY13" s="61"/>
      <c r="AZ13" s="61"/>
      <c r="BA13" s="61"/>
      <c r="BB13" s="80">
        <f>SUM(Financials20263[[#This Row],[Jan AC]:[Dec AC]])</f>
        <v>0</v>
      </c>
      <c r="BC13" s="71">
        <f>Financials20263[[#This Row],[Jan AC]]-Financials20263[[#This Row],[Jan FC]]</f>
        <v>0</v>
      </c>
      <c r="BD13" s="71">
        <f>Financials20263[[#This Row],[Feb AC]]-Financials20263[[#This Row],[Feb FC]]</f>
        <v>0</v>
      </c>
      <c r="BE13" s="71">
        <f>Financials20263[[#This Row],[Mar AC]]-Financials20263[[#This Row],[Mar FC]]</f>
        <v>-715.75</v>
      </c>
      <c r="BF13" s="71">
        <f>Financials20263[[#This Row],[Apr AC]]-Financials20263[[#This Row],[Apr FC]]</f>
        <v>0</v>
      </c>
      <c r="BG13" s="71">
        <f>Financials20263[[#This Row],[May AC]]-Financials20263[[#This Row],[May FC]]</f>
        <v>0</v>
      </c>
      <c r="BH13" s="71">
        <f>Financials20263[[#This Row],[Jun AC]]-Financials20263[[#This Row],[Jun FC]]</f>
        <v>-715.75</v>
      </c>
      <c r="BI13" s="71">
        <f>Financials20263[[#This Row],[Jul AC]]-Financials20263[[#This Row],[Jul FC]]</f>
        <v>0</v>
      </c>
      <c r="BJ13" s="71">
        <f>Financials20263[[#This Row],[Aug AC]]-Financials20263[[#This Row],[Aug FC]]</f>
        <v>0</v>
      </c>
      <c r="BK13" s="71">
        <f>Financials20263[[#This Row],[Sep AC]]-Financials20263[[#This Row],[Sep FC]]</f>
        <v>-715.75</v>
      </c>
      <c r="BL13" s="71">
        <f>Financials20263[[#This Row],[Oct AC]]-Financials20263[[#This Row],[Oct FC]]</f>
        <v>0</v>
      </c>
      <c r="BM13" s="71">
        <f>Financials20263[[#This Row],[Nov AC]]-Financials20263[[#This Row],[Nov FC]]</f>
        <v>0</v>
      </c>
      <c r="BN13" s="71">
        <f>Financials20263[[#This Row],[Dec AC]]-Financials20263[[#This Row],[Dec FC]]</f>
        <v>-715.75</v>
      </c>
      <c r="BO13" s="71">
        <f>SUM(Financials20263[[#This Row],[Jan Opp/Risk]:[Dec Opp./Risk]])</f>
        <v>-2863</v>
      </c>
      <c r="BP13" s="88"/>
      <c r="BQ13" s="47">
        <f>SUM(Financials20263[[#This Row],[Jan AC]:[May AC]])</f>
        <v>0</v>
      </c>
      <c r="BR13" s="6">
        <f>Financials20263[[#This Row],[2026 (Actuals + Forecast)]]-Financials20263[[#This Row],[Jan-May Actuals]]-Financials20263[[#This Row],[Jun-Dec FC]]</f>
        <v>715.75</v>
      </c>
      <c r="BS13" s="6">
        <f>Financials20263[[#This Row],[Jun-Dec FC]]+Financials20263[[#This Row],[Jan-May Forecast ]]</f>
        <v>2863</v>
      </c>
      <c r="BT13" s="6">
        <f>SUM(Financials20263[[#This Row],[Jan FC]:[May FC]])</f>
        <v>715.75</v>
      </c>
      <c r="BU13" s="6">
        <f>Financials20263[[#This Row],[Jan-May Actuals]]+Financials20263[[#This Row],[Forecast Jun-Dec]]</f>
        <v>2863</v>
      </c>
      <c r="BV13" s="6"/>
      <c r="BW13" s="6"/>
      <c r="BX13" s="6"/>
    </row>
    <row r="14" spans="1:76" x14ac:dyDescent="0.3">
      <c r="A14" s="22" t="s">
        <v>101</v>
      </c>
      <c r="B14" s="21" t="s">
        <v>72</v>
      </c>
      <c r="C14" s="21"/>
      <c r="D14" s="10" t="s">
        <v>17</v>
      </c>
      <c r="E14" s="7" t="s">
        <v>103</v>
      </c>
      <c r="F14" s="3" t="s">
        <v>104</v>
      </c>
      <c r="G14" s="3" t="s">
        <v>49</v>
      </c>
      <c r="H14" s="4">
        <v>45947</v>
      </c>
      <c r="I14" s="4">
        <v>46311</v>
      </c>
      <c r="J14" s="3" t="s">
        <v>155</v>
      </c>
      <c r="K14" s="3" t="str">
        <f t="shared" si="0"/>
        <v>Prj000350-Support - Infrastructure for Tech</v>
      </c>
      <c r="L14" s="21" t="s">
        <v>106</v>
      </c>
      <c r="M14" s="21" t="s">
        <v>4</v>
      </c>
      <c r="N14" s="21" t="s">
        <v>4</v>
      </c>
      <c r="O14" s="21"/>
      <c r="P14" s="21" t="s">
        <v>151</v>
      </c>
      <c r="Q14" s="21" t="s">
        <v>152</v>
      </c>
      <c r="R14" s="21" t="s">
        <v>153</v>
      </c>
      <c r="S14" s="21" t="s">
        <v>132</v>
      </c>
      <c r="T14" s="5">
        <v>14686</v>
      </c>
      <c r="U14" s="15">
        <v>15750</v>
      </c>
      <c r="V14" s="15">
        <v>15750</v>
      </c>
      <c r="W14" s="15">
        <f t="shared" si="1"/>
        <v>15750</v>
      </c>
      <c r="X14" s="15">
        <f t="shared" si="7"/>
        <v>0</v>
      </c>
      <c r="Y14" s="15">
        <f t="shared" si="2"/>
        <v>0</v>
      </c>
      <c r="Z14" s="15">
        <f>SUM(Financials20263[[#This Row],[2026 Opportunity]:[2026 Risk]])</f>
        <v>0</v>
      </c>
      <c r="AA14" s="3" t="s">
        <v>156</v>
      </c>
      <c r="AB14" s="52"/>
      <c r="AC14" s="52"/>
      <c r="AD14" s="52"/>
      <c r="AE14" s="52"/>
      <c r="AF14" s="52"/>
      <c r="AG14" s="52"/>
      <c r="AH14" s="52"/>
      <c r="AI14" s="52"/>
      <c r="AJ14" s="52"/>
      <c r="AK14" s="52">
        <v>15750</v>
      </c>
      <c r="AL14" s="52"/>
      <c r="AM14" s="52"/>
      <c r="AN14" s="52">
        <f>SUM(Financials20263[[#This Row],[Jan FC]:[Dec FC]])</f>
        <v>15750</v>
      </c>
      <c r="AO14" s="15">
        <f t="shared" si="5"/>
        <v>15750</v>
      </c>
      <c r="AP14" s="61"/>
      <c r="AQ14" s="61"/>
      <c r="AR14" s="61"/>
      <c r="AS14" s="61"/>
      <c r="AT14" s="61"/>
      <c r="AU14" s="61"/>
      <c r="AV14" s="61"/>
      <c r="AW14" s="61"/>
      <c r="AX14" s="61"/>
      <c r="AY14" s="61"/>
      <c r="AZ14" s="61"/>
      <c r="BA14" s="61"/>
      <c r="BB14" s="80">
        <f>SUM(Financials20263[[#This Row],[Jan AC]:[Dec AC]])</f>
        <v>0</v>
      </c>
      <c r="BC14" s="71">
        <f>Financials20263[[#This Row],[Jan AC]]-Financials20263[[#This Row],[Jan FC]]</f>
        <v>0</v>
      </c>
      <c r="BD14" s="71">
        <f>Financials20263[[#This Row],[Feb AC]]-Financials20263[[#This Row],[Feb FC]]</f>
        <v>0</v>
      </c>
      <c r="BE14" s="71">
        <f>Financials20263[[#This Row],[Mar AC]]-Financials20263[[#This Row],[Mar FC]]</f>
        <v>0</v>
      </c>
      <c r="BF14" s="71">
        <f>Financials20263[[#This Row],[Apr AC]]-Financials20263[[#This Row],[Apr FC]]</f>
        <v>0</v>
      </c>
      <c r="BG14" s="71">
        <f>Financials20263[[#This Row],[May AC]]-Financials20263[[#This Row],[May FC]]</f>
        <v>0</v>
      </c>
      <c r="BH14" s="71">
        <f>Financials20263[[#This Row],[Jun AC]]-Financials20263[[#This Row],[Jun FC]]</f>
        <v>0</v>
      </c>
      <c r="BI14" s="71">
        <f>Financials20263[[#This Row],[Jul AC]]-Financials20263[[#This Row],[Jul FC]]</f>
        <v>0</v>
      </c>
      <c r="BJ14" s="71">
        <f>Financials20263[[#This Row],[Aug AC]]-Financials20263[[#This Row],[Aug FC]]</f>
        <v>0</v>
      </c>
      <c r="BK14" s="71">
        <f>Financials20263[[#This Row],[Sep AC]]-Financials20263[[#This Row],[Sep FC]]</f>
        <v>0</v>
      </c>
      <c r="BL14" s="71">
        <f>Financials20263[[#This Row],[Oct AC]]-Financials20263[[#This Row],[Oct FC]]</f>
        <v>-15750</v>
      </c>
      <c r="BM14" s="71">
        <f>Financials20263[[#This Row],[Nov AC]]-Financials20263[[#This Row],[Nov FC]]</f>
        <v>0</v>
      </c>
      <c r="BN14" s="71">
        <f>Financials20263[[#This Row],[Dec AC]]-Financials20263[[#This Row],[Dec FC]]</f>
        <v>0</v>
      </c>
      <c r="BO14" s="71">
        <f>SUM(Financials20263[[#This Row],[Jan Opp/Risk]:[Dec Opp./Risk]])</f>
        <v>-15750</v>
      </c>
      <c r="BP14" s="88"/>
      <c r="BQ14" s="47">
        <f>SUM(Financials20263[[#This Row],[Jan AC]:[May AC]])</f>
        <v>0</v>
      </c>
      <c r="BR14" s="6">
        <f>Financials20263[[#This Row],[2026 (Actuals + Forecast)]]-Financials20263[[#This Row],[Jan-May Actuals]]-Financials20263[[#This Row],[Jun-Dec FC]]</f>
        <v>0</v>
      </c>
      <c r="BS14" s="6">
        <f>Financials20263[[#This Row],[Jun-Dec FC]]+Financials20263[[#This Row],[Jan-May Forecast ]]</f>
        <v>15750</v>
      </c>
      <c r="BT14" s="6">
        <f>SUM(Financials20263[[#This Row],[Jan FC]:[May FC]])</f>
        <v>0</v>
      </c>
      <c r="BU14" s="6">
        <f>Financials20263[[#This Row],[Jan-May Actuals]]+Financials20263[[#This Row],[Forecast Jun-Dec]]</f>
        <v>15750</v>
      </c>
      <c r="BV14" s="6"/>
      <c r="BW14" s="6"/>
      <c r="BX14" s="6"/>
    </row>
    <row r="15" spans="1:76" x14ac:dyDescent="0.3">
      <c r="A15" s="22" t="s">
        <v>157</v>
      </c>
      <c r="B15" s="21" t="s">
        <v>68</v>
      </c>
      <c r="C15" s="21"/>
      <c r="D15" s="10" t="s">
        <v>17</v>
      </c>
      <c r="E15" s="7" t="s">
        <v>103</v>
      </c>
      <c r="F15" s="3" t="s">
        <v>104</v>
      </c>
      <c r="G15" s="3" t="s">
        <v>49</v>
      </c>
      <c r="H15" s="4" t="s">
        <v>115</v>
      </c>
      <c r="I15" s="4" t="s">
        <v>115</v>
      </c>
      <c r="J15" s="3"/>
      <c r="K15" s="3" t="str">
        <f t="shared" si="0"/>
        <v>Prj000350-Support - Infrastructure for Tech</v>
      </c>
      <c r="L15" s="21" t="s">
        <v>106</v>
      </c>
      <c r="M15" s="21" t="s">
        <v>4</v>
      </c>
      <c r="N15" s="21" t="s">
        <v>4</v>
      </c>
      <c r="O15" s="21"/>
      <c r="P15" s="21" t="s">
        <v>151</v>
      </c>
      <c r="Q15" s="21" t="s">
        <v>152</v>
      </c>
      <c r="R15" s="21" t="s">
        <v>153</v>
      </c>
      <c r="S15" s="21" t="s">
        <v>136</v>
      </c>
      <c r="T15" s="5">
        <v>0</v>
      </c>
      <c r="U15" s="15">
        <v>52500</v>
      </c>
      <c r="V15" s="15">
        <v>52500</v>
      </c>
      <c r="W15" s="15">
        <f t="shared" si="1"/>
        <v>52500</v>
      </c>
      <c r="X15" s="15">
        <f t="shared" si="7"/>
        <v>0</v>
      </c>
      <c r="Y15" s="15">
        <f t="shared" si="2"/>
        <v>0</v>
      </c>
      <c r="Z15" s="15">
        <f>SUM(Financials20263[[#This Row],[2026 Opportunity]:[2026 Risk]])</f>
        <v>0</v>
      </c>
      <c r="AA15" s="3" t="s">
        <v>158</v>
      </c>
      <c r="AB15" s="52"/>
      <c r="AC15" s="52"/>
      <c r="AD15" s="52"/>
      <c r="AE15" s="52"/>
      <c r="AF15" s="52"/>
      <c r="AG15" s="52"/>
      <c r="AH15" s="52"/>
      <c r="AI15" s="52"/>
      <c r="AJ15" s="52"/>
      <c r="AK15" s="52"/>
      <c r="AL15" s="52"/>
      <c r="AM15" s="52">
        <v>52500</v>
      </c>
      <c r="AN15" s="52">
        <f>SUM(Financials20263[[#This Row],[Jan FC]:[Dec FC]])</f>
        <v>52500</v>
      </c>
      <c r="AO15" s="15">
        <f t="shared" si="5"/>
        <v>52500</v>
      </c>
      <c r="AP15" s="61"/>
      <c r="AQ15" s="61"/>
      <c r="AR15" s="61"/>
      <c r="AS15" s="61"/>
      <c r="AT15" s="61"/>
      <c r="AU15" s="61"/>
      <c r="AV15" s="61"/>
      <c r="AW15" s="61"/>
      <c r="AX15" s="61"/>
      <c r="AY15" s="61"/>
      <c r="AZ15" s="61"/>
      <c r="BA15" s="61"/>
      <c r="BB15" s="80">
        <f>SUM(Financials20263[[#This Row],[Jan AC]:[Dec AC]])</f>
        <v>0</v>
      </c>
      <c r="BC15" s="71">
        <f>Financials20263[[#This Row],[Jan AC]]-Financials20263[[#This Row],[Jan FC]]</f>
        <v>0</v>
      </c>
      <c r="BD15" s="71">
        <f>Financials20263[[#This Row],[Feb AC]]-Financials20263[[#This Row],[Feb FC]]</f>
        <v>0</v>
      </c>
      <c r="BE15" s="71">
        <f>Financials20263[[#This Row],[Mar AC]]-Financials20263[[#This Row],[Mar FC]]</f>
        <v>0</v>
      </c>
      <c r="BF15" s="71">
        <f>Financials20263[[#This Row],[Apr AC]]-Financials20263[[#This Row],[Apr FC]]</f>
        <v>0</v>
      </c>
      <c r="BG15" s="71">
        <f>Financials20263[[#This Row],[May AC]]-Financials20263[[#This Row],[May FC]]</f>
        <v>0</v>
      </c>
      <c r="BH15" s="71">
        <f>Financials20263[[#This Row],[Jun AC]]-Financials20263[[#This Row],[Jun FC]]</f>
        <v>0</v>
      </c>
      <c r="BI15" s="71">
        <f>Financials20263[[#This Row],[Jul AC]]-Financials20263[[#This Row],[Jul FC]]</f>
        <v>0</v>
      </c>
      <c r="BJ15" s="71">
        <f>Financials20263[[#This Row],[Aug AC]]-Financials20263[[#This Row],[Aug FC]]</f>
        <v>0</v>
      </c>
      <c r="BK15" s="71">
        <f>Financials20263[[#This Row],[Sep AC]]-Financials20263[[#This Row],[Sep FC]]</f>
        <v>0</v>
      </c>
      <c r="BL15" s="71">
        <f>Financials20263[[#This Row],[Oct AC]]-Financials20263[[#This Row],[Oct FC]]</f>
        <v>0</v>
      </c>
      <c r="BM15" s="71">
        <f>Financials20263[[#This Row],[Nov AC]]-Financials20263[[#This Row],[Nov FC]]</f>
        <v>0</v>
      </c>
      <c r="BN15" s="71">
        <f>Financials20263[[#This Row],[Dec AC]]-Financials20263[[#This Row],[Dec FC]]</f>
        <v>-52500</v>
      </c>
      <c r="BO15" s="71">
        <f>SUM(Financials20263[[#This Row],[Jan Opp/Risk]:[Dec Opp./Risk]])</f>
        <v>-52500</v>
      </c>
      <c r="BP15" s="88"/>
      <c r="BQ15" s="47">
        <f>SUM(Financials20263[[#This Row],[Jan AC]:[May AC]])</f>
        <v>0</v>
      </c>
      <c r="BR15" s="6">
        <f>Financials20263[[#This Row],[2026 (Actuals + Forecast)]]-Financials20263[[#This Row],[Jan-May Actuals]]-Financials20263[[#This Row],[Jun-Dec FC]]</f>
        <v>0</v>
      </c>
      <c r="BS15" s="6">
        <f>Financials20263[[#This Row],[Jun-Dec FC]]+Financials20263[[#This Row],[Jan-May Forecast ]]</f>
        <v>52500</v>
      </c>
      <c r="BT15" s="6">
        <f>SUM(Financials20263[[#This Row],[Jan FC]:[May FC]])</f>
        <v>0</v>
      </c>
      <c r="BU15" s="6">
        <f>Financials20263[[#This Row],[Jan-May Actuals]]+Financials20263[[#This Row],[Forecast Jun-Dec]]</f>
        <v>52500</v>
      </c>
      <c r="BV15" s="6"/>
      <c r="BW15" s="6"/>
      <c r="BX15" s="6"/>
    </row>
    <row r="16" spans="1:76" x14ac:dyDescent="0.3">
      <c r="A16" s="22" t="s">
        <v>101</v>
      </c>
      <c r="B16" s="21" t="s">
        <v>159</v>
      </c>
      <c r="C16" s="21"/>
      <c r="D16" s="10" t="s">
        <v>20</v>
      </c>
      <c r="E16" s="7" t="s">
        <v>160</v>
      </c>
      <c r="F16" s="3" t="s">
        <v>161</v>
      </c>
      <c r="G16" s="3" t="s">
        <v>50</v>
      </c>
      <c r="H16" s="4" t="s">
        <v>142</v>
      </c>
      <c r="I16" s="4" t="s">
        <v>142</v>
      </c>
      <c r="J16" s="3"/>
      <c r="K16" s="3" t="str">
        <f t="shared" si="0"/>
        <v>Prj000381-Support - Prod Support for Credit Apps</v>
      </c>
      <c r="L16" s="21" t="s">
        <v>106</v>
      </c>
      <c r="M16" s="21" t="s">
        <v>6</v>
      </c>
      <c r="N16" s="21" t="s">
        <v>6</v>
      </c>
      <c r="O16" s="21" t="s">
        <v>162</v>
      </c>
      <c r="P16" s="21" t="s">
        <v>163</v>
      </c>
      <c r="Q16" s="21" t="s">
        <v>163</v>
      </c>
      <c r="R16" s="21" t="s">
        <v>164</v>
      </c>
      <c r="S16" s="21" t="s">
        <v>129</v>
      </c>
      <c r="T16" s="5">
        <v>13064.939999999999</v>
      </c>
      <c r="U16" s="15">
        <v>14886</v>
      </c>
      <c r="V16" s="15">
        <v>14886</v>
      </c>
      <c r="W16" s="15">
        <f t="shared" si="1"/>
        <v>13065.06</v>
      </c>
      <c r="X16" s="15">
        <f t="shared" si="7"/>
        <v>-1820.9400000000005</v>
      </c>
      <c r="Y16" s="15">
        <f t="shared" si="2"/>
        <v>0</v>
      </c>
      <c r="Z16" s="15">
        <f>SUM(Financials20263[[#This Row],[2026 Opportunity]:[2026 Risk]])</f>
        <v>-1820.9400000000005</v>
      </c>
      <c r="AA16" s="3" t="s">
        <v>165</v>
      </c>
      <c r="AB16" s="52">
        <v>1088.76</v>
      </c>
      <c r="AC16" s="52">
        <v>1088.76</v>
      </c>
      <c r="AD16" s="52">
        <v>1088.76</v>
      </c>
      <c r="AE16" s="52">
        <v>1088.76</v>
      </c>
      <c r="AF16" s="52">
        <v>1088.76</v>
      </c>
      <c r="AG16" s="52">
        <v>1088.76</v>
      </c>
      <c r="AH16" s="52">
        <v>1088.76</v>
      </c>
      <c r="AI16" s="52">
        <v>1088.76</v>
      </c>
      <c r="AJ16" s="52">
        <v>1088.76</v>
      </c>
      <c r="AK16" s="52">
        <v>1088.76</v>
      </c>
      <c r="AL16" s="52">
        <v>1088.76</v>
      </c>
      <c r="AM16" s="52">
        <v>1088.76</v>
      </c>
      <c r="AN16" s="46">
        <f>SUM(Financials20263[[#This Row],[Jan FC]:[Dec FC]])</f>
        <v>13065.12</v>
      </c>
      <c r="AO16" s="15">
        <f t="shared" si="5"/>
        <v>7621.3200000000006</v>
      </c>
      <c r="AP16" s="61">
        <v>1088.76</v>
      </c>
      <c r="AQ16" s="61">
        <v>1088.74</v>
      </c>
      <c r="AR16" s="61">
        <v>1088.76</v>
      </c>
      <c r="AS16" s="61">
        <v>1088.74</v>
      </c>
      <c r="AT16" s="61">
        <v>1088.74</v>
      </c>
      <c r="AU16" s="61"/>
      <c r="AV16" s="61"/>
      <c r="AW16" s="61"/>
      <c r="AX16" s="61"/>
      <c r="AY16" s="61"/>
      <c r="AZ16" s="61"/>
      <c r="BA16" s="61"/>
      <c r="BB16" s="80">
        <f>SUM(Financials20263[[#This Row],[Jan AC]:[Dec AC]])</f>
        <v>5443.74</v>
      </c>
      <c r="BC16" s="71">
        <f>Financials20263[[#This Row],[Jan AC]]-Financials20263[[#This Row],[Jan FC]]</f>
        <v>0</v>
      </c>
      <c r="BD16" s="71">
        <f>Financials20263[[#This Row],[Feb AC]]-Financials20263[[#This Row],[Feb FC]]</f>
        <v>-1.999999999998181E-2</v>
      </c>
      <c r="BE16" s="71">
        <f>Financials20263[[#This Row],[Mar AC]]-Financials20263[[#This Row],[Mar FC]]</f>
        <v>0</v>
      </c>
      <c r="BF16" s="71">
        <f>Financials20263[[#This Row],[Apr AC]]-Financials20263[[#This Row],[Apr FC]]</f>
        <v>-1.999999999998181E-2</v>
      </c>
      <c r="BG16" s="71">
        <f>Financials20263[[#This Row],[May AC]]-Financials20263[[#This Row],[May FC]]</f>
        <v>-1.999999999998181E-2</v>
      </c>
      <c r="BH16" s="71">
        <f>Financials20263[[#This Row],[Jun AC]]-Financials20263[[#This Row],[Jun FC]]</f>
        <v>-1088.76</v>
      </c>
      <c r="BI16" s="71">
        <f>Financials20263[[#This Row],[Jul AC]]-Financials20263[[#This Row],[Jul FC]]</f>
        <v>-1088.76</v>
      </c>
      <c r="BJ16" s="71">
        <f>Financials20263[[#This Row],[Aug AC]]-Financials20263[[#This Row],[Aug FC]]</f>
        <v>-1088.76</v>
      </c>
      <c r="BK16" s="71">
        <f>Financials20263[[#This Row],[Sep AC]]-Financials20263[[#This Row],[Sep FC]]</f>
        <v>-1088.76</v>
      </c>
      <c r="BL16" s="71">
        <f>Financials20263[[#This Row],[Oct AC]]-Financials20263[[#This Row],[Oct FC]]</f>
        <v>-1088.76</v>
      </c>
      <c r="BM16" s="71">
        <f>Financials20263[[#This Row],[Nov AC]]-Financials20263[[#This Row],[Nov FC]]</f>
        <v>-1088.76</v>
      </c>
      <c r="BN16" s="71">
        <f>Financials20263[[#This Row],[Dec AC]]-Financials20263[[#This Row],[Dec FC]]</f>
        <v>-1088.76</v>
      </c>
      <c r="BO16" s="71">
        <f>SUM(Financials20263[[#This Row],[Jan Opp/Risk]:[Dec Opp./Risk]])</f>
        <v>-7621.380000000001</v>
      </c>
      <c r="BP16" s="87" t="s">
        <v>519</v>
      </c>
      <c r="BQ16" s="47">
        <f>SUM(Financials20263[[#This Row],[Jan AC]:[May AC]])</f>
        <v>5443.74</v>
      </c>
      <c r="BR16" s="6">
        <f>Financials20263[[#This Row],[2026 (Actuals + Forecast)]]-Financials20263[[#This Row],[Jan-May Actuals]]-Financials20263[[#This Row],[Jun-Dec FC]]</f>
        <v>0</v>
      </c>
      <c r="BS16" s="6">
        <f>Financials20263[[#This Row],[Jun-Dec FC]]+Financials20263[[#This Row],[Jan-May Forecast ]]</f>
        <v>7621.3200000000006</v>
      </c>
      <c r="BT16" s="6">
        <f>SUM(Financials20263[[#This Row],[Jan FC]:[May FC]])</f>
        <v>5443.8</v>
      </c>
      <c r="BU16" s="6">
        <f>Financials20263[[#This Row],[Jan-May Actuals]]+Financials20263[[#This Row],[Forecast Jun-Dec]]</f>
        <v>13065.060000000001</v>
      </c>
      <c r="BV16" s="6"/>
      <c r="BW16" s="6"/>
      <c r="BX16" s="6"/>
    </row>
    <row r="17" spans="1:76" x14ac:dyDescent="0.3">
      <c r="A17" s="22" t="s">
        <v>101</v>
      </c>
      <c r="B17" s="21" t="s">
        <v>166</v>
      </c>
      <c r="C17" s="21"/>
      <c r="D17" s="10" t="s">
        <v>25</v>
      </c>
      <c r="E17" s="7" t="s">
        <v>167</v>
      </c>
      <c r="F17" s="3" t="s">
        <v>168</v>
      </c>
      <c r="G17" s="3" t="s">
        <v>51</v>
      </c>
      <c r="H17" s="4">
        <v>45838</v>
      </c>
      <c r="I17" s="4">
        <v>46567</v>
      </c>
      <c r="J17" s="3"/>
      <c r="K17" s="3" t="str">
        <f t="shared" si="0"/>
        <v>Prj000426-Implement - Minor Enhancements for Sales</v>
      </c>
      <c r="L17" s="21" t="s">
        <v>106</v>
      </c>
      <c r="M17" s="21" t="s">
        <v>6</v>
      </c>
      <c r="N17" s="21" t="s">
        <v>6</v>
      </c>
      <c r="O17" s="21"/>
      <c r="P17" s="21" t="s">
        <v>163</v>
      </c>
      <c r="Q17" s="21" t="s">
        <v>163</v>
      </c>
      <c r="R17" s="21" t="s">
        <v>164</v>
      </c>
      <c r="S17" s="21" t="s">
        <v>132</v>
      </c>
      <c r="T17" s="5">
        <v>11845</v>
      </c>
      <c r="U17" s="15">
        <v>12200</v>
      </c>
      <c r="V17" s="15">
        <v>12200</v>
      </c>
      <c r="W17" s="15">
        <f t="shared" si="1"/>
        <v>12200</v>
      </c>
      <c r="X17" s="15">
        <f t="shared" si="7"/>
        <v>0</v>
      </c>
      <c r="Y17" s="15">
        <f t="shared" si="2"/>
        <v>0</v>
      </c>
      <c r="Z17" s="15">
        <f>SUM(Financials20263[[#This Row],[2026 Opportunity]:[2026 Risk]])</f>
        <v>0</v>
      </c>
      <c r="AA17" s="3" t="s">
        <v>169</v>
      </c>
      <c r="AB17" s="52"/>
      <c r="AC17" s="52"/>
      <c r="AD17" s="52"/>
      <c r="AE17" s="52"/>
      <c r="AF17" s="52"/>
      <c r="AG17" s="52"/>
      <c r="AH17" s="52"/>
      <c r="AI17" s="52"/>
      <c r="AJ17" s="52"/>
      <c r="AK17" s="52"/>
      <c r="AL17" s="52"/>
      <c r="AM17" s="52">
        <v>12200</v>
      </c>
      <c r="AN17" s="52">
        <f>SUM(Financials20263[[#This Row],[Jan FC]:[Dec FC]])</f>
        <v>12200</v>
      </c>
      <c r="AO17" s="15">
        <f t="shared" si="5"/>
        <v>12200</v>
      </c>
      <c r="AP17" s="61"/>
      <c r="AQ17" s="61"/>
      <c r="AR17" s="61"/>
      <c r="AS17" s="61"/>
      <c r="AT17" s="61"/>
      <c r="AU17" s="61"/>
      <c r="AV17" s="61"/>
      <c r="AW17" s="61"/>
      <c r="AX17" s="61"/>
      <c r="AY17" s="61"/>
      <c r="AZ17" s="61"/>
      <c r="BA17" s="61"/>
      <c r="BB17" s="80">
        <f>SUM(Financials20263[[#This Row],[Jan AC]:[Dec AC]])</f>
        <v>0</v>
      </c>
      <c r="BC17" s="71">
        <f>Financials20263[[#This Row],[Jan AC]]-Financials20263[[#This Row],[Jan FC]]</f>
        <v>0</v>
      </c>
      <c r="BD17" s="71">
        <f>Financials20263[[#This Row],[Feb AC]]-Financials20263[[#This Row],[Feb FC]]</f>
        <v>0</v>
      </c>
      <c r="BE17" s="71">
        <f>Financials20263[[#This Row],[Mar AC]]-Financials20263[[#This Row],[Mar FC]]</f>
        <v>0</v>
      </c>
      <c r="BF17" s="71">
        <f>Financials20263[[#This Row],[Apr AC]]-Financials20263[[#This Row],[Apr FC]]</f>
        <v>0</v>
      </c>
      <c r="BG17" s="71">
        <f>Financials20263[[#This Row],[May AC]]-Financials20263[[#This Row],[May FC]]</f>
        <v>0</v>
      </c>
      <c r="BH17" s="71">
        <f>Financials20263[[#This Row],[Jun AC]]-Financials20263[[#This Row],[Jun FC]]</f>
        <v>0</v>
      </c>
      <c r="BI17" s="71">
        <f>Financials20263[[#This Row],[Jul AC]]-Financials20263[[#This Row],[Jul FC]]</f>
        <v>0</v>
      </c>
      <c r="BJ17" s="71">
        <f>Financials20263[[#This Row],[Aug AC]]-Financials20263[[#This Row],[Aug FC]]</f>
        <v>0</v>
      </c>
      <c r="BK17" s="71">
        <f>Financials20263[[#This Row],[Sep AC]]-Financials20263[[#This Row],[Sep FC]]</f>
        <v>0</v>
      </c>
      <c r="BL17" s="71">
        <f>Financials20263[[#This Row],[Oct AC]]-Financials20263[[#This Row],[Oct FC]]</f>
        <v>0</v>
      </c>
      <c r="BM17" s="71">
        <f>Financials20263[[#This Row],[Nov AC]]-Financials20263[[#This Row],[Nov FC]]</f>
        <v>0</v>
      </c>
      <c r="BN17" s="71">
        <f>Financials20263[[#This Row],[Dec AC]]-Financials20263[[#This Row],[Dec FC]]</f>
        <v>-12200</v>
      </c>
      <c r="BO17" s="71">
        <f>SUM(Financials20263[[#This Row],[Jan Opp/Risk]:[Dec Opp./Risk]])</f>
        <v>-12200</v>
      </c>
      <c r="BP17" s="87"/>
      <c r="BQ17" s="47">
        <f>SUM(Financials20263[[#This Row],[Jan AC]:[May AC]])</f>
        <v>0</v>
      </c>
      <c r="BR17" s="6">
        <f>Financials20263[[#This Row],[2026 (Actuals + Forecast)]]-Financials20263[[#This Row],[Jan-May Actuals]]-Financials20263[[#This Row],[Jun-Dec FC]]</f>
        <v>0</v>
      </c>
      <c r="BS17" s="6">
        <f>Financials20263[[#This Row],[Jun-Dec FC]]+Financials20263[[#This Row],[Jan-May Forecast ]]</f>
        <v>12200</v>
      </c>
      <c r="BT17" s="6">
        <f>SUM(Financials20263[[#This Row],[Jan FC]:[May FC]])</f>
        <v>0</v>
      </c>
      <c r="BU17" s="6">
        <f>Financials20263[[#This Row],[Jan-May Actuals]]+Financials20263[[#This Row],[Forecast Jun-Dec]]</f>
        <v>12200</v>
      </c>
      <c r="BV17" s="6"/>
      <c r="BW17" s="6"/>
      <c r="BX17" s="6"/>
    </row>
    <row r="18" spans="1:76" x14ac:dyDescent="0.3">
      <c r="A18" s="22" t="s">
        <v>111</v>
      </c>
      <c r="B18" s="21" t="s">
        <v>170</v>
      </c>
      <c r="C18" s="21" t="s">
        <v>171</v>
      </c>
      <c r="D18" s="10" t="s">
        <v>11</v>
      </c>
      <c r="E18" s="7" t="s">
        <v>113</v>
      </c>
      <c r="F18" s="3" t="s">
        <v>114</v>
      </c>
      <c r="G18" s="3" t="s">
        <v>53</v>
      </c>
      <c r="H18" s="4" t="s">
        <v>115</v>
      </c>
      <c r="I18" s="4" t="s">
        <v>115</v>
      </c>
      <c r="J18" s="3"/>
      <c r="K18" s="3" t="str">
        <f t="shared" si="0"/>
        <v>Prj000266-Support - Internal Tech Workforce Activities</v>
      </c>
      <c r="L18" s="21" t="s">
        <v>106</v>
      </c>
      <c r="M18" s="21" t="s">
        <v>6</v>
      </c>
      <c r="N18" s="21" t="s">
        <v>6</v>
      </c>
      <c r="O18" s="21"/>
      <c r="P18" s="21" t="s">
        <v>172</v>
      </c>
      <c r="Q18" s="21" t="s">
        <v>173</v>
      </c>
      <c r="R18" s="21" t="s">
        <v>174</v>
      </c>
      <c r="S18" s="21" t="s">
        <v>132</v>
      </c>
      <c r="T18" s="5">
        <v>225000</v>
      </c>
      <c r="U18" s="15">
        <v>236250</v>
      </c>
      <c r="V18" s="15">
        <v>236250</v>
      </c>
      <c r="W18" s="15">
        <f t="shared" si="1"/>
        <v>236250</v>
      </c>
      <c r="X18" s="15">
        <f t="shared" si="7"/>
        <v>0</v>
      </c>
      <c r="Y18" s="15">
        <f t="shared" si="2"/>
        <v>0</v>
      </c>
      <c r="Z18" s="15">
        <f>SUM(Financials20263[[#This Row],[2026 Opportunity]:[2026 Risk]])</f>
        <v>0</v>
      </c>
      <c r="AA18" s="3" t="s">
        <v>175</v>
      </c>
      <c r="AB18" s="52"/>
      <c r="AC18" s="52"/>
      <c r="AD18" s="52"/>
      <c r="AE18" s="52"/>
      <c r="AF18" s="52"/>
      <c r="AG18" s="52"/>
      <c r="AH18" s="52"/>
      <c r="AI18" s="52"/>
      <c r="AJ18" s="52"/>
      <c r="AK18" s="52"/>
      <c r="AL18" s="52"/>
      <c r="AM18" s="52">
        <v>236250</v>
      </c>
      <c r="AN18" s="52">
        <f>SUM(Financials20263[[#This Row],[Jan FC]:[Dec FC]])</f>
        <v>236250</v>
      </c>
      <c r="AO18" s="15">
        <f t="shared" si="5"/>
        <v>236250</v>
      </c>
      <c r="AP18" s="61"/>
      <c r="AQ18" s="61"/>
      <c r="AR18" s="61"/>
      <c r="AS18" s="61"/>
      <c r="AT18" s="61"/>
      <c r="AU18" s="61"/>
      <c r="AV18" s="61"/>
      <c r="AW18" s="61"/>
      <c r="AX18" s="61"/>
      <c r="AY18" s="61"/>
      <c r="AZ18" s="61"/>
      <c r="BA18" s="61"/>
      <c r="BB18" s="80">
        <f>SUM(Financials20263[[#This Row],[Jan AC]:[Dec AC]])</f>
        <v>0</v>
      </c>
      <c r="BC18" s="71">
        <f>Financials20263[[#This Row],[Jan AC]]-Financials20263[[#This Row],[Jan FC]]</f>
        <v>0</v>
      </c>
      <c r="BD18" s="71">
        <f>Financials20263[[#This Row],[Feb AC]]-Financials20263[[#This Row],[Feb FC]]</f>
        <v>0</v>
      </c>
      <c r="BE18" s="71">
        <f>Financials20263[[#This Row],[Mar AC]]-Financials20263[[#This Row],[Mar FC]]</f>
        <v>0</v>
      </c>
      <c r="BF18" s="71">
        <f>Financials20263[[#This Row],[Apr AC]]-Financials20263[[#This Row],[Apr FC]]</f>
        <v>0</v>
      </c>
      <c r="BG18" s="71">
        <f>Financials20263[[#This Row],[May AC]]-Financials20263[[#This Row],[May FC]]</f>
        <v>0</v>
      </c>
      <c r="BH18" s="71">
        <f>Financials20263[[#This Row],[Jun AC]]-Financials20263[[#This Row],[Jun FC]]</f>
        <v>0</v>
      </c>
      <c r="BI18" s="71">
        <f>Financials20263[[#This Row],[Jul AC]]-Financials20263[[#This Row],[Jul FC]]</f>
        <v>0</v>
      </c>
      <c r="BJ18" s="71">
        <f>Financials20263[[#This Row],[Aug AC]]-Financials20263[[#This Row],[Aug FC]]</f>
        <v>0</v>
      </c>
      <c r="BK18" s="71">
        <f>Financials20263[[#This Row],[Sep AC]]-Financials20263[[#This Row],[Sep FC]]</f>
        <v>0</v>
      </c>
      <c r="BL18" s="71">
        <f>Financials20263[[#This Row],[Oct AC]]-Financials20263[[#This Row],[Oct FC]]</f>
        <v>0</v>
      </c>
      <c r="BM18" s="71">
        <f>Financials20263[[#This Row],[Nov AC]]-Financials20263[[#This Row],[Nov FC]]</f>
        <v>0</v>
      </c>
      <c r="BN18" s="71">
        <f>Financials20263[[#This Row],[Dec AC]]-Financials20263[[#This Row],[Dec FC]]</f>
        <v>-236250</v>
      </c>
      <c r="BO18" s="71">
        <f>SUM(Financials20263[[#This Row],[Jan Opp/Risk]:[Dec Opp./Risk]])</f>
        <v>-236250</v>
      </c>
      <c r="BP18" s="88"/>
      <c r="BQ18" s="47">
        <f>SUM(Financials20263[[#This Row],[Jan AC]:[May AC]])</f>
        <v>0</v>
      </c>
      <c r="BR18" s="6">
        <f>Financials20263[[#This Row],[2026 (Actuals + Forecast)]]-Financials20263[[#This Row],[Jan-May Actuals]]-Financials20263[[#This Row],[Jun-Dec FC]]</f>
        <v>0</v>
      </c>
      <c r="BS18" s="6">
        <f>Financials20263[[#This Row],[Jun-Dec FC]]+Financials20263[[#This Row],[Jan-May Forecast ]]</f>
        <v>236250</v>
      </c>
      <c r="BT18" s="6">
        <f>SUM(Financials20263[[#This Row],[Jan FC]:[May FC]])</f>
        <v>0</v>
      </c>
      <c r="BU18" s="6">
        <f>Financials20263[[#This Row],[Jan-May Actuals]]+Financials20263[[#This Row],[Forecast Jun-Dec]]</f>
        <v>236250</v>
      </c>
      <c r="BV18" s="6"/>
      <c r="BW18" s="6"/>
      <c r="BX18" s="6"/>
    </row>
    <row r="19" spans="1:76" x14ac:dyDescent="0.3">
      <c r="A19" s="22" t="s">
        <v>111</v>
      </c>
      <c r="B19" t="s">
        <v>176</v>
      </c>
      <c r="C19" s="21" t="s">
        <v>171</v>
      </c>
      <c r="D19" s="10" t="s">
        <v>11</v>
      </c>
      <c r="E19" s="7" t="s">
        <v>113</v>
      </c>
      <c r="F19" s="3" t="s">
        <v>114</v>
      </c>
      <c r="G19" s="3" t="s">
        <v>53</v>
      </c>
      <c r="H19" s="4" t="s">
        <v>115</v>
      </c>
      <c r="I19" s="4" t="s">
        <v>115</v>
      </c>
      <c r="J19" s="3"/>
      <c r="K19" s="3" t="str">
        <f t="shared" si="0"/>
        <v>Prj000266-Support - Internal Tech Workforce Activities</v>
      </c>
      <c r="L19" s="21" t="s">
        <v>106</v>
      </c>
      <c r="M19" s="21" t="s">
        <v>6</v>
      </c>
      <c r="N19" s="21" t="s">
        <v>6</v>
      </c>
      <c r="O19" s="21"/>
      <c r="P19" s="21" t="s">
        <v>172</v>
      </c>
      <c r="Q19" s="21" t="s">
        <v>173</v>
      </c>
      <c r="R19" s="21" t="s">
        <v>174</v>
      </c>
      <c r="S19" s="21" t="s">
        <v>132</v>
      </c>
      <c r="T19" s="5">
        <v>135000</v>
      </c>
      <c r="U19" s="5">
        <v>141750</v>
      </c>
      <c r="V19" s="5">
        <v>141750</v>
      </c>
      <c r="W19" s="15">
        <f t="shared" si="1"/>
        <v>141750</v>
      </c>
      <c r="X19" s="15">
        <f t="shared" si="7"/>
        <v>0</v>
      </c>
      <c r="Y19" s="15">
        <f t="shared" si="2"/>
        <v>0</v>
      </c>
      <c r="Z19" s="15">
        <f>SUM(Financials20263[[#This Row],[2026 Opportunity]:[2026 Risk]])</f>
        <v>0</v>
      </c>
      <c r="AA19" s="3" t="s">
        <v>175</v>
      </c>
      <c r="AB19" s="52"/>
      <c r="AC19" s="52"/>
      <c r="AD19" s="52"/>
      <c r="AE19" s="52"/>
      <c r="AF19" s="52"/>
      <c r="AG19" s="52"/>
      <c r="AH19" s="52"/>
      <c r="AI19" s="52"/>
      <c r="AJ19" s="52"/>
      <c r="AK19" s="52"/>
      <c r="AL19" s="52"/>
      <c r="AM19" s="52">
        <v>141750</v>
      </c>
      <c r="AN19" s="52">
        <f>SUM(Financials20263[[#This Row],[Jan FC]:[Dec FC]])</f>
        <v>141750</v>
      </c>
      <c r="AO19" s="15">
        <f t="shared" si="5"/>
        <v>141750</v>
      </c>
      <c r="AP19" s="61"/>
      <c r="AQ19" s="61"/>
      <c r="AR19" s="61"/>
      <c r="AS19" s="61"/>
      <c r="AT19" s="61"/>
      <c r="AU19" s="61"/>
      <c r="AV19" s="61"/>
      <c r="AW19" s="61"/>
      <c r="AX19" s="61"/>
      <c r="AY19" s="61"/>
      <c r="AZ19" s="61"/>
      <c r="BA19" s="61"/>
      <c r="BB19" s="80">
        <f>SUM(Financials20263[[#This Row],[Jan AC]:[Dec AC]])</f>
        <v>0</v>
      </c>
      <c r="BC19" s="71">
        <f>Financials20263[[#This Row],[Jan AC]]-Financials20263[[#This Row],[Jan FC]]</f>
        <v>0</v>
      </c>
      <c r="BD19" s="71">
        <f>Financials20263[[#This Row],[Feb AC]]-Financials20263[[#This Row],[Feb FC]]</f>
        <v>0</v>
      </c>
      <c r="BE19" s="71">
        <f>Financials20263[[#This Row],[Mar AC]]-Financials20263[[#This Row],[Mar FC]]</f>
        <v>0</v>
      </c>
      <c r="BF19" s="71">
        <f>Financials20263[[#This Row],[Apr AC]]-Financials20263[[#This Row],[Apr FC]]</f>
        <v>0</v>
      </c>
      <c r="BG19" s="71">
        <f>Financials20263[[#This Row],[May AC]]-Financials20263[[#This Row],[May FC]]</f>
        <v>0</v>
      </c>
      <c r="BH19" s="71">
        <f>Financials20263[[#This Row],[Jun AC]]-Financials20263[[#This Row],[Jun FC]]</f>
        <v>0</v>
      </c>
      <c r="BI19" s="71">
        <f>Financials20263[[#This Row],[Jul AC]]-Financials20263[[#This Row],[Jul FC]]</f>
        <v>0</v>
      </c>
      <c r="BJ19" s="71">
        <f>Financials20263[[#This Row],[Aug AC]]-Financials20263[[#This Row],[Aug FC]]</f>
        <v>0</v>
      </c>
      <c r="BK19" s="71">
        <f>Financials20263[[#This Row],[Sep AC]]-Financials20263[[#This Row],[Sep FC]]</f>
        <v>0</v>
      </c>
      <c r="BL19" s="71">
        <f>Financials20263[[#This Row],[Oct AC]]-Financials20263[[#This Row],[Oct FC]]</f>
        <v>0</v>
      </c>
      <c r="BM19" s="71">
        <f>Financials20263[[#This Row],[Nov AC]]-Financials20263[[#This Row],[Nov FC]]</f>
        <v>0</v>
      </c>
      <c r="BN19" s="71">
        <f>Financials20263[[#This Row],[Dec AC]]-Financials20263[[#This Row],[Dec FC]]</f>
        <v>-141750</v>
      </c>
      <c r="BO19" s="71">
        <f>SUM(Financials20263[[#This Row],[Jan Opp/Risk]:[Dec Opp./Risk]])</f>
        <v>-141750</v>
      </c>
      <c r="BP19" s="88"/>
      <c r="BQ19" s="47">
        <f>SUM(Financials20263[[#This Row],[Jan AC]:[May AC]])</f>
        <v>0</v>
      </c>
      <c r="BR19" s="6">
        <f>Financials20263[[#This Row],[2026 (Actuals + Forecast)]]-Financials20263[[#This Row],[Jan-May Actuals]]-Financials20263[[#This Row],[Jun-Dec FC]]</f>
        <v>0</v>
      </c>
      <c r="BS19" s="6">
        <f>Financials20263[[#This Row],[Jun-Dec FC]]+Financials20263[[#This Row],[Jan-May Forecast ]]</f>
        <v>141750</v>
      </c>
      <c r="BT19" s="6">
        <f>SUM(Financials20263[[#This Row],[Jan FC]:[May FC]])</f>
        <v>0</v>
      </c>
      <c r="BU19" s="6">
        <f>Financials20263[[#This Row],[Jan-May Actuals]]+Financials20263[[#This Row],[Forecast Jun-Dec]]</f>
        <v>141750</v>
      </c>
      <c r="BV19" s="6"/>
      <c r="BW19" s="6"/>
      <c r="BX19" s="6"/>
    </row>
    <row r="20" spans="1:76" x14ac:dyDescent="0.3">
      <c r="A20" s="22" t="s">
        <v>111</v>
      </c>
      <c r="B20" s="21" t="s">
        <v>177</v>
      </c>
      <c r="C20" s="21" t="s">
        <v>178</v>
      </c>
      <c r="D20" s="10" t="s">
        <v>11</v>
      </c>
      <c r="E20" s="7" t="s">
        <v>113</v>
      </c>
      <c r="F20" s="3" t="s">
        <v>114</v>
      </c>
      <c r="G20" s="3" t="s">
        <v>53</v>
      </c>
      <c r="H20" s="4" t="s">
        <v>115</v>
      </c>
      <c r="I20" s="4" t="s">
        <v>115</v>
      </c>
      <c r="J20" s="3"/>
      <c r="K20" s="3" t="str">
        <f t="shared" si="0"/>
        <v>Prj000266-Support - Internal Tech Workforce Activities</v>
      </c>
      <c r="L20" s="21" t="s">
        <v>106</v>
      </c>
      <c r="M20" s="21" t="s">
        <v>6</v>
      </c>
      <c r="N20" s="21" t="s">
        <v>6</v>
      </c>
      <c r="O20" s="21"/>
      <c r="P20" s="21" t="s">
        <v>116</v>
      </c>
      <c r="Q20" s="21" t="s">
        <v>179</v>
      </c>
      <c r="R20" s="21" t="s">
        <v>180</v>
      </c>
      <c r="S20" s="21" t="s">
        <v>136</v>
      </c>
      <c r="T20" s="5">
        <v>16285</v>
      </c>
      <c r="U20" s="15">
        <v>17099</v>
      </c>
      <c r="V20" s="15">
        <v>17099</v>
      </c>
      <c r="W20" s="15">
        <f t="shared" si="1"/>
        <v>17099</v>
      </c>
      <c r="X20" s="15">
        <f t="shared" si="7"/>
        <v>0</v>
      </c>
      <c r="Y20" s="15">
        <f t="shared" si="2"/>
        <v>0</v>
      </c>
      <c r="Z20" s="15">
        <f>SUM(Financials20263[[#This Row],[2026 Opportunity]:[2026 Risk]])</f>
        <v>0</v>
      </c>
      <c r="AA20" s="3" t="s">
        <v>120</v>
      </c>
      <c r="AB20" s="52"/>
      <c r="AC20" s="52"/>
      <c r="AD20" s="52"/>
      <c r="AE20" s="52"/>
      <c r="AF20" s="52"/>
      <c r="AG20" s="52"/>
      <c r="AH20" s="52"/>
      <c r="AI20" s="52"/>
      <c r="AJ20" s="52"/>
      <c r="AK20" s="52"/>
      <c r="AL20" s="52"/>
      <c r="AM20" s="52">
        <v>17099</v>
      </c>
      <c r="AN20" s="52">
        <f>SUM(Financials20263[[#This Row],[Jan FC]:[Dec FC]])</f>
        <v>17099</v>
      </c>
      <c r="AO20" s="15">
        <f t="shared" si="5"/>
        <v>17099</v>
      </c>
      <c r="AP20" s="61"/>
      <c r="AQ20" s="61"/>
      <c r="AR20" s="61"/>
      <c r="AS20" s="61"/>
      <c r="AT20" s="61"/>
      <c r="AU20" s="61"/>
      <c r="AV20" s="61"/>
      <c r="AW20" s="61"/>
      <c r="AX20" s="61"/>
      <c r="AY20" s="61"/>
      <c r="AZ20" s="61"/>
      <c r="BA20" s="61"/>
      <c r="BB20" s="80">
        <f>SUM(Financials20263[[#This Row],[Jan AC]:[Dec AC]])</f>
        <v>0</v>
      </c>
      <c r="BC20" s="71">
        <f>Financials20263[[#This Row],[Jan AC]]-Financials20263[[#This Row],[Jan FC]]</f>
        <v>0</v>
      </c>
      <c r="BD20" s="71">
        <f>Financials20263[[#This Row],[Feb AC]]-Financials20263[[#This Row],[Feb FC]]</f>
        <v>0</v>
      </c>
      <c r="BE20" s="71">
        <f>Financials20263[[#This Row],[Mar AC]]-Financials20263[[#This Row],[Mar FC]]</f>
        <v>0</v>
      </c>
      <c r="BF20" s="71">
        <f>Financials20263[[#This Row],[Apr AC]]-Financials20263[[#This Row],[Apr FC]]</f>
        <v>0</v>
      </c>
      <c r="BG20" s="71">
        <f>Financials20263[[#This Row],[May AC]]-Financials20263[[#This Row],[May FC]]</f>
        <v>0</v>
      </c>
      <c r="BH20" s="71">
        <f>Financials20263[[#This Row],[Jun AC]]-Financials20263[[#This Row],[Jun FC]]</f>
        <v>0</v>
      </c>
      <c r="BI20" s="71">
        <f>Financials20263[[#This Row],[Jul AC]]-Financials20263[[#This Row],[Jul FC]]</f>
        <v>0</v>
      </c>
      <c r="BJ20" s="71">
        <f>Financials20263[[#This Row],[Aug AC]]-Financials20263[[#This Row],[Aug FC]]</f>
        <v>0</v>
      </c>
      <c r="BK20" s="71">
        <f>Financials20263[[#This Row],[Sep AC]]-Financials20263[[#This Row],[Sep FC]]</f>
        <v>0</v>
      </c>
      <c r="BL20" s="71">
        <f>Financials20263[[#This Row],[Oct AC]]-Financials20263[[#This Row],[Oct FC]]</f>
        <v>0</v>
      </c>
      <c r="BM20" s="71">
        <f>Financials20263[[#This Row],[Nov AC]]-Financials20263[[#This Row],[Nov FC]]</f>
        <v>0</v>
      </c>
      <c r="BN20" s="71">
        <f>Financials20263[[#This Row],[Dec AC]]-Financials20263[[#This Row],[Dec FC]]</f>
        <v>-17099</v>
      </c>
      <c r="BO20" s="71">
        <f>SUM(Financials20263[[#This Row],[Jan Opp/Risk]:[Dec Opp./Risk]])</f>
        <v>-17099</v>
      </c>
      <c r="BP20" s="88"/>
      <c r="BQ20" s="47">
        <f>SUM(Financials20263[[#This Row],[Jan AC]:[May AC]])</f>
        <v>0</v>
      </c>
      <c r="BR20" s="6">
        <f>Financials20263[[#This Row],[2026 (Actuals + Forecast)]]-Financials20263[[#This Row],[Jan-May Actuals]]-Financials20263[[#This Row],[Jun-Dec FC]]</f>
        <v>0</v>
      </c>
      <c r="BS20" s="6">
        <f>Financials20263[[#This Row],[Jun-Dec FC]]+Financials20263[[#This Row],[Jan-May Forecast ]]</f>
        <v>17099</v>
      </c>
      <c r="BT20" s="6">
        <f>SUM(Financials20263[[#This Row],[Jan FC]:[May FC]])</f>
        <v>0</v>
      </c>
      <c r="BU20" s="6">
        <f>Financials20263[[#This Row],[Jan-May Actuals]]+Financials20263[[#This Row],[Forecast Jun-Dec]]</f>
        <v>17099</v>
      </c>
      <c r="BV20" s="6"/>
      <c r="BW20" s="6"/>
      <c r="BX20" s="6"/>
    </row>
    <row r="21" spans="1:76" x14ac:dyDescent="0.3">
      <c r="A21" s="22" t="s">
        <v>101</v>
      </c>
      <c r="B21" s="21" t="s">
        <v>181</v>
      </c>
      <c r="C21" s="21"/>
      <c r="D21" s="10" t="s">
        <v>22</v>
      </c>
      <c r="E21" s="7" t="s">
        <v>182</v>
      </c>
      <c r="F21" s="3" t="s">
        <v>183</v>
      </c>
      <c r="G21" s="3" t="s">
        <v>48</v>
      </c>
      <c r="H21" s="4">
        <v>46023</v>
      </c>
      <c r="I21" s="4">
        <v>46387</v>
      </c>
      <c r="J21" s="3"/>
      <c r="K21" s="3" t="str">
        <f t="shared" si="0"/>
        <v>Prj000403-Support - L2 CoE Management for Tech Horizontals</v>
      </c>
      <c r="L21" s="21" t="s">
        <v>124</v>
      </c>
      <c r="M21" s="21" t="s">
        <v>5</v>
      </c>
      <c r="N21" s="21" t="s">
        <v>125</v>
      </c>
      <c r="O21" s="21" t="s">
        <v>184</v>
      </c>
      <c r="P21" s="21" t="s">
        <v>107</v>
      </c>
      <c r="Q21" s="21" t="s">
        <v>134</v>
      </c>
      <c r="R21" s="21" t="s">
        <v>134</v>
      </c>
      <c r="S21" s="21" t="s">
        <v>129</v>
      </c>
      <c r="T21" s="5">
        <v>1357227</v>
      </c>
      <c r="U21" s="15">
        <v>1359552</v>
      </c>
      <c r="V21" s="15">
        <f>1359552+95195</f>
        <v>1454747</v>
      </c>
      <c r="W21" s="15">
        <f t="shared" si="1"/>
        <v>1443640</v>
      </c>
      <c r="X21" s="15">
        <f t="shared" si="7"/>
        <v>-11107</v>
      </c>
      <c r="Y21" s="15">
        <f t="shared" si="2"/>
        <v>0</v>
      </c>
      <c r="Z21" s="15">
        <f>SUM(Financials20263[[#This Row],[2026 Opportunity]:[2026 Risk]])</f>
        <v>-11107</v>
      </c>
      <c r="AA21" s="3" t="s">
        <v>740</v>
      </c>
      <c r="AB21" s="52">
        <v>113296</v>
      </c>
      <c r="AC21" s="52">
        <v>113296</v>
      </c>
      <c r="AD21" s="52">
        <v>113296</v>
      </c>
      <c r="AE21" s="52">
        <v>116743</v>
      </c>
      <c r="AF21" s="52">
        <v>120956</v>
      </c>
      <c r="AG21" s="52">
        <v>120190</v>
      </c>
      <c r="AH21" s="52">
        <v>120190</v>
      </c>
      <c r="AI21" s="52">
        <v>127356</v>
      </c>
      <c r="AJ21" s="52">
        <v>127356</v>
      </c>
      <c r="AK21" s="52">
        <v>127356</v>
      </c>
      <c r="AL21" s="52">
        <v>127356</v>
      </c>
      <c r="AM21" s="52">
        <v>127356</v>
      </c>
      <c r="AN21" s="52">
        <f>SUM(Financials20263[[#This Row],[Jan FC]:[Dec FC]])</f>
        <v>1454747</v>
      </c>
      <c r="AO21" s="15">
        <f t="shared" si="5"/>
        <v>877160</v>
      </c>
      <c r="AP21" s="61">
        <v>113296</v>
      </c>
      <c r="AQ21" s="61">
        <v>113296</v>
      </c>
      <c r="AR21" s="61">
        <v>113296</v>
      </c>
      <c r="AS21" s="61">
        <v>113296</v>
      </c>
      <c r="AT21" s="61">
        <v>113296</v>
      </c>
      <c r="AU21" s="61"/>
      <c r="AV21" s="61"/>
      <c r="AW21" s="61"/>
      <c r="AX21" s="61"/>
      <c r="AY21" s="61"/>
      <c r="AZ21" s="61"/>
      <c r="BA21" s="61"/>
      <c r="BB21" s="80">
        <f>SUM(Financials20263[[#This Row],[Jan AC]:[Dec AC]])</f>
        <v>566480</v>
      </c>
      <c r="BC21" s="71">
        <f>Financials20263[[#This Row],[Jan AC]]-Financials20263[[#This Row],[Jan FC]]</f>
        <v>0</v>
      </c>
      <c r="BD21" s="71">
        <f>Financials20263[[#This Row],[Feb AC]]-Financials20263[[#This Row],[Feb FC]]</f>
        <v>0</v>
      </c>
      <c r="BE21" s="71">
        <f>Financials20263[[#This Row],[Mar AC]]-Financials20263[[#This Row],[Mar FC]]</f>
        <v>0</v>
      </c>
      <c r="BF21" s="71">
        <f>Financials20263[[#This Row],[Apr AC]]-Financials20263[[#This Row],[Apr FC]]</f>
        <v>-3447</v>
      </c>
      <c r="BG21" s="71">
        <f>Financials20263[[#This Row],[May AC]]-Financials20263[[#This Row],[May FC]]</f>
        <v>-7660</v>
      </c>
      <c r="BH21" s="71">
        <f>Financials20263[[#This Row],[Jun AC]]-Financials20263[[#This Row],[Jun FC]]</f>
        <v>-120190</v>
      </c>
      <c r="BI21" s="71">
        <f>Financials20263[[#This Row],[Jul AC]]-Financials20263[[#This Row],[Jul FC]]</f>
        <v>-120190</v>
      </c>
      <c r="BJ21" s="71">
        <f>Financials20263[[#This Row],[Aug AC]]-Financials20263[[#This Row],[Aug FC]]</f>
        <v>-127356</v>
      </c>
      <c r="BK21" s="71">
        <f>Financials20263[[#This Row],[Sep AC]]-Financials20263[[#This Row],[Sep FC]]</f>
        <v>-127356</v>
      </c>
      <c r="BL21" s="71">
        <f>Financials20263[[#This Row],[Oct AC]]-Financials20263[[#This Row],[Oct FC]]</f>
        <v>-127356</v>
      </c>
      <c r="BM21" s="71">
        <f>Financials20263[[#This Row],[Nov AC]]-Financials20263[[#This Row],[Nov FC]]</f>
        <v>-127356</v>
      </c>
      <c r="BN21" s="71">
        <f>Financials20263[[#This Row],[Dec AC]]-Financials20263[[#This Row],[Dec FC]]</f>
        <v>-127356</v>
      </c>
      <c r="BO21" s="71">
        <f>SUM(Financials20263[[#This Row],[Jan Opp/Risk]:[Dec Opp./Risk]])</f>
        <v>-888267</v>
      </c>
      <c r="BP21" s="89" t="s">
        <v>651</v>
      </c>
      <c r="BQ21" s="47">
        <f>SUM(Financials20263[[#This Row],[Jan AC]:[May AC]])</f>
        <v>566480</v>
      </c>
      <c r="BR21" s="6">
        <f>Financials20263[[#This Row],[2026 (Actuals + Forecast)]]-Financials20263[[#This Row],[Jan-May Actuals]]-Financials20263[[#This Row],[Jun-Dec FC]]</f>
        <v>0</v>
      </c>
      <c r="BS21" s="6">
        <f>Financials20263[[#This Row],[Jun-Dec FC]]+Financials20263[[#This Row],[Jan-May Forecast ]]</f>
        <v>877160</v>
      </c>
      <c r="BT21" s="6">
        <f>SUM(Financials20263[[#This Row],[Jan FC]:[May FC]])</f>
        <v>577587</v>
      </c>
      <c r="BU21" s="6">
        <f>Financials20263[[#This Row],[Jan-May Actuals]]+Financials20263[[#This Row],[Forecast Jun-Dec]]</f>
        <v>1443640</v>
      </c>
      <c r="BV21" s="6"/>
      <c r="BW21" s="6"/>
      <c r="BX21" s="6"/>
    </row>
    <row r="22" spans="1:76" x14ac:dyDescent="0.3">
      <c r="A22" s="22" t="s">
        <v>101</v>
      </c>
      <c r="B22" s="21" t="s">
        <v>185</v>
      </c>
      <c r="C22" s="21"/>
      <c r="D22" s="10" t="s">
        <v>186</v>
      </c>
      <c r="E22" s="7" t="s">
        <v>186</v>
      </c>
      <c r="F22" s="3" t="s">
        <v>187</v>
      </c>
      <c r="G22" s="3" t="s">
        <v>53</v>
      </c>
      <c r="H22" s="4">
        <v>46023</v>
      </c>
      <c r="I22" s="4">
        <v>46387</v>
      </c>
      <c r="J22" s="3" t="s">
        <v>188</v>
      </c>
      <c r="K22" s="3" t="str">
        <f t="shared" si="0"/>
        <v>T&amp;M-T&amp;M</v>
      </c>
      <c r="L22" s="21" t="s">
        <v>124</v>
      </c>
      <c r="M22" s="21" t="s">
        <v>46</v>
      </c>
      <c r="N22" s="21" t="s">
        <v>189</v>
      </c>
      <c r="O22" s="21" t="s">
        <v>186</v>
      </c>
      <c r="P22" s="21" t="s">
        <v>126</v>
      </c>
      <c r="Q22" s="21" t="s">
        <v>127</v>
      </c>
      <c r="R22" s="21" t="s">
        <v>128</v>
      </c>
      <c r="S22" s="21" t="s">
        <v>129</v>
      </c>
      <c r="T22" s="5">
        <v>302712</v>
      </c>
      <c r="U22" s="15">
        <v>32832.000000000007</v>
      </c>
      <c r="V22" s="15">
        <v>218880</v>
      </c>
      <c r="W22" s="15">
        <f t="shared" si="1"/>
        <v>213572</v>
      </c>
      <c r="X22" s="15">
        <f t="shared" si="7"/>
        <v>-5308</v>
      </c>
      <c r="Y22" s="15">
        <f t="shared" si="2"/>
        <v>0</v>
      </c>
      <c r="Z22" s="15">
        <f>SUM(Financials20263[[#This Row],[2026 Opportunity]:[2026 Risk]])</f>
        <v>-5308</v>
      </c>
      <c r="AA22" s="3" t="s">
        <v>186</v>
      </c>
      <c r="AB22" s="52">
        <f>Financials20263[[#This Row],[2026 Final Budget]]/12</f>
        <v>18240</v>
      </c>
      <c r="AC22" s="52">
        <v>18240</v>
      </c>
      <c r="AD22" s="52">
        <v>18240</v>
      </c>
      <c r="AE22" s="52">
        <v>18240</v>
      </c>
      <c r="AF22" s="52">
        <v>18240</v>
      </c>
      <c r="AG22" s="52">
        <v>18240</v>
      </c>
      <c r="AH22" s="52">
        <v>18240</v>
      </c>
      <c r="AI22" s="52">
        <v>18240</v>
      </c>
      <c r="AJ22" s="52">
        <v>18240</v>
      </c>
      <c r="AK22" s="52">
        <v>18240</v>
      </c>
      <c r="AL22" s="52">
        <v>18240</v>
      </c>
      <c r="AM22" s="52">
        <v>18240</v>
      </c>
      <c r="AN22" s="52">
        <f>SUM(Financials20263[[#This Row],[Jan FC]:[Dec FC]])</f>
        <v>218880</v>
      </c>
      <c r="AO22" s="15">
        <f t="shared" si="5"/>
        <v>127680</v>
      </c>
      <c r="AP22" s="61">
        <v>16128</v>
      </c>
      <c r="AQ22" s="61">
        <v>16464</v>
      </c>
      <c r="AR22" s="61">
        <v>16588</v>
      </c>
      <c r="AS22" s="61">
        <v>19104</v>
      </c>
      <c r="AT22" s="61">
        <v>17608</v>
      </c>
      <c r="AU22" s="61"/>
      <c r="AV22" s="61"/>
      <c r="AW22" s="61"/>
      <c r="AX22" s="61"/>
      <c r="AY22" s="61"/>
      <c r="AZ22" s="61"/>
      <c r="BA22" s="61"/>
      <c r="BB22" s="80">
        <f>SUM(Financials20263[[#This Row],[Jan AC]:[Dec AC]])</f>
        <v>85892</v>
      </c>
      <c r="BC22" s="71">
        <f>Financials20263[[#This Row],[Jan AC]]-Financials20263[[#This Row],[Jan FC]]</f>
        <v>-2112</v>
      </c>
      <c r="BD22" s="71">
        <f>Financials20263[[#This Row],[Feb AC]]-Financials20263[[#This Row],[Feb FC]]</f>
        <v>-1776</v>
      </c>
      <c r="BE22" s="71">
        <f>Financials20263[[#This Row],[Mar AC]]-Financials20263[[#This Row],[Mar FC]]</f>
        <v>-1652</v>
      </c>
      <c r="BF22" s="71">
        <f>Financials20263[[#This Row],[Apr AC]]-Financials20263[[#This Row],[Apr FC]]</f>
        <v>864</v>
      </c>
      <c r="BG22" s="71">
        <f>Financials20263[[#This Row],[May AC]]-Financials20263[[#This Row],[May FC]]</f>
        <v>-632</v>
      </c>
      <c r="BH22" s="71">
        <f>Financials20263[[#This Row],[Jun AC]]-Financials20263[[#This Row],[Jun FC]]</f>
        <v>-18240</v>
      </c>
      <c r="BI22" s="71">
        <f>Financials20263[[#This Row],[Jul AC]]-Financials20263[[#This Row],[Jul FC]]</f>
        <v>-18240</v>
      </c>
      <c r="BJ22" s="71">
        <f>Financials20263[[#This Row],[Aug AC]]-Financials20263[[#This Row],[Aug FC]]</f>
        <v>-18240</v>
      </c>
      <c r="BK22" s="71">
        <f>Financials20263[[#This Row],[Sep AC]]-Financials20263[[#This Row],[Sep FC]]</f>
        <v>-18240</v>
      </c>
      <c r="BL22" s="71">
        <f>Financials20263[[#This Row],[Oct AC]]-Financials20263[[#This Row],[Oct FC]]</f>
        <v>-18240</v>
      </c>
      <c r="BM22" s="71">
        <f>Financials20263[[#This Row],[Nov AC]]-Financials20263[[#This Row],[Nov FC]]</f>
        <v>-18240</v>
      </c>
      <c r="BN22" s="71">
        <f>Financials20263[[#This Row],[Dec AC]]-Financials20263[[#This Row],[Dec FC]]</f>
        <v>-18240</v>
      </c>
      <c r="BO22" s="71">
        <f>SUM(Financials20263[[#This Row],[Jan Opp/Risk]:[Dec Opp./Risk]])</f>
        <v>-132988</v>
      </c>
      <c r="BP22" s="89" t="s">
        <v>526</v>
      </c>
      <c r="BQ22" s="47">
        <f>SUM(Financials20263[[#This Row],[Jan AC]:[May AC]])</f>
        <v>85892</v>
      </c>
      <c r="BR22" s="6">
        <f>Financials20263[[#This Row],[2026 (Actuals + Forecast)]]-Financials20263[[#This Row],[Jan-May Actuals]]-Financials20263[[#This Row],[Jun-Dec FC]]</f>
        <v>0</v>
      </c>
      <c r="BS22" s="6">
        <f>Financials20263[[#This Row],[Jun-Dec FC]]+Financials20263[[#This Row],[Jan-May Forecast ]]</f>
        <v>127680</v>
      </c>
      <c r="BT22" s="6">
        <f>SUM(Financials20263[[#This Row],[Jan FC]:[May FC]])</f>
        <v>91200</v>
      </c>
      <c r="BU22" s="6">
        <f>Financials20263[[#This Row],[Jan-May Actuals]]+Financials20263[[#This Row],[Forecast Jun-Dec]]</f>
        <v>213572</v>
      </c>
      <c r="BV22" s="6"/>
      <c r="BW22" s="6"/>
      <c r="BX22" s="6"/>
    </row>
    <row r="23" spans="1:76" x14ac:dyDescent="0.3">
      <c r="A23" s="22" t="s">
        <v>101</v>
      </c>
      <c r="B23" s="21" t="s">
        <v>73</v>
      </c>
      <c r="C23" s="21" t="s">
        <v>190</v>
      </c>
      <c r="D23" s="10" t="s">
        <v>186</v>
      </c>
      <c r="E23" s="7" t="s">
        <v>186</v>
      </c>
      <c r="F23" s="3" t="s">
        <v>187</v>
      </c>
      <c r="G23" s="3" t="s">
        <v>48</v>
      </c>
      <c r="H23" s="4">
        <v>46023</v>
      </c>
      <c r="I23" s="4">
        <v>46387</v>
      </c>
      <c r="J23" s="3"/>
      <c r="K23" s="3" t="str">
        <f t="shared" si="0"/>
        <v>T&amp;M-T&amp;M</v>
      </c>
      <c r="L23" s="21" t="s">
        <v>124</v>
      </c>
      <c r="M23" s="21" t="s">
        <v>46</v>
      </c>
      <c r="N23" s="21" t="s">
        <v>189</v>
      </c>
      <c r="O23" s="21" t="s">
        <v>186</v>
      </c>
      <c r="P23" s="21" t="s">
        <v>126</v>
      </c>
      <c r="Q23" s="21" t="s">
        <v>127</v>
      </c>
      <c r="R23" s="21" t="s">
        <v>128</v>
      </c>
      <c r="S23" s="21" t="s">
        <v>129</v>
      </c>
      <c r="T23" s="5">
        <v>3007993</v>
      </c>
      <c r="U23" s="15">
        <v>1580266.3960475361</v>
      </c>
      <c r="V23" s="15">
        <v>1438080</v>
      </c>
      <c r="W23" s="15">
        <f t="shared" si="1"/>
        <v>1477609</v>
      </c>
      <c r="X23" s="15">
        <f t="shared" si="7"/>
        <v>0</v>
      </c>
      <c r="Y23" s="15">
        <f t="shared" si="2"/>
        <v>39529</v>
      </c>
      <c r="Z23" s="15">
        <f>SUM(Financials20263[[#This Row],[2026 Opportunity]:[2026 Risk]])</f>
        <v>39529</v>
      </c>
      <c r="AA23" s="3" t="s">
        <v>525</v>
      </c>
      <c r="AB23" s="52">
        <f>Financials20263[[#This Row],[2026 Final Budget]]/12</f>
        <v>119840</v>
      </c>
      <c r="AC23" s="52">
        <f>Financials20263[[#This Row],[2026 Final Budget]]/12</f>
        <v>119840</v>
      </c>
      <c r="AD23" s="52">
        <f>Financials20263[[#This Row],[2026 Final Budget]]/12</f>
        <v>119840</v>
      </c>
      <c r="AE23" s="52">
        <f>Financials20263[[#This Row],[2026 Final Budget]]/12</f>
        <v>119840</v>
      </c>
      <c r="AF23" s="52">
        <f>Financials20263[[#This Row],[2026 Final Budget]]/12</f>
        <v>119840</v>
      </c>
      <c r="AG23" s="52">
        <f>Financials20263[[#This Row],[2026 Final Budget]]/12</f>
        <v>119840</v>
      </c>
      <c r="AH23" s="52">
        <f>Financials20263[[#This Row],[2026 Final Budget]]/12</f>
        <v>119840</v>
      </c>
      <c r="AI23" s="52">
        <f>Financials20263[[#This Row],[2026 Final Budget]]/12</f>
        <v>119840</v>
      </c>
      <c r="AJ23" s="52">
        <f>Financials20263[[#This Row],[2026 Final Budget]]/12</f>
        <v>119840</v>
      </c>
      <c r="AK23" s="52">
        <f>Financials20263[[#This Row],[2026 Final Budget]]/12</f>
        <v>119840</v>
      </c>
      <c r="AL23" s="52">
        <f>Financials20263[[#This Row],[2026 Final Budget]]/12</f>
        <v>119840</v>
      </c>
      <c r="AM23" s="52">
        <f>Financials20263[[#This Row],[2026 Final Budget]]/12</f>
        <v>119840</v>
      </c>
      <c r="AN23" s="52">
        <f>SUM(Financials20263[[#This Row],[Jan FC]:[Dec FC]])</f>
        <v>1438080</v>
      </c>
      <c r="AO23" s="15">
        <f t="shared" si="5"/>
        <v>838880</v>
      </c>
      <c r="AP23" s="62">
        <v>115160</v>
      </c>
      <c r="AQ23" s="61">
        <v>107611</v>
      </c>
      <c r="AR23" s="61">
        <v>124972</v>
      </c>
      <c r="AS23" s="61">
        <v>151664</v>
      </c>
      <c r="AT23" s="61">
        <v>139322</v>
      </c>
      <c r="AU23" s="61"/>
      <c r="AV23" s="61"/>
      <c r="AW23" s="61"/>
      <c r="AX23" s="61"/>
      <c r="AY23" s="61"/>
      <c r="AZ23" s="61"/>
      <c r="BA23" s="61"/>
      <c r="BB23" s="80">
        <f>SUM(Financials20263[[#This Row],[Jan AC]:[Dec AC]])</f>
        <v>638729</v>
      </c>
      <c r="BC23" s="71">
        <f>Financials20263[[#This Row],[Jan AC]]-Financials20263[[#This Row],[Jan FC]]</f>
        <v>-4680</v>
      </c>
      <c r="BD23" s="71">
        <f>Financials20263[[#This Row],[Feb AC]]-Financials20263[[#This Row],[Feb FC]]</f>
        <v>-12229</v>
      </c>
      <c r="BE23" s="71">
        <f>Financials20263[[#This Row],[Mar AC]]-Financials20263[[#This Row],[Mar FC]]</f>
        <v>5132</v>
      </c>
      <c r="BF23" s="71">
        <f>Financials20263[[#This Row],[Apr AC]]-Financials20263[[#This Row],[Apr FC]]</f>
        <v>31824</v>
      </c>
      <c r="BG23" s="71">
        <f>Financials20263[[#This Row],[May AC]]-Financials20263[[#This Row],[May FC]]</f>
        <v>19482</v>
      </c>
      <c r="BH23" s="71">
        <f>Financials20263[[#This Row],[Jun AC]]-Financials20263[[#This Row],[Jun FC]]</f>
        <v>-119840</v>
      </c>
      <c r="BI23" s="71">
        <f>Financials20263[[#This Row],[Jul AC]]-Financials20263[[#This Row],[Jul FC]]</f>
        <v>-119840</v>
      </c>
      <c r="BJ23" s="71">
        <f>Financials20263[[#This Row],[Aug AC]]-Financials20263[[#This Row],[Aug FC]]</f>
        <v>-119840</v>
      </c>
      <c r="BK23" s="71">
        <f>Financials20263[[#This Row],[Sep AC]]-Financials20263[[#This Row],[Sep FC]]</f>
        <v>-119840</v>
      </c>
      <c r="BL23" s="71">
        <f>Financials20263[[#This Row],[Oct AC]]-Financials20263[[#This Row],[Oct FC]]</f>
        <v>-119840</v>
      </c>
      <c r="BM23" s="71">
        <f>Financials20263[[#This Row],[Nov AC]]-Financials20263[[#This Row],[Nov FC]]</f>
        <v>-119840</v>
      </c>
      <c r="BN23" s="71">
        <f>Financials20263[[#This Row],[Dec AC]]-Financials20263[[#This Row],[Dec FC]]</f>
        <v>-119840</v>
      </c>
      <c r="BO23" s="71">
        <f>SUM(Financials20263[[#This Row],[Jan Opp/Risk]:[Dec Opp./Risk]])</f>
        <v>-799351</v>
      </c>
      <c r="BP23" s="89" t="s">
        <v>526</v>
      </c>
      <c r="BQ23" s="47">
        <f>SUM(Financials20263[[#This Row],[Jan AC]:[May AC]])</f>
        <v>638729</v>
      </c>
      <c r="BR23" s="6">
        <f>Financials20263[[#This Row],[2026 (Actuals + Forecast)]]-Financials20263[[#This Row],[Jan-May Actuals]]-Financials20263[[#This Row],[Jun-Dec FC]]</f>
        <v>0</v>
      </c>
      <c r="BS23" s="6">
        <f>Financials20263[[#This Row],[Jun-Dec FC]]+Financials20263[[#This Row],[Jan-May Forecast ]]</f>
        <v>838880</v>
      </c>
      <c r="BT23" s="6">
        <f>SUM(Financials20263[[#This Row],[Jan FC]:[May FC]])</f>
        <v>599200</v>
      </c>
      <c r="BU23" s="6">
        <f>Financials20263[[#This Row],[Jan-May Actuals]]+Financials20263[[#This Row],[Forecast Jun-Dec]]</f>
        <v>1477609</v>
      </c>
      <c r="BV23" s="6"/>
      <c r="BW23" s="6"/>
      <c r="BX23" s="6"/>
    </row>
    <row r="24" spans="1:76" x14ac:dyDescent="0.3">
      <c r="A24" s="22" t="s">
        <v>101</v>
      </c>
      <c r="B24" s="21" t="s">
        <v>73</v>
      </c>
      <c r="C24" s="21" t="s">
        <v>190</v>
      </c>
      <c r="D24" s="10" t="s">
        <v>186</v>
      </c>
      <c r="E24" s="7" t="s">
        <v>186</v>
      </c>
      <c r="F24" s="3" t="s">
        <v>187</v>
      </c>
      <c r="G24" s="3" t="s">
        <v>49</v>
      </c>
      <c r="H24" s="4">
        <v>46023</v>
      </c>
      <c r="I24" s="4">
        <v>46387</v>
      </c>
      <c r="J24" s="3"/>
      <c r="K24" s="3" t="str">
        <f t="shared" si="0"/>
        <v>T&amp;M-T&amp;M</v>
      </c>
      <c r="L24" s="21" t="s">
        <v>124</v>
      </c>
      <c r="M24" s="21" t="s">
        <v>46</v>
      </c>
      <c r="N24" s="21" t="s">
        <v>189</v>
      </c>
      <c r="O24" s="21" t="s">
        <v>186</v>
      </c>
      <c r="P24" s="21" t="s">
        <v>126</v>
      </c>
      <c r="Q24" s="21" t="s">
        <v>127</v>
      </c>
      <c r="R24" s="21" t="s">
        <v>128</v>
      </c>
      <c r="S24" s="21" t="s">
        <v>129</v>
      </c>
      <c r="T24" s="5">
        <v>3007993</v>
      </c>
      <c r="U24" s="15">
        <v>424425.54146080924</v>
      </c>
      <c r="V24" s="15">
        <f>372480+41600</f>
        <v>414080</v>
      </c>
      <c r="W24" s="15">
        <f t="shared" si="1"/>
        <v>317902</v>
      </c>
      <c r="X24" s="15">
        <f t="shared" si="7"/>
        <v>-96178</v>
      </c>
      <c r="Y24" s="15">
        <f t="shared" si="2"/>
        <v>0</v>
      </c>
      <c r="Z24" s="15">
        <f>SUM(Financials20263[[#This Row],[2026 Opportunity]:[2026 Risk]])</f>
        <v>-96178</v>
      </c>
      <c r="AA24" s="3" t="s">
        <v>525</v>
      </c>
      <c r="AB24" s="53">
        <v>38560</v>
      </c>
      <c r="AC24" s="53">
        <v>38560</v>
      </c>
      <c r="AD24" s="53">
        <v>38560</v>
      </c>
      <c r="AE24" s="53">
        <v>38560</v>
      </c>
      <c r="AF24" s="53">
        <v>38560</v>
      </c>
      <c r="AG24" s="53">
        <f>38560-15840</f>
        <v>22720</v>
      </c>
      <c r="AH24" s="53">
        <f t="shared" ref="AH24:AM24" si="12">38560-15840</f>
        <v>22720</v>
      </c>
      <c r="AI24" s="53">
        <f t="shared" si="12"/>
        <v>22720</v>
      </c>
      <c r="AJ24" s="53">
        <f t="shared" si="12"/>
        <v>22720</v>
      </c>
      <c r="AK24" s="53">
        <f t="shared" si="12"/>
        <v>22720</v>
      </c>
      <c r="AL24" s="53">
        <f t="shared" si="12"/>
        <v>22720</v>
      </c>
      <c r="AM24" s="53">
        <f t="shared" si="12"/>
        <v>22720</v>
      </c>
      <c r="AN24" s="52">
        <f>SUM(Financials20263[[#This Row],[Jan FC]:[Dec FC]])</f>
        <v>351840</v>
      </c>
      <c r="AO24" s="15">
        <f t="shared" si="5"/>
        <v>159040</v>
      </c>
      <c r="AP24" s="62">
        <v>30336</v>
      </c>
      <c r="AQ24" s="61">
        <v>27266</v>
      </c>
      <c r="AR24" s="61">
        <f>46080-7144</f>
        <v>38936</v>
      </c>
      <c r="AS24" s="61">
        <f>45396-8272</f>
        <v>37124</v>
      </c>
      <c r="AT24" s="61">
        <f>33566-8366</f>
        <v>25200</v>
      </c>
      <c r="AU24" s="61"/>
      <c r="AV24" s="61"/>
      <c r="AW24" s="61"/>
      <c r="AX24" s="61"/>
      <c r="AY24" s="61"/>
      <c r="AZ24" s="61"/>
      <c r="BA24" s="61"/>
      <c r="BB24" s="80">
        <f>SUM(Financials20263[[#This Row],[Jan AC]:[Dec AC]])</f>
        <v>158862</v>
      </c>
      <c r="BC24" s="71">
        <f>Financials20263[[#This Row],[Jan AC]]-Financials20263[[#This Row],[Jan FC]]</f>
        <v>-8224</v>
      </c>
      <c r="BD24" s="71">
        <f>Financials20263[[#This Row],[Feb AC]]-Financials20263[[#This Row],[Feb FC]]</f>
        <v>-11294</v>
      </c>
      <c r="BE24" s="71">
        <f>Financials20263[[#This Row],[Mar AC]]-Financials20263[[#This Row],[Mar FC]]</f>
        <v>376</v>
      </c>
      <c r="BF24" s="71">
        <f>Financials20263[[#This Row],[Apr AC]]-Financials20263[[#This Row],[Apr FC]]</f>
        <v>-1436</v>
      </c>
      <c r="BG24" s="71">
        <f>Financials20263[[#This Row],[May AC]]-Financials20263[[#This Row],[May FC]]</f>
        <v>-13360</v>
      </c>
      <c r="BH24" s="71">
        <f>Financials20263[[#This Row],[Jun AC]]-Financials20263[[#This Row],[Jun FC]]</f>
        <v>-22720</v>
      </c>
      <c r="BI24" s="71">
        <f>Financials20263[[#This Row],[Jul AC]]-Financials20263[[#This Row],[Jul FC]]</f>
        <v>-22720</v>
      </c>
      <c r="BJ24" s="71">
        <f>Financials20263[[#This Row],[Aug AC]]-Financials20263[[#This Row],[Aug FC]]</f>
        <v>-22720</v>
      </c>
      <c r="BK24" s="71">
        <f>Financials20263[[#This Row],[Sep AC]]-Financials20263[[#This Row],[Sep FC]]</f>
        <v>-22720</v>
      </c>
      <c r="BL24" s="71">
        <f>Financials20263[[#This Row],[Oct AC]]-Financials20263[[#This Row],[Oct FC]]</f>
        <v>-22720</v>
      </c>
      <c r="BM24" s="71">
        <f>Financials20263[[#This Row],[Nov AC]]-Financials20263[[#This Row],[Nov FC]]</f>
        <v>-22720</v>
      </c>
      <c r="BN24" s="71">
        <f>Financials20263[[#This Row],[Dec AC]]-Financials20263[[#This Row],[Dec FC]]</f>
        <v>-22720</v>
      </c>
      <c r="BO24" s="71">
        <f>SUM(Financials20263[[#This Row],[Jan Opp/Risk]:[Dec Opp./Risk]])</f>
        <v>-192978</v>
      </c>
      <c r="BP24" s="89" t="s">
        <v>630</v>
      </c>
      <c r="BQ24" s="47">
        <f>SUM(Financials20263[[#This Row],[Jan AC]:[May AC]])</f>
        <v>158862</v>
      </c>
      <c r="BR24" s="6">
        <f>Financials20263[[#This Row],[2026 (Actuals + Forecast)]]-Financials20263[[#This Row],[Jan-May Actuals]]-Financials20263[[#This Row],[Jun-Dec FC]]</f>
        <v>0</v>
      </c>
      <c r="BS24" s="6">
        <f>Financials20263[[#This Row],[Jun-Dec FC]]+Financials20263[[#This Row],[Jan-May Forecast ]]</f>
        <v>159040</v>
      </c>
      <c r="BT24" s="6">
        <f>SUM(Financials20263[[#This Row],[Jan FC]:[May FC]])</f>
        <v>192800</v>
      </c>
      <c r="BU24" s="6">
        <f>Financials20263[[#This Row],[Jan-May Actuals]]+Financials20263[[#This Row],[Forecast Jun-Dec]]</f>
        <v>317902</v>
      </c>
      <c r="BV24" s="6"/>
      <c r="BW24" s="6"/>
      <c r="BX24" s="6"/>
    </row>
    <row r="25" spans="1:76" x14ac:dyDescent="0.3">
      <c r="A25" s="22" t="s">
        <v>101</v>
      </c>
      <c r="B25" s="21" t="s">
        <v>73</v>
      </c>
      <c r="C25" s="21" t="s">
        <v>190</v>
      </c>
      <c r="D25" s="10" t="s">
        <v>186</v>
      </c>
      <c r="E25" s="7" t="s">
        <v>186</v>
      </c>
      <c r="F25" s="3" t="s">
        <v>187</v>
      </c>
      <c r="G25" s="3" t="s">
        <v>50</v>
      </c>
      <c r="H25" s="4">
        <v>46023</v>
      </c>
      <c r="I25" s="4">
        <v>46387</v>
      </c>
      <c r="J25" s="3"/>
      <c r="K25" s="3" t="str">
        <f t="shared" si="0"/>
        <v>T&amp;M-T&amp;M</v>
      </c>
      <c r="L25" s="21" t="s">
        <v>124</v>
      </c>
      <c r="M25" s="21" t="s">
        <v>46</v>
      </c>
      <c r="N25" s="21" t="s">
        <v>189</v>
      </c>
      <c r="O25" s="21" t="s">
        <v>186</v>
      </c>
      <c r="P25" s="21" t="s">
        <v>126</v>
      </c>
      <c r="Q25" s="21" t="s">
        <v>127</v>
      </c>
      <c r="R25" s="21" t="s">
        <v>128</v>
      </c>
      <c r="S25" s="21" t="s">
        <v>129</v>
      </c>
      <c r="T25" s="5">
        <v>3007993</v>
      </c>
      <c r="U25" s="15">
        <v>1527639.5780478038</v>
      </c>
      <c r="V25" s="15">
        <v>1505280</v>
      </c>
      <c r="W25" s="15">
        <f t="shared" si="1"/>
        <v>1168776</v>
      </c>
      <c r="X25" s="15">
        <f t="shared" si="7"/>
        <v>-336504</v>
      </c>
      <c r="Y25" s="15">
        <f t="shared" si="2"/>
        <v>0</v>
      </c>
      <c r="Z25" s="15">
        <f>SUM(Financials20263[[#This Row],[2026 Opportunity]:[2026 Risk]])</f>
        <v>-336504</v>
      </c>
      <c r="AA25" s="3" t="s">
        <v>525</v>
      </c>
      <c r="AB25" s="53">
        <f>Financials20263[[#This Row],[2026 Final Budget]]/12</f>
        <v>125440</v>
      </c>
      <c r="AC25" s="53">
        <f>Financials20263[[#This Row],[2026 Final Budget]]/12</f>
        <v>125440</v>
      </c>
      <c r="AD25" s="53">
        <f>Financials20263[[#This Row],[2026 Final Budget]]/12</f>
        <v>125440</v>
      </c>
      <c r="AE25" s="53">
        <f>Financials20263[[#This Row],[2026 Final Budget]]/12</f>
        <v>125440</v>
      </c>
      <c r="AF25" s="53">
        <f>Financials20263[[#This Row],[2026 Final Budget]]/12</f>
        <v>125440</v>
      </c>
      <c r="AG25" s="53">
        <f>(Financials20263[[#This Row],[2026 Final Budget]]/12)-21000</f>
        <v>104440</v>
      </c>
      <c r="AH25" s="53">
        <f>(Financials20263[[#This Row],[2026 Final Budget]]/12)-21000</f>
        <v>104440</v>
      </c>
      <c r="AI25" s="53">
        <f>(Financials20263[[#This Row],[2026 Final Budget]]/12)-21000-17920</f>
        <v>86520</v>
      </c>
      <c r="AJ25" s="53">
        <f>(Financials20263[[#This Row],[2026 Final Budget]]/12)-21000-17920</f>
        <v>86520</v>
      </c>
      <c r="AK25" s="53">
        <f>(Financials20263[[#This Row],[2026 Final Budget]]/12)-21000-17920</f>
        <v>86520</v>
      </c>
      <c r="AL25" s="53">
        <f>(Financials20263[[#This Row],[2026 Final Budget]]/12)-21000-17920</f>
        <v>86520</v>
      </c>
      <c r="AM25" s="53">
        <f>(Financials20263[[#This Row],[2026 Final Budget]]/12)-21000-17920</f>
        <v>86520</v>
      </c>
      <c r="AN25" s="52">
        <f>SUM(Financials20263[[#This Row],[Jan FC]:[Dec FC]])</f>
        <v>1268680</v>
      </c>
      <c r="AO25" s="15">
        <f t="shared" si="5"/>
        <v>641480</v>
      </c>
      <c r="AP25" s="62">
        <v>108864</v>
      </c>
      <c r="AQ25" s="61">
        <v>104184</v>
      </c>
      <c r="AR25" s="61">
        <v>129488</v>
      </c>
      <c r="AS25" s="61">
        <v>93120</v>
      </c>
      <c r="AT25" s="61">
        <v>91640</v>
      </c>
      <c r="AU25" s="61"/>
      <c r="AV25" s="61"/>
      <c r="AW25" s="61"/>
      <c r="AX25" s="61"/>
      <c r="AY25" s="61"/>
      <c r="AZ25" s="61"/>
      <c r="BA25" s="61"/>
      <c r="BB25" s="80">
        <f>SUM(Financials20263[[#This Row],[Jan AC]:[Dec AC]])</f>
        <v>527296</v>
      </c>
      <c r="BC25" s="71">
        <f>Financials20263[[#This Row],[Jan AC]]-Financials20263[[#This Row],[Jan FC]]</f>
        <v>-16576</v>
      </c>
      <c r="BD25" s="71">
        <f>Financials20263[[#This Row],[Feb AC]]-Financials20263[[#This Row],[Feb FC]]</f>
        <v>-21256</v>
      </c>
      <c r="BE25" s="71">
        <f>Financials20263[[#This Row],[Mar AC]]-Financials20263[[#This Row],[Mar FC]]</f>
        <v>4048</v>
      </c>
      <c r="BF25" s="71">
        <f>Financials20263[[#This Row],[Apr AC]]-Financials20263[[#This Row],[Apr FC]]</f>
        <v>-32320</v>
      </c>
      <c r="BG25" s="71">
        <f>Financials20263[[#This Row],[May AC]]-Financials20263[[#This Row],[May FC]]</f>
        <v>-33800</v>
      </c>
      <c r="BH25" s="71">
        <f>Financials20263[[#This Row],[Jun AC]]-Financials20263[[#This Row],[Jun FC]]</f>
        <v>-104440</v>
      </c>
      <c r="BI25" s="71">
        <f>Financials20263[[#This Row],[Jul AC]]-Financials20263[[#This Row],[Jul FC]]</f>
        <v>-104440</v>
      </c>
      <c r="BJ25" s="71">
        <f>Financials20263[[#This Row],[Aug AC]]-Financials20263[[#This Row],[Aug FC]]</f>
        <v>-86520</v>
      </c>
      <c r="BK25" s="71">
        <f>Financials20263[[#This Row],[Sep AC]]-Financials20263[[#This Row],[Sep FC]]</f>
        <v>-86520</v>
      </c>
      <c r="BL25" s="71">
        <f>Financials20263[[#This Row],[Oct AC]]-Financials20263[[#This Row],[Oct FC]]</f>
        <v>-86520</v>
      </c>
      <c r="BM25" s="71">
        <f>Financials20263[[#This Row],[Nov AC]]-Financials20263[[#This Row],[Nov FC]]</f>
        <v>-86520</v>
      </c>
      <c r="BN25" s="71">
        <f>Financials20263[[#This Row],[Dec AC]]-Financials20263[[#This Row],[Dec FC]]</f>
        <v>-86520</v>
      </c>
      <c r="BO25" s="71">
        <f>SUM(Financials20263[[#This Row],[Jan Opp/Risk]:[Dec Opp./Risk]])</f>
        <v>-741384</v>
      </c>
      <c r="BP25" s="89" t="s">
        <v>631</v>
      </c>
      <c r="BQ25" s="47">
        <f>SUM(Financials20263[[#This Row],[Jan AC]:[May AC]])</f>
        <v>527296</v>
      </c>
      <c r="BR25" s="6">
        <f>Financials20263[[#This Row],[2026 (Actuals + Forecast)]]-Financials20263[[#This Row],[Jan-May Actuals]]-Financials20263[[#This Row],[Jun-Dec FC]]</f>
        <v>0</v>
      </c>
      <c r="BS25" s="6">
        <f>Financials20263[[#This Row],[Jun-Dec FC]]+Financials20263[[#This Row],[Jan-May Forecast ]]</f>
        <v>641480</v>
      </c>
      <c r="BT25" s="6">
        <f>SUM(Financials20263[[#This Row],[Jan FC]:[May FC]])</f>
        <v>627200</v>
      </c>
      <c r="BU25" s="6">
        <f>Financials20263[[#This Row],[Jan-May Actuals]]+Financials20263[[#This Row],[Forecast Jun-Dec]]</f>
        <v>1168776</v>
      </c>
      <c r="BV25" s="6"/>
      <c r="BW25" s="6"/>
      <c r="BX25" s="6"/>
    </row>
    <row r="26" spans="1:76" x14ac:dyDescent="0.3">
      <c r="A26" s="22" t="s">
        <v>101</v>
      </c>
      <c r="B26" s="21" t="s">
        <v>73</v>
      </c>
      <c r="C26" s="21" t="s">
        <v>190</v>
      </c>
      <c r="D26" s="10" t="s">
        <v>186</v>
      </c>
      <c r="E26" s="7" t="s">
        <v>186</v>
      </c>
      <c r="F26" s="3" t="s">
        <v>187</v>
      </c>
      <c r="G26" s="3" t="s">
        <v>53</v>
      </c>
      <c r="H26" s="4">
        <v>46023</v>
      </c>
      <c r="I26" s="4">
        <v>46387</v>
      </c>
      <c r="J26" s="3"/>
      <c r="K26" s="3" t="str">
        <f t="shared" si="0"/>
        <v>T&amp;M-T&amp;M</v>
      </c>
      <c r="L26" s="21" t="s">
        <v>124</v>
      </c>
      <c r="M26" s="21" t="s">
        <v>46</v>
      </c>
      <c r="N26" s="21" t="s">
        <v>189</v>
      </c>
      <c r="O26" s="21" t="s">
        <v>186</v>
      </c>
      <c r="P26" s="21" t="s">
        <v>126</v>
      </c>
      <c r="Q26" s="21" t="s">
        <v>127</v>
      </c>
      <c r="R26" s="21" t="s">
        <v>128</v>
      </c>
      <c r="S26" s="21" t="s">
        <v>129</v>
      </c>
      <c r="T26" s="5">
        <v>3007993</v>
      </c>
      <c r="U26" s="15">
        <v>116948.48444385102</v>
      </c>
      <c r="V26" s="15">
        <v>291840</v>
      </c>
      <c r="W26" s="15">
        <f t="shared" si="1"/>
        <v>294272</v>
      </c>
      <c r="X26" s="15">
        <f t="shared" si="7"/>
        <v>0</v>
      </c>
      <c r="Y26" s="15">
        <f t="shared" si="2"/>
        <v>2432</v>
      </c>
      <c r="Z26" s="15">
        <f>SUM(Financials20263[[#This Row],[2026 Opportunity]:[2026 Risk]])</f>
        <v>2432</v>
      </c>
      <c r="AA26" s="3" t="s">
        <v>525</v>
      </c>
      <c r="AB26" s="53">
        <f>Financials20263[[#This Row],[2026 Final Budget]]/12</f>
        <v>24320</v>
      </c>
      <c r="AC26" s="53">
        <f>Financials20263[[#This Row],[2026 Final Budget]]/12</f>
        <v>24320</v>
      </c>
      <c r="AD26" s="53">
        <f>Financials20263[[#This Row],[2026 Final Budget]]/12</f>
        <v>24320</v>
      </c>
      <c r="AE26" s="53">
        <f>Financials20263[[#This Row],[2026 Final Budget]]/12</f>
        <v>24320</v>
      </c>
      <c r="AF26" s="53">
        <f>Financials20263[[#This Row],[2026 Final Budget]]/12</f>
        <v>24320</v>
      </c>
      <c r="AG26" s="53">
        <f>Financials20263[[#This Row],[2026 Final Budget]]/12</f>
        <v>24320</v>
      </c>
      <c r="AH26" s="53">
        <f>Financials20263[[#This Row],[2026 Final Budget]]/12</f>
        <v>24320</v>
      </c>
      <c r="AI26" s="53">
        <f>Financials20263[[#This Row],[2026 Final Budget]]/12</f>
        <v>24320</v>
      </c>
      <c r="AJ26" s="53">
        <f>Financials20263[[#This Row],[2026 Final Budget]]/12</f>
        <v>24320</v>
      </c>
      <c r="AK26" s="53">
        <f>Financials20263[[#This Row],[2026 Final Budget]]/12</f>
        <v>24320</v>
      </c>
      <c r="AL26" s="53">
        <f>Financials20263[[#This Row],[2026 Final Budget]]/12</f>
        <v>24320</v>
      </c>
      <c r="AM26" s="53">
        <f>Financials20263[[#This Row],[2026 Final Budget]]/12</f>
        <v>24320</v>
      </c>
      <c r="AN26" s="52">
        <f>SUM(Financials20263[[#This Row],[Jan FC]:[Dec FC]])</f>
        <v>291840</v>
      </c>
      <c r="AO26" s="15">
        <f t="shared" si="5"/>
        <v>170240</v>
      </c>
      <c r="AP26" s="62">
        <v>24320</v>
      </c>
      <c r="AQ26" s="61">
        <v>24320</v>
      </c>
      <c r="AR26" s="61">
        <v>26752</v>
      </c>
      <c r="AS26" s="61">
        <f>31640-4888</f>
        <v>26752</v>
      </c>
      <c r="AT26" s="61">
        <f>29925-8037</f>
        <v>21888</v>
      </c>
      <c r="AU26" s="61"/>
      <c r="AV26" s="61"/>
      <c r="AW26" s="61"/>
      <c r="AX26" s="61"/>
      <c r="AY26" s="61"/>
      <c r="AZ26" s="61"/>
      <c r="BA26" s="61"/>
      <c r="BB26" s="80">
        <f>SUM(Financials20263[[#This Row],[Jan AC]:[Dec AC]])</f>
        <v>124032</v>
      </c>
      <c r="BC26" s="71">
        <f>Financials20263[[#This Row],[Jan AC]]-Financials20263[[#This Row],[Jan FC]]</f>
        <v>0</v>
      </c>
      <c r="BD26" s="71">
        <f>Financials20263[[#This Row],[Feb AC]]-Financials20263[[#This Row],[Feb FC]]</f>
        <v>0</v>
      </c>
      <c r="BE26" s="71">
        <f>Financials20263[[#This Row],[Mar AC]]-Financials20263[[#This Row],[Mar FC]]</f>
        <v>2432</v>
      </c>
      <c r="BF26" s="71">
        <f>Financials20263[[#This Row],[Apr AC]]-Financials20263[[#This Row],[Apr FC]]</f>
        <v>2432</v>
      </c>
      <c r="BG26" s="71">
        <f>Financials20263[[#This Row],[May AC]]-Financials20263[[#This Row],[May FC]]</f>
        <v>-2432</v>
      </c>
      <c r="BH26" s="71">
        <f>Financials20263[[#This Row],[Jun AC]]-Financials20263[[#This Row],[Jun FC]]</f>
        <v>-24320</v>
      </c>
      <c r="BI26" s="71">
        <f>Financials20263[[#This Row],[Jul AC]]-Financials20263[[#This Row],[Jul FC]]</f>
        <v>-24320</v>
      </c>
      <c r="BJ26" s="71">
        <f>Financials20263[[#This Row],[Aug AC]]-Financials20263[[#This Row],[Aug FC]]</f>
        <v>-24320</v>
      </c>
      <c r="BK26" s="71">
        <f>Financials20263[[#This Row],[Sep AC]]-Financials20263[[#This Row],[Sep FC]]</f>
        <v>-24320</v>
      </c>
      <c r="BL26" s="71">
        <f>Financials20263[[#This Row],[Oct AC]]-Financials20263[[#This Row],[Oct FC]]</f>
        <v>-24320</v>
      </c>
      <c r="BM26" s="71">
        <f>Financials20263[[#This Row],[Nov AC]]-Financials20263[[#This Row],[Nov FC]]</f>
        <v>-24320</v>
      </c>
      <c r="BN26" s="71">
        <f>Financials20263[[#This Row],[Dec AC]]-Financials20263[[#This Row],[Dec FC]]</f>
        <v>-24320</v>
      </c>
      <c r="BO26" s="71">
        <f>SUM(Financials20263[[#This Row],[Jan Opp/Risk]:[Dec Opp./Risk]])</f>
        <v>-167808</v>
      </c>
      <c r="BP26" s="89" t="s">
        <v>526</v>
      </c>
      <c r="BQ26" s="47">
        <f>SUM(Financials20263[[#This Row],[Jan AC]:[May AC]])</f>
        <v>124032</v>
      </c>
      <c r="BR26" s="6">
        <f>Financials20263[[#This Row],[2026 (Actuals + Forecast)]]-Financials20263[[#This Row],[Jan-May Actuals]]-Financials20263[[#This Row],[Jun-Dec FC]]</f>
        <v>0</v>
      </c>
      <c r="BS26" s="6">
        <f>Financials20263[[#This Row],[Jun-Dec FC]]+Financials20263[[#This Row],[Jan-May Forecast ]]</f>
        <v>170240</v>
      </c>
      <c r="BT26" s="6">
        <f>SUM(Financials20263[[#This Row],[Jan FC]:[May FC]])</f>
        <v>121600</v>
      </c>
      <c r="BU26" s="6">
        <f>Financials20263[[#This Row],[Jan-May Actuals]]+Financials20263[[#This Row],[Forecast Jun-Dec]]</f>
        <v>294272</v>
      </c>
      <c r="BV26" s="6"/>
      <c r="BW26" s="6"/>
      <c r="BX26" s="6"/>
    </row>
    <row r="27" spans="1:76" x14ac:dyDescent="0.3">
      <c r="A27" s="22" t="s">
        <v>101</v>
      </c>
      <c r="B27" s="21" t="s">
        <v>191</v>
      </c>
      <c r="C27" s="21" t="s">
        <v>192</v>
      </c>
      <c r="D27" s="10" t="s">
        <v>30</v>
      </c>
      <c r="E27" s="7" t="s">
        <v>193</v>
      </c>
      <c r="F27" s="3" t="s">
        <v>183</v>
      </c>
      <c r="G27" s="3" t="s">
        <v>48</v>
      </c>
      <c r="H27" s="4" t="s">
        <v>142</v>
      </c>
      <c r="I27" s="4" t="s">
        <v>142</v>
      </c>
      <c r="J27" s="3"/>
      <c r="K27" s="3" t="str">
        <f t="shared" si="0"/>
        <v>Prj000467-Support - Enterprise Tech Helpdesk</v>
      </c>
      <c r="L27" s="21" t="s">
        <v>124</v>
      </c>
      <c r="M27" s="21" t="s">
        <v>5</v>
      </c>
      <c r="N27" s="21" t="s">
        <v>125</v>
      </c>
      <c r="O27" s="21" t="s">
        <v>2</v>
      </c>
      <c r="P27" s="21" t="s">
        <v>126</v>
      </c>
      <c r="Q27" s="21" t="s">
        <v>127</v>
      </c>
      <c r="R27" s="21" t="s">
        <v>128</v>
      </c>
      <c r="S27" s="21" t="s">
        <v>129</v>
      </c>
      <c r="T27" s="5">
        <v>178950</v>
      </c>
      <c r="U27" s="15">
        <v>190000</v>
      </c>
      <c r="V27" s="15">
        <v>190000</v>
      </c>
      <c r="W27" s="15">
        <f t="shared" si="1"/>
        <v>116650</v>
      </c>
      <c r="X27" s="15">
        <f t="shared" si="7"/>
        <v>-73350</v>
      </c>
      <c r="Y27" s="15">
        <f t="shared" si="2"/>
        <v>0</v>
      </c>
      <c r="Z27" s="15">
        <f>SUM(Financials20263[[#This Row],[2026 Opportunity]:[2026 Risk]])</f>
        <v>-73350</v>
      </c>
      <c r="AA27" s="3" t="s">
        <v>640</v>
      </c>
      <c r="AB27" s="52">
        <v>15000</v>
      </c>
      <c r="AC27" s="52">
        <v>15000</v>
      </c>
      <c r="AD27" s="52">
        <v>15000</v>
      </c>
      <c r="AE27" s="52">
        <v>15000</v>
      </c>
      <c r="AF27" s="52">
        <v>15000</v>
      </c>
      <c r="AG27" s="52">
        <v>5950</v>
      </c>
      <c r="AH27" s="52">
        <v>5950</v>
      </c>
      <c r="AI27" s="52">
        <v>5950</v>
      </c>
      <c r="AJ27" s="52">
        <v>5950</v>
      </c>
      <c r="AK27" s="52">
        <v>5950</v>
      </c>
      <c r="AL27" s="52">
        <v>5950</v>
      </c>
      <c r="AM27" s="52">
        <v>5950</v>
      </c>
      <c r="AN27" s="52">
        <f>SUM(Financials20263[[#This Row],[Jan FC]:[Dec FC]])</f>
        <v>116650</v>
      </c>
      <c r="AO27" s="15">
        <f t="shared" si="5"/>
        <v>41650</v>
      </c>
      <c r="AP27" s="61">
        <v>15000</v>
      </c>
      <c r="AQ27" s="61">
        <v>15000</v>
      </c>
      <c r="AR27" s="61">
        <v>15000</v>
      </c>
      <c r="AS27" s="61">
        <v>15000</v>
      </c>
      <c r="AT27" s="61">
        <v>15000</v>
      </c>
      <c r="AU27" s="61">
        <v>5950</v>
      </c>
      <c r="AV27" s="61"/>
      <c r="AW27" s="61"/>
      <c r="AX27" s="61"/>
      <c r="AY27" s="61"/>
      <c r="AZ27" s="61"/>
      <c r="BA27" s="61"/>
      <c r="BB27" s="80">
        <f>SUM(Financials20263[[#This Row],[Jan AC]:[Dec AC]])</f>
        <v>80950</v>
      </c>
      <c r="BC27" s="71">
        <f>Financials20263[[#This Row],[Jan AC]]-Financials20263[[#This Row],[Jan FC]]</f>
        <v>0</v>
      </c>
      <c r="BD27" s="71">
        <f>Financials20263[[#This Row],[Feb AC]]-Financials20263[[#This Row],[Feb FC]]</f>
        <v>0</v>
      </c>
      <c r="BE27" s="71">
        <f>Financials20263[[#This Row],[Mar AC]]-Financials20263[[#This Row],[Mar FC]]</f>
        <v>0</v>
      </c>
      <c r="BF27" s="71">
        <f>Financials20263[[#This Row],[Apr AC]]-Financials20263[[#This Row],[Apr FC]]</f>
        <v>0</v>
      </c>
      <c r="BG27" s="71">
        <f>Financials20263[[#This Row],[May AC]]-Financials20263[[#This Row],[May FC]]</f>
        <v>0</v>
      </c>
      <c r="BH27" s="71">
        <f>Financials20263[[#This Row],[Jun AC]]-Financials20263[[#This Row],[Jun FC]]</f>
        <v>0</v>
      </c>
      <c r="BI27" s="71">
        <f>Financials20263[[#This Row],[Jul AC]]-Financials20263[[#This Row],[Jul FC]]</f>
        <v>-5950</v>
      </c>
      <c r="BJ27" s="71">
        <f>Financials20263[[#This Row],[Aug AC]]-Financials20263[[#This Row],[Aug FC]]</f>
        <v>-5950</v>
      </c>
      <c r="BK27" s="71">
        <f>Financials20263[[#This Row],[Sep AC]]-Financials20263[[#This Row],[Sep FC]]</f>
        <v>-5950</v>
      </c>
      <c r="BL27" s="71">
        <f>Financials20263[[#This Row],[Oct AC]]-Financials20263[[#This Row],[Oct FC]]</f>
        <v>-5950</v>
      </c>
      <c r="BM27" s="71">
        <f>Financials20263[[#This Row],[Nov AC]]-Financials20263[[#This Row],[Nov FC]]</f>
        <v>-5950</v>
      </c>
      <c r="BN27" s="71">
        <f>Financials20263[[#This Row],[Dec AC]]-Financials20263[[#This Row],[Dec FC]]</f>
        <v>-5950</v>
      </c>
      <c r="BO27" s="71">
        <f>SUM(Financials20263[[#This Row],[Jan Opp/Risk]:[Dec Opp./Risk]])</f>
        <v>-35700</v>
      </c>
      <c r="BP27" s="87" t="s">
        <v>519</v>
      </c>
      <c r="BQ27" s="47">
        <f>SUM(Financials20263[[#This Row],[Jan AC]:[May AC]])</f>
        <v>75000</v>
      </c>
      <c r="BR27" s="6">
        <f>Financials20263[[#This Row],[2026 (Actuals + Forecast)]]-Financials20263[[#This Row],[Jan-May Actuals]]-Financials20263[[#This Row],[Jun-Dec FC]]</f>
        <v>0</v>
      </c>
      <c r="BS27" s="6">
        <f>Financials20263[[#This Row],[Jun-Dec FC]]+Financials20263[[#This Row],[Jan-May Forecast ]]</f>
        <v>41650</v>
      </c>
      <c r="BT27" s="6">
        <f>SUM(Financials20263[[#This Row],[Jan FC]:[May FC]])</f>
        <v>75000</v>
      </c>
      <c r="BU27" s="6">
        <f>Financials20263[[#This Row],[Jan-May Actuals]]+Financials20263[[#This Row],[Forecast Jun-Dec]]</f>
        <v>116650</v>
      </c>
      <c r="BV27" s="6"/>
      <c r="BW27" s="6"/>
      <c r="BX27" s="6"/>
    </row>
    <row r="28" spans="1:76" ht="72" x14ac:dyDescent="0.3">
      <c r="A28" s="22" t="s">
        <v>101</v>
      </c>
      <c r="B28" s="21" t="s">
        <v>181</v>
      </c>
      <c r="C28" s="21"/>
      <c r="D28" s="10" t="s">
        <v>23</v>
      </c>
      <c r="E28" s="7" t="s">
        <v>194</v>
      </c>
      <c r="F28" s="3" t="s">
        <v>183</v>
      </c>
      <c r="G28" s="3" t="s">
        <v>51</v>
      </c>
      <c r="H28" s="4">
        <v>46023</v>
      </c>
      <c r="I28" s="4">
        <v>46387</v>
      </c>
      <c r="J28" s="3"/>
      <c r="K28" s="3" t="str">
        <f t="shared" si="0"/>
        <v>Prj000404-Support - QA CoE Management for Tech Horizontals</v>
      </c>
      <c r="L28" s="21" t="s">
        <v>124</v>
      </c>
      <c r="M28" s="21" t="s">
        <v>5</v>
      </c>
      <c r="N28" s="21" t="s">
        <v>125</v>
      </c>
      <c r="O28" s="21" t="s">
        <v>195</v>
      </c>
      <c r="P28" s="21" t="s">
        <v>126</v>
      </c>
      <c r="Q28" s="21" t="s">
        <v>127</v>
      </c>
      <c r="R28" s="21" t="s">
        <v>128</v>
      </c>
      <c r="S28" s="21" t="s">
        <v>129</v>
      </c>
      <c r="T28" s="5">
        <v>780191</v>
      </c>
      <c r="U28" s="15">
        <v>345000</v>
      </c>
      <c r="V28" s="15">
        <v>345000</v>
      </c>
      <c r="W28" s="15">
        <f t="shared" si="1"/>
        <v>592000</v>
      </c>
      <c r="X28" s="15">
        <f t="shared" si="7"/>
        <v>0</v>
      </c>
      <c r="Y28" s="15">
        <f t="shared" si="2"/>
        <v>247000</v>
      </c>
      <c r="Z28" s="15">
        <f>SUM(Financials20263[[#This Row],[2026 Opportunity]:[2026 Risk]])</f>
        <v>247000</v>
      </c>
      <c r="AA28" s="11" t="s">
        <v>196</v>
      </c>
      <c r="AB28" s="52">
        <f>Financials20263[[#This Row],[2026 Final Budget]]/12</f>
        <v>28750</v>
      </c>
      <c r="AC28" s="52">
        <f>Financials20263[[#This Row],[2026 Final Budget]]/12</f>
        <v>28750</v>
      </c>
      <c r="AD28" s="52">
        <v>41750</v>
      </c>
      <c r="AE28" s="52">
        <v>54750</v>
      </c>
      <c r="AF28" s="52">
        <v>54750</v>
      </c>
      <c r="AG28" s="52">
        <v>54750</v>
      </c>
      <c r="AH28" s="52">
        <v>54750</v>
      </c>
      <c r="AI28" s="52">
        <v>54750</v>
      </c>
      <c r="AJ28" s="52">
        <v>54750</v>
      </c>
      <c r="AK28" s="52">
        <v>54750</v>
      </c>
      <c r="AL28" s="52">
        <v>54750</v>
      </c>
      <c r="AM28" s="52">
        <v>54750</v>
      </c>
      <c r="AN28" s="52">
        <f>SUM(Financials20263[[#This Row],[Jan FC]:[Dec FC]])</f>
        <v>592000</v>
      </c>
      <c r="AO28" s="15">
        <f t="shared" si="5"/>
        <v>383250</v>
      </c>
      <c r="AP28" s="61">
        <v>28750</v>
      </c>
      <c r="AQ28" s="61">
        <v>28750</v>
      </c>
      <c r="AR28" s="61">
        <v>41750</v>
      </c>
      <c r="AS28" s="61">
        <v>54750</v>
      </c>
      <c r="AT28" s="61"/>
      <c r="AU28" s="61"/>
      <c r="AV28" s="61"/>
      <c r="AW28" s="61"/>
      <c r="AX28" s="61"/>
      <c r="AY28" s="61"/>
      <c r="AZ28" s="61"/>
      <c r="BA28" s="61"/>
      <c r="BB28" s="80">
        <f>SUM(Financials20263[[#This Row],[Jan AC]:[Dec AC]])</f>
        <v>154000</v>
      </c>
      <c r="BC28" s="71">
        <f>Financials20263[[#This Row],[Jan AC]]-Financials20263[[#This Row],[Jan FC]]</f>
        <v>0</v>
      </c>
      <c r="BD28" s="71">
        <f>Financials20263[[#This Row],[Feb AC]]-Financials20263[[#This Row],[Feb FC]]</f>
        <v>0</v>
      </c>
      <c r="BE28" s="71">
        <f>Financials20263[[#This Row],[Mar AC]]-Financials20263[[#This Row],[Mar FC]]</f>
        <v>0</v>
      </c>
      <c r="BF28" s="71">
        <f>Financials20263[[#This Row],[Apr AC]]-Financials20263[[#This Row],[Apr FC]]</f>
        <v>0</v>
      </c>
      <c r="BG28" s="71">
        <f>Financials20263[[#This Row],[May AC]]-Financials20263[[#This Row],[May FC]]</f>
        <v>-54750</v>
      </c>
      <c r="BH28" s="71">
        <f>Financials20263[[#This Row],[Jun AC]]-Financials20263[[#This Row],[Jun FC]]</f>
        <v>-54750</v>
      </c>
      <c r="BI28" s="71">
        <f>Financials20263[[#This Row],[Jul AC]]-Financials20263[[#This Row],[Jul FC]]</f>
        <v>-54750</v>
      </c>
      <c r="BJ28" s="71">
        <f>Financials20263[[#This Row],[Aug AC]]-Financials20263[[#This Row],[Aug FC]]</f>
        <v>-54750</v>
      </c>
      <c r="BK28" s="71">
        <f>Financials20263[[#This Row],[Sep AC]]-Financials20263[[#This Row],[Sep FC]]</f>
        <v>-54750</v>
      </c>
      <c r="BL28" s="71">
        <f>Financials20263[[#This Row],[Oct AC]]-Financials20263[[#This Row],[Oct FC]]</f>
        <v>-54750</v>
      </c>
      <c r="BM28" s="71">
        <f>Financials20263[[#This Row],[Nov AC]]-Financials20263[[#This Row],[Nov FC]]</f>
        <v>-54750</v>
      </c>
      <c r="BN28" s="71">
        <f>Financials20263[[#This Row],[Dec AC]]-Financials20263[[#This Row],[Dec FC]]</f>
        <v>-54750</v>
      </c>
      <c r="BO28" s="71">
        <f>SUM(Financials20263[[#This Row],[Jan Opp/Risk]:[Dec Opp./Risk]])</f>
        <v>-438000</v>
      </c>
      <c r="BP28" s="87" t="s">
        <v>529</v>
      </c>
      <c r="BQ28" s="47">
        <f>SUM(Financials20263[[#This Row],[Jan AC]:[May AC]])</f>
        <v>154000</v>
      </c>
      <c r="BR28" s="6">
        <f>Financials20263[[#This Row],[2026 (Actuals + Forecast)]]-Financials20263[[#This Row],[Jan-May Actuals]]-Financials20263[[#This Row],[Jun-Dec FC]]</f>
        <v>54750</v>
      </c>
      <c r="BS28" s="6">
        <f>Financials20263[[#This Row],[Jun-Dec FC]]+Financials20263[[#This Row],[Jan-May Forecast ]]</f>
        <v>438000</v>
      </c>
      <c r="BT28" s="6">
        <f>SUM(Financials20263[[#This Row],[Jan FC]:[May FC]])</f>
        <v>208750</v>
      </c>
      <c r="BU28" s="6">
        <f>Financials20263[[#This Row],[Jan-May Actuals]]+Financials20263[[#This Row],[Forecast Jun-Dec]]</f>
        <v>592000</v>
      </c>
      <c r="BV28" s="6"/>
      <c r="BW28" s="6"/>
      <c r="BX28" s="6"/>
    </row>
    <row r="29" spans="1:76" x14ac:dyDescent="0.3">
      <c r="A29" s="22" t="s">
        <v>101</v>
      </c>
      <c r="B29" s="21" t="s">
        <v>181</v>
      </c>
      <c r="C29" s="21"/>
      <c r="D29" s="10" t="s">
        <v>186</v>
      </c>
      <c r="E29" s="7" t="s">
        <v>186</v>
      </c>
      <c r="F29" s="3" t="s">
        <v>187</v>
      </c>
      <c r="G29" s="3" t="s">
        <v>48</v>
      </c>
      <c r="H29" s="4">
        <v>46023</v>
      </c>
      <c r="I29" s="4">
        <v>46387</v>
      </c>
      <c r="J29" s="3"/>
      <c r="K29" s="3" t="str">
        <f t="shared" si="0"/>
        <v>T&amp;M-T&amp;M</v>
      </c>
      <c r="L29" s="21" t="s">
        <v>124</v>
      </c>
      <c r="M29" s="21" t="s">
        <v>46</v>
      </c>
      <c r="N29" s="21" t="s">
        <v>189</v>
      </c>
      <c r="O29" s="21" t="s">
        <v>186</v>
      </c>
      <c r="P29" s="21" t="s">
        <v>126</v>
      </c>
      <c r="Q29" s="21" t="s">
        <v>127</v>
      </c>
      <c r="R29" s="21" t="s">
        <v>128</v>
      </c>
      <c r="S29" s="21" t="s">
        <v>129</v>
      </c>
      <c r="T29" s="5">
        <v>1019762.75</v>
      </c>
      <c r="U29" s="15">
        <v>180884.67598475222</v>
      </c>
      <c r="V29" s="15">
        <v>403200</v>
      </c>
      <c r="W29" s="15">
        <f t="shared" si="1"/>
        <v>558763.91999999993</v>
      </c>
      <c r="X29" s="15">
        <f t="shared" si="7"/>
        <v>0</v>
      </c>
      <c r="Y29" s="15">
        <f t="shared" si="2"/>
        <v>155563.91999999993</v>
      </c>
      <c r="Z29" s="15">
        <f>SUM(Financials20263[[#This Row],[2026 Opportunity]:[2026 Risk]])</f>
        <v>155563.91999999993</v>
      </c>
      <c r="AA29" s="3" t="s">
        <v>197</v>
      </c>
      <c r="AB29" s="52">
        <f>Financials20263[[#This Row],[2026 Final Budget]]/12</f>
        <v>33600</v>
      </c>
      <c r="AC29" s="52">
        <f>Financials20263[[#This Row],[2026 Final Budget]]/12</f>
        <v>33600</v>
      </c>
      <c r="AD29" s="52">
        <f>Financials20263[[#This Row],[2026 Final Budget]]/12</f>
        <v>33600</v>
      </c>
      <c r="AE29" s="52">
        <f>Financials20263[[#This Row],[2026 Final Budget]]/12</f>
        <v>33600</v>
      </c>
      <c r="AF29" s="52">
        <f>Financials20263[[#This Row],[2026 Final Budget]]/12</f>
        <v>33600</v>
      </c>
      <c r="AG29" s="52">
        <f>Financials20263[[#This Row],[2026 Final Budget]]/12</f>
        <v>33600</v>
      </c>
      <c r="AH29" s="52">
        <f>Financials20263[[#This Row],[2026 Final Budget]]/12</f>
        <v>33600</v>
      </c>
      <c r="AI29" s="52">
        <f>Financials20263[[#This Row],[2026 Final Budget]]/12</f>
        <v>33600</v>
      </c>
      <c r="AJ29" s="52">
        <f>Financials20263[[#This Row],[2026 Final Budget]]/12</f>
        <v>33600</v>
      </c>
      <c r="AK29" s="52">
        <f>Financials20263[[#This Row],[2026 Final Budget]]/12</f>
        <v>33600</v>
      </c>
      <c r="AL29" s="52">
        <f>Financials20263[[#This Row],[2026 Final Budget]]/12</f>
        <v>33600</v>
      </c>
      <c r="AM29" s="52">
        <f>Financials20263[[#This Row],[2026 Final Budget]]/12</f>
        <v>33600</v>
      </c>
      <c r="AN29" s="52">
        <f>SUM(Financials20263[[#This Row],[Jan FC]:[Dec FC]])</f>
        <v>403200</v>
      </c>
      <c r="AO29" s="15">
        <f t="shared" si="5"/>
        <v>235200</v>
      </c>
      <c r="AP29" s="61">
        <f>33600+23360.56</f>
        <v>56960.56</v>
      </c>
      <c r="AQ29" s="61">
        <f>28560+60962.8</f>
        <v>89522.8</v>
      </c>
      <c r="AR29" s="61">
        <v>106520.55999999998</v>
      </c>
      <c r="AS29" s="61">
        <v>36960</v>
      </c>
      <c r="AT29" s="61">
        <v>33600</v>
      </c>
      <c r="AU29" s="61"/>
      <c r="AV29" s="61"/>
      <c r="AW29" s="61"/>
      <c r="AX29" s="61"/>
      <c r="AY29" s="61"/>
      <c r="AZ29" s="61"/>
      <c r="BA29" s="61"/>
      <c r="BB29" s="80">
        <f>SUM(Financials20263[[#This Row],[Jan AC]:[Dec AC]])</f>
        <v>323563.92</v>
      </c>
      <c r="BC29" s="71">
        <f>Financials20263[[#This Row],[Jan AC]]-Financials20263[[#This Row],[Jan FC]]</f>
        <v>23360.559999999998</v>
      </c>
      <c r="BD29" s="71">
        <f>Financials20263[[#This Row],[Feb AC]]-Financials20263[[#This Row],[Feb FC]]</f>
        <v>55922.8</v>
      </c>
      <c r="BE29" s="71">
        <f>Financials20263[[#This Row],[Mar AC]]-Financials20263[[#This Row],[Mar FC]]</f>
        <v>72920.559999999983</v>
      </c>
      <c r="BF29" s="71">
        <f>Financials20263[[#This Row],[Apr AC]]-Financials20263[[#This Row],[Apr FC]]</f>
        <v>3360</v>
      </c>
      <c r="BG29" s="71">
        <f>Financials20263[[#This Row],[May AC]]-Financials20263[[#This Row],[May FC]]</f>
        <v>0</v>
      </c>
      <c r="BH29" s="71">
        <f>Financials20263[[#This Row],[Jun AC]]-Financials20263[[#This Row],[Jun FC]]</f>
        <v>-33600</v>
      </c>
      <c r="BI29" s="71">
        <f>Financials20263[[#This Row],[Jul AC]]-Financials20263[[#This Row],[Jul FC]]</f>
        <v>-33600</v>
      </c>
      <c r="BJ29" s="71">
        <f>Financials20263[[#This Row],[Aug AC]]-Financials20263[[#This Row],[Aug FC]]</f>
        <v>-33600</v>
      </c>
      <c r="BK29" s="71">
        <f>Financials20263[[#This Row],[Sep AC]]-Financials20263[[#This Row],[Sep FC]]</f>
        <v>-33600</v>
      </c>
      <c r="BL29" s="71">
        <f>Financials20263[[#This Row],[Oct AC]]-Financials20263[[#This Row],[Oct FC]]</f>
        <v>-33600</v>
      </c>
      <c r="BM29" s="71">
        <f>Financials20263[[#This Row],[Nov AC]]-Financials20263[[#This Row],[Nov FC]]</f>
        <v>-33600</v>
      </c>
      <c r="BN29" s="71">
        <f>Financials20263[[#This Row],[Dec AC]]-Financials20263[[#This Row],[Dec FC]]</f>
        <v>-33600</v>
      </c>
      <c r="BO29" s="71">
        <f>SUM(Financials20263[[#This Row],[Jan Opp/Risk]:[Dec Opp./Risk]])</f>
        <v>-79636.080000000016</v>
      </c>
      <c r="BP29" s="89" t="s">
        <v>526</v>
      </c>
      <c r="BQ29" s="47">
        <f>SUM(Financials20263[[#This Row],[Jan AC]:[May AC]])</f>
        <v>323563.92</v>
      </c>
      <c r="BR29" s="6">
        <f>Financials20263[[#This Row],[2026 (Actuals + Forecast)]]-Financials20263[[#This Row],[Jan-May Actuals]]-Financials20263[[#This Row],[Jun-Dec FC]]</f>
        <v>0</v>
      </c>
      <c r="BS29" s="6">
        <f>Financials20263[[#This Row],[Jun-Dec FC]]+Financials20263[[#This Row],[Jan-May Forecast ]]</f>
        <v>235200</v>
      </c>
      <c r="BT29" s="6">
        <f>SUM(Financials20263[[#This Row],[Jan FC]:[May FC]])</f>
        <v>168000</v>
      </c>
      <c r="BU29" s="6">
        <f>Financials20263[[#This Row],[Jan-May Actuals]]+Financials20263[[#This Row],[Forecast Jun-Dec]]</f>
        <v>558763.91999999993</v>
      </c>
      <c r="BV29" s="6"/>
      <c r="BW29" s="6"/>
      <c r="BX29" s="6"/>
    </row>
    <row r="30" spans="1:76" x14ac:dyDescent="0.3">
      <c r="A30" s="22" t="s">
        <v>101</v>
      </c>
      <c r="B30" s="21" t="s">
        <v>181</v>
      </c>
      <c r="C30" s="21"/>
      <c r="D30" s="10" t="s">
        <v>186</v>
      </c>
      <c r="E30" s="7" t="s">
        <v>186</v>
      </c>
      <c r="F30" s="3" t="s">
        <v>187</v>
      </c>
      <c r="G30" s="3" t="s">
        <v>50</v>
      </c>
      <c r="H30" s="4">
        <v>46023</v>
      </c>
      <c r="I30" s="4">
        <v>46387</v>
      </c>
      <c r="J30" s="3"/>
      <c r="K30" s="3" t="str">
        <f t="shared" si="0"/>
        <v>T&amp;M-T&amp;M</v>
      </c>
      <c r="L30" s="21" t="s">
        <v>124</v>
      </c>
      <c r="M30" s="21" t="s">
        <v>46</v>
      </c>
      <c r="N30" s="21" t="s">
        <v>189</v>
      </c>
      <c r="O30" s="21" t="s">
        <v>186</v>
      </c>
      <c r="P30" s="21" t="s">
        <v>126</v>
      </c>
      <c r="Q30" s="21" t="s">
        <v>127</v>
      </c>
      <c r="R30" s="21" t="s">
        <v>128</v>
      </c>
      <c r="S30" s="21" t="s">
        <v>129</v>
      </c>
      <c r="T30" s="5">
        <v>1019762.75</v>
      </c>
      <c r="U30" s="15">
        <v>245679.18678526054</v>
      </c>
      <c r="V30" s="15">
        <v>252000</v>
      </c>
      <c r="W30" s="15">
        <f t="shared" si="1"/>
        <v>244650</v>
      </c>
      <c r="X30" s="15">
        <f t="shared" si="7"/>
        <v>-7350</v>
      </c>
      <c r="Y30" s="15">
        <f t="shared" si="2"/>
        <v>0</v>
      </c>
      <c r="Z30" s="15">
        <f>SUM(Financials20263[[#This Row],[2026 Opportunity]:[2026 Risk]])</f>
        <v>-7350</v>
      </c>
      <c r="AA30" s="3" t="s">
        <v>197</v>
      </c>
      <c r="AB30" s="52">
        <f>Financials20263[[#This Row],[2026 Final Budget]]/12</f>
        <v>21000</v>
      </c>
      <c r="AC30" s="52">
        <f>Financials20263[[#This Row],[2026 Final Budget]]/12</f>
        <v>21000</v>
      </c>
      <c r="AD30" s="52">
        <f>Financials20263[[#This Row],[2026 Final Budget]]/12</f>
        <v>21000</v>
      </c>
      <c r="AE30" s="52">
        <f>Financials20263[[#This Row],[2026 Final Budget]]/12</f>
        <v>21000</v>
      </c>
      <c r="AF30" s="52">
        <f>Financials20263[[#This Row],[2026 Final Budget]]/12</f>
        <v>21000</v>
      </c>
      <c r="AG30" s="52">
        <f>Financials20263[[#This Row],[2026 Final Budget]]/12</f>
        <v>21000</v>
      </c>
      <c r="AH30" s="52">
        <f>Financials20263[[#This Row],[2026 Final Budget]]/12</f>
        <v>21000</v>
      </c>
      <c r="AI30" s="52">
        <f>Financials20263[[#This Row],[2026 Final Budget]]/12</f>
        <v>21000</v>
      </c>
      <c r="AJ30" s="52">
        <f>Financials20263[[#This Row],[2026 Final Budget]]/12</f>
        <v>21000</v>
      </c>
      <c r="AK30" s="52">
        <f>Financials20263[[#This Row],[2026 Final Budget]]/12</f>
        <v>21000</v>
      </c>
      <c r="AL30" s="52">
        <f>Financials20263[[#This Row],[2026 Final Budget]]/12</f>
        <v>21000</v>
      </c>
      <c r="AM30" s="52">
        <f>Financials20263[[#This Row],[2026 Final Budget]]/12</f>
        <v>21000</v>
      </c>
      <c r="AN30" s="52">
        <f>SUM(Financials20263[[#This Row],[Jan FC]:[Dec FC]])</f>
        <v>252000</v>
      </c>
      <c r="AO30" s="15">
        <f t="shared" si="5"/>
        <v>147000</v>
      </c>
      <c r="AP30" s="61">
        <v>21000</v>
      </c>
      <c r="AQ30" s="61">
        <v>19950</v>
      </c>
      <c r="AR30" s="61">
        <v>23100</v>
      </c>
      <c r="AS30" s="61">
        <v>17850</v>
      </c>
      <c r="AT30" s="61">
        <v>15750</v>
      </c>
      <c r="AU30" s="61"/>
      <c r="AV30" s="61"/>
      <c r="AW30" s="61"/>
      <c r="AX30" s="61"/>
      <c r="AY30" s="61"/>
      <c r="AZ30" s="61"/>
      <c r="BA30" s="61"/>
      <c r="BB30" s="80">
        <f>SUM(Financials20263[[#This Row],[Jan AC]:[Dec AC]])</f>
        <v>97650</v>
      </c>
      <c r="BC30" s="71">
        <f>Financials20263[[#This Row],[Jan AC]]-Financials20263[[#This Row],[Jan FC]]</f>
        <v>0</v>
      </c>
      <c r="BD30" s="71">
        <f>Financials20263[[#This Row],[Feb AC]]-Financials20263[[#This Row],[Feb FC]]</f>
        <v>-1050</v>
      </c>
      <c r="BE30" s="71">
        <f>Financials20263[[#This Row],[Mar AC]]-Financials20263[[#This Row],[Mar FC]]</f>
        <v>2100</v>
      </c>
      <c r="BF30" s="71">
        <f>Financials20263[[#This Row],[Apr AC]]-Financials20263[[#This Row],[Apr FC]]</f>
        <v>-3150</v>
      </c>
      <c r="BG30" s="71">
        <f>Financials20263[[#This Row],[May AC]]-Financials20263[[#This Row],[May FC]]</f>
        <v>-5250</v>
      </c>
      <c r="BH30" s="71">
        <f>Financials20263[[#This Row],[Jun AC]]-Financials20263[[#This Row],[Jun FC]]</f>
        <v>-21000</v>
      </c>
      <c r="BI30" s="71">
        <f>Financials20263[[#This Row],[Jul AC]]-Financials20263[[#This Row],[Jul FC]]</f>
        <v>-21000</v>
      </c>
      <c r="BJ30" s="71">
        <f>Financials20263[[#This Row],[Aug AC]]-Financials20263[[#This Row],[Aug FC]]</f>
        <v>-21000</v>
      </c>
      <c r="BK30" s="71">
        <f>Financials20263[[#This Row],[Sep AC]]-Financials20263[[#This Row],[Sep FC]]</f>
        <v>-21000</v>
      </c>
      <c r="BL30" s="71">
        <f>Financials20263[[#This Row],[Oct AC]]-Financials20263[[#This Row],[Oct FC]]</f>
        <v>-21000</v>
      </c>
      <c r="BM30" s="71">
        <f>Financials20263[[#This Row],[Nov AC]]-Financials20263[[#This Row],[Nov FC]]</f>
        <v>-21000</v>
      </c>
      <c r="BN30" s="71">
        <f>Financials20263[[#This Row],[Dec AC]]-Financials20263[[#This Row],[Dec FC]]</f>
        <v>-21000</v>
      </c>
      <c r="BO30" s="71">
        <f>SUM(Financials20263[[#This Row],[Jan Opp/Risk]:[Dec Opp./Risk]])</f>
        <v>-154350</v>
      </c>
      <c r="BP30" s="89" t="s">
        <v>526</v>
      </c>
      <c r="BQ30" s="47">
        <f>SUM(Financials20263[[#This Row],[Jan AC]:[May AC]])</f>
        <v>97650</v>
      </c>
      <c r="BR30" s="6">
        <f>Financials20263[[#This Row],[2026 (Actuals + Forecast)]]-Financials20263[[#This Row],[Jan-May Actuals]]-Financials20263[[#This Row],[Jun-Dec FC]]</f>
        <v>0</v>
      </c>
      <c r="BS30" s="6">
        <f>Financials20263[[#This Row],[Jun-Dec FC]]+Financials20263[[#This Row],[Jan-May Forecast ]]</f>
        <v>147000</v>
      </c>
      <c r="BT30" s="6">
        <f>SUM(Financials20263[[#This Row],[Jan FC]:[May FC]])</f>
        <v>105000</v>
      </c>
      <c r="BU30" s="6">
        <f>Financials20263[[#This Row],[Jan-May Actuals]]+Financials20263[[#This Row],[Forecast Jun-Dec]]</f>
        <v>244650</v>
      </c>
      <c r="BV30" s="6"/>
      <c r="BW30" s="6"/>
      <c r="BX30" s="6"/>
    </row>
    <row r="31" spans="1:76" x14ac:dyDescent="0.3">
      <c r="A31" s="22" t="s">
        <v>101</v>
      </c>
      <c r="B31" s="21" t="s">
        <v>181</v>
      </c>
      <c r="C31" s="21"/>
      <c r="D31" s="10" t="s">
        <v>186</v>
      </c>
      <c r="E31" s="7" t="s">
        <v>186</v>
      </c>
      <c r="F31" s="3" t="s">
        <v>187</v>
      </c>
      <c r="G31" s="3" t="s">
        <v>51</v>
      </c>
      <c r="H31" s="4">
        <v>46023</v>
      </c>
      <c r="I31" s="4">
        <v>46387</v>
      </c>
      <c r="J31" s="3"/>
      <c r="K31" s="3" t="str">
        <f t="shared" si="0"/>
        <v>T&amp;M-T&amp;M</v>
      </c>
      <c r="L31" s="21" t="s">
        <v>124</v>
      </c>
      <c r="M31" s="21" t="s">
        <v>46</v>
      </c>
      <c r="N31" s="21" t="s">
        <v>189</v>
      </c>
      <c r="O31" s="21" t="s">
        <v>186</v>
      </c>
      <c r="P31" s="21" t="s">
        <v>126</v>
      </c>
      <c r="Q31" s="21" t="s">
        <v>127</v>
      </c>
      <c r="R31" s="21" t="s">
        <v>128</v>
      </c>
      <c r="S31" s="21" t="s">
        <v>129</v>
      </c>
      <c r="T31" s="5">
        <v>1019762.75</v>
      </c>
      <c r="U31" s="15">
        <v>539054.33290978405</v>
      </c>
      <c r="V31" s="15">
        <v>600000</v>
      </c>
      <c r="W31" s="15">
        <f t="shared" si="1"/>
        <v>321040</v>
      </c>
      <c r="X31" s="15">
        <f t="shared" si="7"/>
        <v>-278960</v>
      </c>
      <c r="Y31" s="15">
        <f t="shared" si="2"/>
        <v>0</v>
      </c>
      <c r="Z31" s="15">
        <f>SUM(Financials20263[[#This Row],[2026 Opportunity]:[2026 Risk]])</f>
        <v>-278960</v>
      </c>
      <c r="AA31" s="3" t="s">
        <v>197</v>
      </c>
      <c r="AB31" s="52">
        <f>Financials20263[[#This Row],[2026 Final Budget]]/12</f>
        <v>50000</v>
      </c>
      <c r="AC31" s="52">
        <f>50000-26000</f>
        <v>24000</v>
      </c>
      <c r="AD31" s="52">
        <f t="shared" ref="AD31:AE31" si="13">50000-26000</f>
        <v>24000</v>
      </c>
      <c r="AE31" s="52">
        <f t="shared" si="13"/>
        <v>24000</v>
      </c>
      <c r="AF31" s="52">
        <f>50000-26000</f>
        <v>24000</v>
      </c>
      <c r="AG31" s="52">
        <f>50000-26000</f>
        <v>24000</v>
      </c>
      <c r="AH31" s="52">
        <f t="shared" ref="AH31:AM31" si="14">50000-26000</f>
        <v>24000</v>
      </c>
      <c r="AI31" s="52">
        <f t="shared" si="14"/>
        <v>24000</v>
      </c>
      <c r="AJ31" s="52">
        <f t="shared" si="14"/>
        <v>24000</v>
      </c>
      <c r="AK31" s="52">
        <f t="shared" si="14"/>
        <v>24000</v>
      </c>
      <c r="AL31" s="52">
        <f t="shared" si="14"/>
        <v>24000</v>
      </c>
      <c r="AM31" s="52">
        <f t="shared" si="14"/>
        <v>24000</v>
      </c>
      <c r="AN31" s="52">
        <f>SUM(Financials20263[[#This Row],[Jan FC]:[Dec FC]])</f>
        <v>314000</v>
      </c>
      <c r="AO31" s="15">
        <f t="shared" si="5"/>
        <v>168000</v>
      </c>
      <c r="AP31" s="61">
        <v>44800</v>
      </c>
      <c r="AQ31" s="61">
        <v>22800</v>
      </c>
      <c r="AR31" s="61">
        <v>26400</v>
      </c>
      <c r="AS31" s="61">
        <v>26400</v>
      </c>
      <c r="AT31" s="61">
        <v>32640</v>
      </c>
      <c r="AU31" s="61"/>
      <c r="AV31" s="61"/>
      <c r="AW31" s="61"/>
      <c r="AX31" s="61"/>
      <c r="AY31" s="61"/>
      <c r="AZ31" s="61"/>
      <c r="BA31" s="61"/>
      <c r="BB31" s="80">
        <f>SUM(Financials20263[[#This Row],[Jan AC]:[Dec AC]])</f>
        <v>153040</v>
      </c>
      <c r="BC31" s="71">
        <f>Financials20263[[#This Row],[Jan AC]]-Financials20263[[#This Row],[Jan FC]]</f>
        <v>-5200</v>
      </c>
      <c r="BD31" s="71">
        <f>Financials20263[[#This Row],[Feb AC]]-Financials20263[[#This Row],[Feb FC]]</f>
        <v>-1200</v>
      </c>
      <c r="BE31" s="71">
        <f>Financials20263[[#This Row],[Mar AC]]-Financials20263[[#This Row],[Mar FC]]</f>
        <v>2400</v>
      </c>
      <c r="BF31" s="71">
        <f>Financials20263[[#This Row],[Apr AC]]-Financials20263[[#This Row],[Apr FC]]</f>
        <v>2400</v>
      </c>
      <c r="BG31" s="71">
        <f>Financials20263[[#This Row],[May AC]]-Financials20263[[#This Row],[May FC]]</f>
        <v>8640</v>
      </c>
      <c r="BH31" s="71">
        <f>Financials20263[[#This Row],[Jun AC]]-Financials20263[[#This Row],[Jun FC]]</f>
        <v>-24000</v>
      </c>
      <c r="BI31" s="71">
        <f>Financials20263[[#This Row],[Jul AC]]-Financials20263[[#This Row],[Jul FC]]</f>
        <v>-24000</v>
      </c>
      <c r="BJ31" s="71">
        <f>Financials20263[[#This Row],[Aug AC]]-Financials20263[[#This Row],[Aug FC]]</f>
        <v>-24000</v>
      </c>
      <c r="BK31" s="71">
        <f>Financials20263[[#This Row],[Sep AC]]-Financials20263[[#This Row],[Sep FC]]</f>
        <v>-24000</v>
      </c>
      <c r="BL31" s="71">
        <f>Financials20263[[#This Row],[Oct AC]]-Financials20263[[#This Row],[Oct FC]]</f>
        <v>-24000</v>
      </c>
      <c r="BM31" s="71">
        <f>Financials20263[[#This Row],[Nov AC]]-Financials20263[[#This Row],[Nov FC]]</f>
        <v>-24000</v>
      </c>
      <c r="BN31" s="71">
        <f>Financials20263[[#This Row],[Dec AC]]-Financials20263[[#This Row],[Dec FC]]</f>
        <v>-24000</v>
      </c>
      <c r="BO31" s="71">
        <f>SUM(Financials20263[[#This Row],[Jan Opp/Risk]:[Dec Opp./Risk]])</f>
        <v>-160960</v>
      </c>
      <c r="BP31" s="89" t="s">
        <v>629</v>
      </c>
      <c r="BQ31" s="47">
        <f>SUM(Financials20263[[#This Row],[Jan AC]:[May AC]])</f>
        <v>153040</v>
      </c>
      <c r="BR31" s="6">
        <f>Financials20263[[#This Row],[2026 (Actuals + Forecast)]]-Financials20263[[#This Row],[Jan-May Actuals]]-Financials20263[[#This Row],[Jun-Dec FC]]</f>
        <v>0</v>
      </c>
      <c r="BS31" s="6">
        <f>Financials20263[[#This Row],[Jun-Dec FC]]+Financials20263[[#This Row],[Jan-May Forecast ]]</f>
        <v>168000</v>
      </c>
      <c r="BT31" s="6">
        <f>SUM(Financials20263[[#This Row],[Jan FC]:[May FC]])</f>
        <v>146000</v>
      </c>
      <c r="BU31" s="6">
        <f>Financials20263[[#This Row],[Jan-May Actuals]]+Financials20263[[#This Row],[Forecast Jun-Dec]]</f>
        <v>321040</v>
      </c>
      <c r="BV31" s="6"/>
      <c r="BW31" s="6"/>
      <c r="BX31" s="6"/>
    </row>
    <row r="32" spans="1:76" x14ac:dyDescent="0.3">
      <c r="A32" s="22" t="s">
        <v>101</v>
      </c>
      <c r="B32" s="21" t="s">
        <v>181</v>
      </c>
      <c r="C32" s="21"/>
      <c r="D32" s="10" t="s">
        <v>186</v>
      </c>
      <c r="E32" s="7" t="s">
        <v>186</v>
      </c>
      <c r="F32" s="3" t="s">
        <v>187</v>
      </c>
      <c r="G32" s="3" t="s">
        <v>53</v>
      </c>
      <c r="H32" s="4">
        <v>46023</v>
      </c>
      <c r="I32" s="4">
        <v>46387</v>
      </c>
      <c r="J32" s="3"/>
      <c r="K32" s="3" t="str">
        <f t="shared" si="0"/>
        <v>T&amp;M-T&amp;M</v>
      </c>
      <c r="L32" s="21" t="s">
        <v>124</v>
      </c>
      <c r="M32" s="21" t="s">
        <v>46</v>
      </c>
      <c r="N32" s="21" t="s">
        <v>189</v>
      </c>
      <c r="O32" s="21" t="s">
        <v>186</v>
      </c>
      <c r="P32" s="21" t="s">
        <v>126</v>
      </c>
      <c r="Q32" s="21" t="s">
        <v>127</v>
      </c>
      <c r="R32" s="21" t="s">
        <v>128</v>
      </c>
      <c r="S32" s="21" t="s">
        <v>129</v>
      </c>
      <c r="T32" s="5">
        <v>1019762.75</v>
      </c>
      <c r="U32" s="15">
        <v>431963.4053367218</v>
      </c>
      <c r="V32" s="15">
        <v>161280</v>
      </c>
      <c r="W32" s="15">
        <f t="shared" si="1"/>
        <v>84176</v>
      </c>
      <c r="X32" s="15">
        <f t="shared" si="7"/>
        <v>-77104</v>
      </c>
      <c r="Y32" s="15">
        <f t="shared" si="2"/>
        <v>0</v>
      </c>
      <c r="Z32" s="15">
        <f>SUM(Financials20263[[#This Row],[2026 Opportunity]:[2026 Risk]])</f>
        <v>-77104</v>
      </c>
      <c r="AA32" s="3" t="s">
        <v>197</v>
      </c>
      <c r="AB32" s="52">
        <f>Financials20263[[#This Row],[2026 Final Budget]]/12</f>
        <v>13440</v>
      </c>
      <c r="AC32" s="52">
        <v>13440</v>
      </c>
      <c r="AD32" s="52">
        <v>13440</v>
      </c>
      <c r="AE32" s="52">
        <f>13440-8000</f>
        <v>5440</v>
      </c>
      <c r="AF32" s="52">
        <f t="shared" ref="AF32:AM32" si="15">13440-8000</f>
        <v>5440</v>
      </c>
      <c r="AG32" s="52">
        <f t="shared" si="15"/>
        <v>5440</v>
      </c>
      <c r="AH32" s="52">
        <f t="shared" si="15"/>
        <v>5440</v>
      </c>
      <c r="AI32" s="52">
        <f t="shared" si="15"/>
        <v>5440</v>
      </c>
      <c r="AJ32" s="52">
        <f t="shared" si="15"/>
        <v>5440</v>
      </c>
      <c r="AK32" s="52">
        <f t="shared" si="15"/>
        <v>5440</v>
      </c>
      <c r="AL32" s="52">
        <f t="shared" si="15"/>
        <v>5440</v>
      </c>
      <c r="AM32" s="52">
        <f t="shared" si="15"/>
        <v>5440</v>
      </c>
      <c r="AN32" s="52">
        <f>SUM(Financials20263[[#This Row],[Jan FC]:[Dec FC]])</f>
        <v>89280</v>
      </c>
      <c r="AO32" s="15">
        <f t="shared" si="5"/>
        <v>38080</v>
      </c>
      <c r="AP32" s="61">
        <v>11152</v>
      </c>
      <c r="AQ32" s="61">
        <v>11296</v>
      </c>
      <c r="AR32" s="61">
        <v>13584</v>
      </c>
      <c r="AS32" s="61">
        <v>4624</v>
      </c>
      <c r="AT32" s="61">
        <v>5440</v>
      </c>
      <c r="AU32" s="61"/>
      <c r="AV32" s="61"/>
      <c r="AW32" s="61"/>
      <c r="AX32" s="61"/>
      <c r="AY32" s="61"/>
      <c r="AZ32" s="61"/>
      <c r="BA32" s="61"/>
      <c r="BB32" s="80">
        <f>SUM(Financials20263[[#This Row],[Jan AC]:[Dec AC]])</f>
        <v>46096</v>
      </c>
      <c r="BC32" s="71">
        <f>Financials20263[[#This Row],[Jan AC]]-Financials20263[[#This Row],[Jan FC]]</f>
        <v>-2288</v>
      </c>
      <c r="BD32" s="71">
        <f>Financials20263[[#This Row],[Feb AC]]-Financials20263[[#This Row],[Feb FC]]</f>
        <v>-2144</v>
      </c>
      <c r="BE32" s="71">
        <f>Financials20263[[#This Row],[Mar AC]]-Financials20263[[#This Row],[Mar FC]]</f>
        <v>144</v>
      </c>
      <c r="BF32" s="71">
        <f>Financials20263[[#This Row],[Apr AC]]-Financials20263[[#This Row],[Apr FC]]</f>
        <v>-816</v>
      </c>
      <c r="BG32" s="71">
        <f>Financials20263[[#This Row],[May AC]]-Financials20263[[#This Row],[May FC]]</f>
        <v>0</v>
      </c>
      <c r="BH32" s="71">
        <f>Financials20263[[#This Row],[Jun AC]]-Financials20263[[#This Row],[Jun FC]]</f>
        <v>-5440</v>
      </c>
      <c r="BI32" s="71">
        <f>Financials20263[[#This Row],[Jul AC]]-Financials20263[[#This Row],[Jul FC]]</f>
        <v>-5440</v>
      </c>
      <c r="BJ32" s="71">
        <f>Financials20263[[#This Row],[Aug AC]]-Financials20263[[#This Row],[Aug FC]]</f>
        <v>-5440</v>
      </c>
      <c r="BK32" s="71">
        <f>Financials20263[[#This Row],[Sep AC]]-Financials20263[[#This Row],[Sep FC]]</f>
        <v>-5440</v>
      </c>
      <c r="BL32" s="71">
        <f>Financials20263[[#This Row],[Oct AC]]-Financials20263[[#This Row],[Oct FC]]</f>
        <v>-5440</v>
      </c>
      <c r="BM32" s="71">
        <f>Financials20263[[#This Row],[Nov AC]]-Financials20263[[#This Row],[Nov FC]]</f>
        <v>-5440</v>
      </c>
      <c r="BN32" s="71">
        <f>Financials20263[[#This Row],[Dec AC]]-Financials20263[[#This Row],[Dec FC]]</f>
        <v>-5440</v>
      </c>
      <c r="BO32" s="71">
        <f>SUM(Financials20263[[#This Row],[Jan Opp/Risk]:[Dec Opp./Risk]])</f>
        <v>-43184</v>
      </c>
      <c r="BP32" s="89" t="s">
        <v>524</v>
      </c>
      <c r="BQ32" s="47">
        <f>SUM(Financials20263[[#This Row],[Jan AC]:[May AC]])</f>
        <v>46096</v>
      </c>
      <c r="BR32" s="6">
        <f>Financials20263[[#This Row],[2026 (Actuals + Forecast)]]-Financials20263[[#This Row],[Jan-May Actuals]]-Financials20263[[#This Row],[Jun-Dec FC]]</f>
        <v>0</v>
      </c>
      <c r="BS32" s="6">
        <f>Financials20263[[#This Row],[Jun-Dec FC]]+Financials20263[[#This Row],[Jan-May Forecast ]]</f>
        <v>38080</v>
      </c>
      <c r="BT32" s="6">
        <f>SUM(Financials20263[[#This Row],[Jan FC]:[May FC]])</f>
        <v>51200</v>
      </c>
      <c r="BU32" s="6">
        <f>Financials20263[[#This Row],[Jan-May Actuals]]+Financials20263[[#This Row],[Forecast Jun-Dec]]</f>
        <v>84176</v>
      </c>
      <c r="BV32" s="6"/>
      <c r="BW32" s="6"/>
      <c r="BX32" s="6"/>
    </row>
    <row r="33" spans="1:76" x14ac:dyDescent="0.3">
      <c r="A33" s="22" t="s">
        <v>101</v>
      </c>
      <c r="B33" s="21" t="s">
        <v>181</v>
      </c>
      <c r="C33" s="21"/>
      <c r="D33" s="10" t="s">
        <v>186</v>
      </c>
      <c r="E33" s="7" t="s">
        <v>186</v>
      </c>
      <c r="F33" s="3" t="s">
        <v>187</v>
      </c>
      <c r="G33" s="3" t="s">
        <v>51</v>
      </c>
      <c r="H33" s="4">
        <v>46157</v>
      </c>
      <c r="I33" s="4">
        <v>46387</v>
      </c>
      <c r="J33" s="3"/>
      <c r="K33" s="3" t="str">
        <f t="shared" si="0"/>
        <v>T&amp;M-T&amp;M</v>
      </c>
      <c r="L33" s="21" t="s">
        <v>124</v>
      </c>
      <c r="M33" s="21" t="s">
        <v>46</v>
      </c>
      <c r="N33" s="21" t="s">
        <v>189</v>
      </c>
      <c r="O33" s="21" t="s">
        <v>186</v>
      </c>
      <c r="P33" s="21" t="s">
        <v>126</v>
      </c>
      <c r="Q33" s="21" t="s">
        <v>127</v>
      </c>
      <c r="R33" s="21" t="s">
        <v>128</v>
      </c>
      <c r="S33" s="21" t="s">
        <v>129</v>
      </c>
      <c r="T33" s="5">
        <v>0</v>
      </c>
      <c r="U33" s="15">
        <v>0</v>
      </c>
      <c r="V33" s="15">
        <v>230400</v>
      </c>
      <c r="W33" s="15">
        <f t="shared" si="1"/>
        <v>230400</v>
      </c>
      <c r="X33" s="15">
        <f t="shared" si="7"/>
        <v>0</v>
      </c>
      <c r="Y33" s="15">
        <f t="shared" si="2"/>
        <v>0</v>
      </c>
      <c r="Z33" s="15">
        <f>SUM(Financials20263[[#This Row],[2026 Opportunity]:[2026 Risk]])</f>
        <v>0</v>
      </c>
      <c r="AA33" s="3" t="s">
        <v>652</v>
      </c>
      <c r="AB33" s="52"/>
      <c r="AC33" s="52"/>
      <c r="AD33" s="52"/>
      <c r="AE33" s="52"/>
      <c r="AF33" s="52">
        <v>15360</v>
      </c>
      <c r="AG33" s="52">
        <v>30720</v>
      </c>
      <c r="AH33" s="52">
        <v>30720</v>
      </c>
      <c r="AI33" s="52">
        <v>30720</v>
      </c>
      <c r="AJ33" s="52">
        <v>30720</v>
      </c>
      <c r="AK33" s="52">
        <v>30720</v>
      </c>
      <c r="AL33" s="52">
        <v>30720</v>
      </c>
      <c r="AM33" s="52">
        <v>30720</v>
      </c>
      <c r="AN33" s="52">
        <f>SUM(Financials20263[[#This Row],[Jan FC]:[Dec FC]])</f>
        <v>230400</v>
      </c>
      <c r="AO33" s="15">
        <f t="shared" si="5"/>
        <v>215040</v>
      </c>
      <c r="AP33" s="61"/>
      <c r="AQ33" s="61"/>
      <c r="AR33" s="61"/>
      <c r="AS33" s="61"/>
      <c r="AT33" s="61"/>
      <c r="AU33" s="61"/>
      <c r="AV33" s="61"/>
      <c r="AW33" s="61"/>
      <c r="AX33" s="61"/>
      <c r="AY33" s="61"/>
      <c r="AZ33" s="61"/>
      <c r="BA33" s="61"/>
      <c r="BB33" s="80">
        <f>SUM(Financials20263[[#This Row],[Jan AC]:[Dec AC]])</f>
        <v>0</v>
      </c>
      <c r="BC33" s="71">
        <f>Financials20263[[#This Row],[Jan AC]]-Financials20263[[#This Row],[Jan FC]]</f>
        <v>0</v>
      </c>
      <c r="BD33" s="71">
        <f>Financials20263[[#This Row],[Feb AC]]-Financials20263[[#This Row],[Feb FC]]</f>
        <v>0</v>
      </c>
      <c r="BE33" s="71">
        <f>Financials20263[[#This Row],[Mar AC]]-Financials20263[[#This Row],[Mar FC]]</f>
        <v>0</v>
      </c>
      <c r="BF33" s="71">
        <f>Financials20263[[#This Row],[Apr AC]]-Financials20263[[#This Row],[Apr FC]]</f>
        <v>0</v>
      </c>
      <c r="BG33" s="71">
        <f>Financials20263[[#This Row],[May AC]]-Financials20263[[#This Row],[May FC]]</f>
        <v>-15360</v>
      </c>
      <c r="BH33" s="71">
        <f>Financials20263[[#This Row],[Jun AC]]-Financials20263[[#This Row],[Jun FC]]</f>
        <v>-30720</v>
      </c>
      <c r="BI33" s="71">
        <f>Financials20263[[#This Row],[Jul AC]]-Financials20263[[#This Row],[Jul FC]]</f>
        <v>-30720</v>
      </c>
      <c r="BJ33" s="71">
        <f>Financials20263[[#This Row],[Aug AC]]-Financials20263[[#This Row],[Aug FC]]</f>
        <v>-30720</v>
      </c>
      <c r="BK33" s="71">
        <f>Financials20263[[#This Row],[Sep AC]]-Financials20263[[#This Row],[Sep FC]]</f>
        <v>-30720</v>
      </c>
      <c r="BL33" s="71">
        <f>Financials20263[[#This Row],[Oct AC]]-Financials20263[[#This Row],[Oct FC]]</f>
        <v>-30720</v>
      </c>
      <c r="BM33" s="71">
        <f>Financials20263[[#This Row],[Nov AC]]-Financials20263[[#This Row],[Nov FC]]</f>
        <v>-30720</v>
      </c>
      <c r="BN33" s="71">
        <f>Financials20263[[#This Row],[Dec AC]]-Financials20263[[#This Row],[Dec FC]]</f>
        <v>-30720</v>
      </c>
      <c r="BO33" s="71">
        <f>SUM(Financials20263[[#This Row],[Jan Opp/Risk]:[Dec Opp./Risk]])</f>
        <v>-230400</v>
      </c>
      <c r="BP33" s="89" t="s">
        <v>620</v>
      </c>
      <c r="BQ33" s="47">
        <f>SUM(Financials20263[[#This Row],[Jan AC]:[May AC]])</f>
        <v>0</v>
      </c>
      <c r="BR33" s="6">
        <f>Financials20263[[#This Row],[2026 (Actuals + Forecast)]]-Financials20263[[#This Row],[Jan-May Actuals]]-Financials20263[[#This Row],[Jun-Dec FC]]</f>
        <v>15360</v>
      </c>
      <c r="BS33" s="6">
        <f>Financials20263[[#This Row],[Jun-Dec FC]]+Financials20263[[#This Row],[Jan-May Forecast ]]</f>
        <v>230400</v>
      </c>
      <c r="BT33" s="6">
        <f>SUM(Financials20263[[#This Row],[Jan FC]:[May FC]])</f>
        <v>15360</v>
      </c>
      <c r="BU33" s="6">
        <f>Financials20263[[#This Row],[Jan-May Actuals]]+Financials20263[[#This Row],[Forecast Jun-Dec]]</f>
        <v>230400</v>
      </c>
      <c r="BV33" s="6"/>
      <c r="BW33" s="6"/>
      <c r="BX33" s="6"/>
    </row>
    <row r="34" spans="1:76" x14ac:dyDescent="0.3">
      <c r="A34" s="22" t="s">
        <v>101</v>
      </c>
      <c r="B34" s="21" t="s">
        <v>198</v>
      </c>
      <c r="C34" s="21"/>
      <c r="D34" s="10" t="s">
        <v>13</v>
      </c>
      <c r="E34" s="7" t="s">
        <v>140</v>
      </c>
      <c r="F34" s="3" t="s">
        <v>141</v>
      </c>
      <c r="G34" s="3" t="s">
        <v>52</v>
      </c>
      <c r="H34" s="4">
        <v>44545</v>
      </c>
      <c r="I34" s="4">
        <v>46370</v>
      </c>
      <c r="J34" s="3" t="s">
        <v>199</v>
      </c>
      <c r="K34" s="3" t="str">
        <f t="shared" si="0"/>
        <v>Prj000290-Support - Asset Management Applications</v>
      </c>
      <c r="L34" s="21" t="s">
        <v>106</v>
      </c>
      <c r="M34" s="21" t="s">
        <v>7</v>
      </c>
      <c r="N34" s="21" t="s">
        <v>7</v>
      </c>
      <c r="O34" s="21" t="s">
        <v>200</v>
      </c>
      <c r="P34" s="21" t="s">
        <v>107</v>
      </c>
      <c r="Q34" s="21" t="s">
        <v>201</v>
      </c>
      <c r="R34" s="21" t="s">
        <v>201</v>
      </c>
      <c r="S34" s="21" t="s">
        <v>202</v>
      </c>
      <c r="T34" s="5">
        <v>1039565.6499999999</v>
      </c>
      <c r="U34" s="15">
        <v>1091543.9324999999</v>
      </c>
      <c r="V34" s="15">
        <v>1091543.9324999999</v>
      </c>
      <c r="W34" s="15">
        <f t="shared" si="1"/>
        <v>1091543.6399999999</v>
      </c>
      <c r="X34" s="15">
        <f t="shared" si="7"/>
        <v>-0.29249999998137355</v>
      </c>
      <c r="Y34" s="15">
        <f t="shared" si="2"/>
        <v>0</v>
      </c>
      <c r="Z34" s="15">
        <f>SUM(Financials20263[[#This Row],[2026 Opportunity]:[2026 Risk]])</f>
        <v>-0.29249999998137355</v>
      </c>
      <c r="AA34" s="3" t="s">
        <v>577</v>
      </c>
      <c r="AB34" s="52">
        <v>117486.73333333334</v>
      </c>
      <c r="AC34" s="52">
        <v>92793.753333333341</v>
      </c>
      <c r="AD34" s="52">
        <v>117939.75333333334</v>
      </c>
      <c r="AE34" s="52">
        <v>149042.80666666667</v>
      </c>
      <c r="AF34" s="52">
        <v>98639.296666666676</v>
      </c>
      <c r="AG34" s="52">
        <v>98639.296666666676</v>
      </c>
      <c r="AH34" s="46">
        <v>208501</v>
      </c>
      <c r="AI34" s="52"/>
      <c r="AJ34" s="52"/>
      <c r="AK34" s="46">
        <f>208501-50309</f>
        <v>158192</v>
      </c>
      <c r="AL34" s="52"/>
      <c r="AM34" s="52"/>
      <c r="AN34" s="52">
        <f>SUM(Financials20263[[#This Row],[Jan FC]:[Dec FC]])</f>
        <v>1041234.64</v>
      </c>
      <c r="AO34" s="15">
        <f t="shared" si="5"/>
        <v>465332.29666666669</v>
      </c>
      <c r="AP34" s="61">
        <f>(278381.26/3)+24692.98</f>
        <v>117486.73333333334</v>
      </c>
      <c r="AQ34" s="61">
        <f>278381.26/3</f>
        <v>92793.753333333341</v>
      </c>
      <c r="AR34" s="61">
        <f>(278381.26/3)+25146</f>
        <v>117939.75333333334</v>
      </c>
      <c r="AS34" s="61">
        <f>(295917.89/3)+25261.22+25142.29</f>
        <v>149042.80666666667</v>
      </c>
      <c r="AT34" s="61">
        <f>(295917.89/3)+25055.4+25253.6</f>
        <v>148948.29666666669</v>
      </c>
      <c r="AU34" s="61">
        <f>295917.89/3</f>
        <v>98639.296666666676</v>
      </c>
      <c r="AV34" s="61"/>
      <c r="AW34" s="61"/>
      <c r="AX34" s="61"/>
      <c r="AY34" s="61"/>
      <c r="AZ34" s="61"/>
      <c r="BA34" s="61"/>
      <c r="BB34" s="80">
        <f>SUM(Financials20263[[#This Row],[Jan AC]:[Dec AC]])</f>
        <v>724850.64000000013</v>
      </c>
      <c r="BC34" s="71">
        <f>Financials20263[[#This Row],[Jan AC]]-Financials20263[[#This Row],[Jan FC]]</f>
        <v>0</v>
      </c>
      <c r="BD34" s="71">
        <f>Financials20263[[#This Row],[Feb AC]]-Financials20263[[#This Row],[Feb FC]]</f>
        <v>0</v>
      </c>
      <c r="BE34" s="71">
        <f>Financials20263[[#This Row],[Mar AC]]-Financials20263[[#This Row],[Mar FC]]</f>
        <v>0</v>
      </c>
      <c r="BF34" s="71">
        <f>Financials20263[[#This Row],[Apr AC]]-Financials20263[[#This Row],[Apr FC]]</f>
        <v>0</v>
      </c>
      <c r="BG34" s="71">
        <f>Financials20263[[#This Row],[May AC]]-Financials20263[[#This Row],[May FC]]</f>
        <v>50309.000000000015</v>
      </c>
      <c r="BH34" s="71">
        <f>Financials20263[[#This Row],[Jun AC]]-Financials20263[[#This Row],[Jun FC]]</f>
        <v>0</v>
      </c>
      <c r="BI34" s="71">
        <f>Financials20263[[#This Row],[Jul AC]]-Financials20263[[#This Row],[Jul FC]]</f>
        <v>-208501</v>
      </c>
      <c r="BJ34" s="71">
        <f>Financials20263[[#This Row],[Aug AC]]-Financials20263[[#This Row],[Aug FC]]</f>
        <v>0</v>
      </c>
      <c r="BK34" s="71">
        <f>Financials20263[[#This Row],[Sep AC]]-Financials20263[[#This Row],[Sep FC]]</f>
        <v>0</v>
      </c>
      <c r="BL34" s="71">
        <f>Financials20263[[#This Row],[Oct AC]]-Financials20263[[#This Row],[Oct FC]]</f>
        <v>-158192</v>
      </c>
      <c r="BM34" s="71">
        <f>Financials20263[[#This Row],[Nov AC]]-Financials20263[[#This Row],[Nov FC]]</f>
        <v>0</v>
      </c>
      <c r="BN34" s="71">
        <f>Financials20263[[#This Row],[Dec AC]]-Financials20263[[#This Row],[Dec FC]]</f>
        <v>0</v>
      </c>
      <c r="BO34" s="71">
        <f>SUM(Financials20263[[#This Row],[Jan Opp/Risk]:[Dec Opp./Risk]])</f>
        <v>-316384</v>
      </c>
      <c r="BP34" s="87" t="s">
        <v>584</v>
      </c>
      <c r="BQ34" s="47">
        <f>SUM(Financials20263[[#This Row],[Jan AC]:[May AC]])</f>
        <v>626211.3433333335</v>
      </c>
      <c r="BR34" s="6">
        <f>Financials20263[[#This Row],[2026 (Actuals + Forecast)]]-Financials20263[[#This Row],[Jan-May Actuals]]-Financials20263[[#This Row],[Jun-Dec FC]]</f>
        <v>0</v>
      </c>
      <c r="BS34" s="6">
        <f>Financials20263[[#This Row],[Jun-Dec FC]]+Financials20263[[#This Row],[Jan-May Forecast ]]</f>
        <v>465332.29666666669</v>
      </c>
      <c r="BT34" s="6">
        <f>SUM(Financials20263[[#This Row],[Jan FC]:[May FC]])</f>
        <v>575902.34333333338</v>
      </c>
      <c r="BU34" s="6">
        <f>Financials20263[[#This Row],[Jan-May Actuals]]+Financials20263[[#This Row],[Forecast Jun-Dec]]</f>
        <v>1091543.6400000001</v>
      </c>
      <c r="BV34" s="6"/>
      <c r="BW34" s="6"/>
      <c r="BX34" s="6"/>
    </row>
    <row r="35" spans="1:76" x14ac:dyDescent="0.3">
      <c r="A35" s="22" t="s">
        <v>101</v>
      </c>
      <c r="B35" s="21" t="s">
        <v>56</v>
      </c>
      <c r="C35" s="21" t="s">
        <v>203</v>
      </c>
      <c r="D35" s="10" t="s">
        <v>31</v>
      </c>
      <c r="E35" s="7" t="s">
        <v>204</v>
      </c>
      <c r="F35" s="3" t="s">
        <v>205</v>
      </c>
      <c r="G35" s="3" t="s">
        <v>50</v>
      </c>
      <c r="H35" s="4">
        <v>46037</v>
      </c>
      <c r="I35" s="4">
        <v>46401</v>
      </c>
      <c r="J35" s="3" t="s">
        <v>206</v>
      </c>
      <c r="K35" s="3" t="str">
        <f t="shared" si="0"/>
        <v>Prj000469-Support - Prod Support for Ops Apps</v>
      </c>
      <c r="L35" s="21" t="s">
        <v>106</v>
      </c>
      <c r="M35" s="21" t="s">
        <v>7</v>
      </c>
      <c r="N35" s="21" t="s">
        <v>7</v>
      </c>
      <c r="O35" s="21" t="s">
        <v>7</v>
      </c>
      <c r="P35" s="21" t="s">
        <v>107</v>
      </c>
      <c r="Q35" s="21" t="s">
        <v>201</v>
      </c>
      <c r="R35" s="21" t="s">
        <v>201</v>
      </c>
      <c r="S35" s="21" t="s">
        <v>109</v>
      </c>
      <c r="T35" s="5">
        <v>2866540</v>
      </c>
      <c r="U35" s="15">
        <v>3617396</v>
      </c>
      <c r="V35" s="15">
        <v>3617396</v>
      </c>
      <c r="W35" s="15">
        <f t="shared" si="1"/>
        <v>4073475.3699999992</v>
      </c>
      <c r="X35" s="15">
        <f t="shared" si="7"/>
        <v>0</v>
      </c>
      <c r="Y35" s="15">
        <f t="shared" si="2"/>
        <v>456079.36999999918</v>
      </c>
      <c r="Z35" s="15">
        <f>SUM(Financials20263[[#This Row],[2026 Opportunity]:[2026 Risk]])</f>
        <v>456079.36999999918</v>
      </c>
      <c r="AA35" s="3" t="s">
        <v>207</v>
      </c>
      <c r="AB35" s="52">
        <v>333776.63</v>
      </c>
      <c r="AC35" s="52">
        <v>333776.63</v>
      </c>
      <c r="AD35" s="52">
        <v>333776.63</v>
      </c>
      <c r="AE35" s="52">
        <v>333776.63</v>
      </c>
      <c r="AF35" s="52">
        <v>333776.63</v>
      </c>
      <c r="AG35" s="52">
        <v>333776.63</v>
      </c>
      <c r="AH35" s="52">
        <v>333776.63</v>
      </c>
      <c r="AI35" s="52">
        <v>333776.63</v>
      </c>
      <c r="AJ35" s="52">
        <v>333776.63</v>
      </c>
      <c r="AK35" s="52">
        <v>333776.63</v>
      </c>
      <c r="AL35" s="52">
        <v>333776.63</v>
      </c>
      <c r="AM35" s="52">
        <v>333776.63</v>
      </c>
      <c r="AN35" s="52">
        <f>SUM(Financials20263[[#This Row],[Jan FC]:[Dec FC]])</f>
        <v>4005319.5599999991</v>
      </c>
      <c r="AO35" s="15">
        <f t="shared" si="5"/>
        <v>2336436.4099999997</v>
      </c>
      <c r="AP35" s="61">
        <f>321.73+3713.72+54129.99+9990+333777</f>
        <v>401932.44</v>
      </c>
      <c r="AQ35" s="61">
        <f t="shared" ref="AQ35:BA35" si="16">4005319.56/12</f>
        <v>333776.63</v>
      </c>
      <c r="AR35" s="61">
        <f t="shared" si="16"/>
        <v>333776.63</v>
      </c>
      <c r="AS35" s="61">
        <f t="shared" si="16"/>
        <v>333776.63</v>
      </c>
      <c r="AT35" s="61">
        <f t="shared" si="16"/>
        <v>333776.63</v>
      </c>
      <c r="AU35" s="61">
        <f t="shared" si="16"/>
        <v>333776.63</v>
      </c>
      <c r="AV35" s="61">
        <f t="shared" si="16"/>
        <v>333776.63</v>
      </c>
      <c r="AW35" s="61">
        <f t="shared" si="16"/>
        <v>333776.63</v>
      </c>
      <c r="AX35" s="61">
        <f t="shared" si="16"/>
        <v>333776.63</v>
      </c>
      <c r="AY35" s="61">
        <f t="shared" si="16"/>
        <v>333776.63</v>
      </c>
      <c r="AZ35" s="61">
        <f t="shared" si="16"/>
        <v>333776.63</v>
      </c>
      <c r="BA35" s="61">
        <f t="shared" si="16"/>
        <v>333776.63</v>
      </c>
      <c r="BB35" s="80">
        <f>SUM(Financials20263[[#This Row],[Jan AC]:[Dec AC]])</f>
        <v>4073475.3699999992</v>
      </c>
      <c r="BC35" s="71">
        <f>Financials20263[[#This Row],[Jan AC]]-Financials20263[[#This Row],[Jan FC]]</f>
        <v>68155.81</v>
      </c>
      <c r="BD35" s="71">
        <f>Financials20263[[#This Row],[Feb AC]]-Financials20263[[#This Row],[Feb FC]]</f>
        <v>0</v>
      </c>
      <c r="BE35" s="71">
        <f>Financials20263[[#This Row],[Mar AC]]-Financials20263[[#This Row],[Mar FC]]</f>
        <v>0</v>
      </c>
      <c r="BF35" s="71">
        <f>Financials20263[[#This Row],[Apr AC]]-Financials20263[[#This Row],[Apr FC]]</f>
        <v>0</v>
      </c>
      <c r="BG35" s="71">
        <f>Financials20263[[#This Row],[May AC]]-Financials20263[[#This Row],[May FC]]</f>
        <v>0</v>
      </c>
      <c r="BH35" s="71">
        <f>Financials20263[[#This Row],[Jun AC]]-Financials20263[[#This Row],[Jun FC]]</f>
        <v>0</v>
      </c>
      <c r="BI35" s="71">
        <f>Financials20263[[#This Row],[Jul AC]]-Financials20263[[#This Row],[Jul FC]]</f>
        <v>0</v>
      </c>
      <c r="BJ35" s="71">
        <f>Financials20263[[#This Row],[Aug AC]]-Financials20263[[#This Row],[Aug FC]]</f>
        <v>0</v>
      </c>
      <c r="BK35" s="71">
        <f>Financials20263[[#This Row],[Sep AC]]-Financials20263[[#This Row],[Sep FC]]</f>
        <v>0</v>
      </c>
      <c r="BL35" s="71">
        <f>Financials20263[[#This Row],[Oct AC]]-Financials20263[[#This Row],[Oct FC]]</f>
        <v>0</v>
      </c>
      <c r="BM35" s="71">
        <f>Financials20263[[#This Row],[Nov AC]]-Financials20263[[#This Row],[Nov FC]]</f>
        <v>0</v>
      </c>
      <c r="BN35" s="71">
        <f>Financials20263[[#This Row],[Dec AC]]-Financials20263[[#This Row],[Dec FC]]</f>
        <v>0</v>
      </c>
      <c r="BO35" s="71">
        <f>SUM(Financials20263[[#This Row],[Jan Opp/Risk]:[Dec Opp./Risk]])</f>
        <v>68155.81</v>
      </c>
      <c r="BP35" s="87" t="s">
        <v>531</v>
      </c>
      <c r="BQ35" s="47">
        <f>SUM(Financials20263[[#This Row],[Jan AC]:[May AC]])</f>
        <v>1737038.96</v>
      </c>
      <c r="BR35" s="6">
        <f>Financials20263[[#This Row],[2026 (Actuals + Forecast)]]-Financials20263[[#This Row],[Jan-May Actuals]]-Financials20263[[#This Row],[Jun-Dec FC]]</f>
        <v>0</v>
      </c>
      <c r="BS35" s="6">
        <f>Financials20263[[#This Row],[Jun-Dec FC]]+Financials20263[[#This Row],[Jan-May Forecast ]]</f>
        <v>2336436.4099999997</v>
      </c>
      <c r="BT35" s="6">
        <f>SUM(Financials20263[[#This Row],[Jan FC]:[May FC]])</f>
        <v>1668883.15</v>
      </c>
      <c r="BU35" s="6">
        <f>Financials20263[[#This Row],[Jan-May Actuals]]+Financials20263[[#This Row],[Forecast Jun-Dec]]</f>
        <v>4073475.3699999996</v>
      </c>
      <c r="BV35" s="6"/>
      <c r="BW35" s="6"/>
      <c r="BX35" s="6"/>
    </row>
    <row r="36" spans="1:76" x14ac:dyDescent="0.3">
      <c r="A36" s="22" t="s">
        <v>101</v>
      </c>
      <c r="B36" s="21" t="s">
        <v>208</v>
      </c>
      <c r="C36" s="21" t="s">
        <v>209</v>
      </c>
      <c r="D36" s="10" t="s">
        <v>29</v>
      </c>
      <c r="E36" s="7" t="s">
        <v>210</v>
      </c>
      <c r="F36" s="3" t="s">
        <v>211</v>
      </c>
      <c r="G36" s="3" t="s">
        <v>48</v>
      </c>
      <c r="H36" s="4">
        <v>45968</v>
      </c>
      <c r="I36" s="4">
        <v>46332</v>
      </c>
      <c r="J36" s="3" t="s">
        <v>212</v>
      </c>
      <c r="K36" s="3" t="str">
        <f t="shared" si="0"/>
        <v>Prj000458-Support - Data Analytics Office</v>
      </c>
      <c r="L36" s="21" t="s">
        <v>106</v>
      </c>
      <c r="M36" s="21" t="s">
        <v>7</v>
      </c>
      <c r="N36" s="21" t="s">
        <v>7</v>
      </c>
      <c r="O36" s="21" t="s">
        <v>7</v>
      </c>
      <c r="P36" s="21" t="s">
        <v>107</v>
      </c>
      <c r="Q36" s="21" t="s">
        <v>201</v>
      </c>
      <c r="R36" s="21" t="s">
        <v>201</v>
      </c>
      <c r="S36" s="21" t="s">
        <v>109</v>
      </c>
      <c r="T36" s="5">
        <v>889688</v>
      </c>
      <c r="U36" s="15">
        <v>1051185.52165</v>
      </c>
      <c r="V36" s="15">
        <v>1051185.52165</v>
      </c>
      <c r="W36" s="15">
        <f t="shared" si="1"/>
        <v>835409.9</v>
      </c>
      <c r="X36" s="15">
        <f t="shared" si="7"/>
        <v>-215775.62164999999</v>
      </c>
      <c r="Y36" s="15">
        <f t="shared" si="2"/>
        <v>0</v>
      </c>
      <c r="Z36" s="15">
        <f>SUM(Financials20263[[#This Row],[2026 Opportunity]:[2026 Risk]])</f>
        <v>-215775.62164999999</v>
      </c>
      <c r="AA36" s="3" t="s">
        <v>427</v>
      </c>
      <c r="AB36" s="52">
        <v>103138.49</v>
      </c>
      <c r="AC36" s="52">
        <v>81363.490000000005</v>
      </c>
      <c r="AD36" s="52">
        <v>81363.490000000005</v>
      </c>
      <c r="AE36" s="52">
        <v>81363.490000000005</v>
      </c>
      <c r="AF36" s="52">
        <v>81363.490000000005</v>
      </c>
      <c r="AG36" s="52">
        <v>81363.490000000005</v>
      </c>
      <c r="AH36" s="52">
        <v>81363.490000000005</v>
      </c>
      <c r="AI36" s="52">
        <v>81363.490000000005</v>
      </c>
      <c r="AJ36" s="52">
        <v>81363.490000000005</v>
      </c>
      <c r="AK36" s="52">
        <v>81363.490000000005</v>
      </c>
      <c r="AL36" s="51"/>
      <c r="AM36" s="51"/>
      <c r="AN36" s="77">
        <f>SUM(Financials20263[[#This Row],[Jan FC]:[Dec FC]])</f>
        <v>835409.9</v>
      </c>
      <c r="AO36" s="15">
        <f t="shared" si="5"/>
        <v>406817.45</v>
      </c>
      <c r="AP36" s="61">
        <f>81363.49+21775</f>
        <v>103138.49</v>
      </c>
      <c r="AQ36" s="61">
        <v>81363.490000000005</v>
      </c>
      <c r="AR36" s="61">
        <v>81363.490000000005</v>
      </c>
      <c r="AS36" s="61">
        <v>81363.490000000005</v>
      </c>
      <c r="AT36" s="61">
        <v>81363.490000000005</v>
      </c>
      <c r="AU36" s="61">
        <v>81363.490000000005</v>
      </c>
      <c r="AV36" s="61">
        <v>81363.490000000005</v>
      </c>
      <c r="AW36" s="61">
        <v>81363.490000000005</v>
      </c>
      <c r="AX36" s="61">
        <v>81363.490000000005</v>
      </c>
      <c r="AY36" s="61">
        <v>81363.490000000005</v>
      </c>
      <c r="AZ36" s="60"/>
      <c r="BA36" s="60"/>
      <c r="BB36" s="79">
        <f>SUM(Financials20263[[#This Row],[Jan AC]:[Dec AC]])</f>
        <v>835409.9</v>
      </c>
      <c r="BC36" s="71">
        <f>Financials20263[[#This Row],[Jan AC]]-Financials20263[[#This Row],[Jan FC]]</f>
        <v>0</v>
      </c>
      <c r="BD36" s="71">
        <f>Financials20263[[#This Row],[Feb AC]]-Financials20263[[#This Row],[Feb FC]]</f>
        <v>0</v>
      </c>
      <c r="BE36" s="71">
        <f>Financials20263[[#This Row],[Mar AC]]-Financials20263[[#This Row],[Mar FC]]</f>
        <v>0</v>
      </c>
      <c r="BF36" s="71">
        <f>Financials20263[[#This Row],[Apr AC]]-Financials20263[[#This Row],[Apr FC]]</f>
        <v>0</v>
      </c>
      <c r="BG36" s="71">
        <f>Financials20263[[#This Row],[May AC]]-Financials20263[[#This Row],[May FC]]</f>
        <v>0</v>
      </c>
      <c r="BH36" s="71">
        <f>Financials20263[[#This Row],[Jun AC]]-Financials20263[[#This Row],[Jun FC]]</f>
        <v>0</v>
      </c>
      <c r="BI36" s="71">
        <f>Financials20263[[#This Row],[Jul AC]]-Financials20263[[#This Row],[Jul FC]]</f>
        <v>0</v>
      </c>
      <c r="BJ36" s="71">
        <f>Financials20263[[#This Row],[Aug AC]]-Financials20263[[#This Row],[Aug FC]]</f>
        <v>0</v>
      </c>
      <c r="BK36" s="71">
        <f>Financials20263[[#This Row],[Sep AC]]-Financials20263[[#This Row],[Sep FC]]</f>
        <v>0</v>
      </c>
      <c r="BL36" s="71">
        <f>Financials20263[[#This Row],[Oct AC]]-Financials20263[[#This Row],[Oct FC]]</f>
        <v>0</v>
      </c>
      <c r="BM36" s="71">
        <f>Financials20263[[#This Row],[Nov AC]]-Financials20263[[#This Row],[Nov FC]]</f>
        <v>0</v>
      </c>
      <c r="BN36" s="71">
        <f>Financials20263[[#This Row],[Dec AC]]-Financials20263[[#This Row],[Dec FC]]</f>
        <v>0</v>
      </c>
      <c r="BO36" s="71">
        <f>SUM(Financials20263[[#This Row],[Jan Opp/Risk]:[Dec Opp./Risk]])</f>
        <v>0</v>
      </c>
      <c r="BP36" s="87" t="s">
        <v>519</v>
      </c>
      <c r="BQ36" s="47">
        <f>SUM(Financials20263[[#This Row],[Jan AC]:[May AC]])</f>
        <v>428592.45</v>
      </c>
      <c r="BR36" s="6">
        <f>Financials20263[[#This Row],[2026 (Actuals + Forecast)]]-Financials20263[[#This Row],[Jan-May Actuals]]-Financials20263[[#This Row],[Jun-Dec FC]]</f>
        <v>0</v>
      </c>
      <c r="BS36" s="6">
        <f>Financials20263[[#This Row],[Jun-Dec FC]]+Financials20263[[#This Row],[Jan-May Forecast ]]</f>
        <v>406817.45</v>
      </c>
      <c r="BT36" s="6">
        <f>SUM(Financials20263[[#This Row],[Jan FC]:[May FC]])</f>
        <v>428592.45</v>
      </c>
      <c r="BU36" s="6">
        <f>Financials20263[[#This Row],[Jan-May Actuals]]+Financials20263[[#This Row],[Forecast Jun-Dec]]</f>
        <v>835409.9</v>
      </c>
      <c r="BV36" s="6"/>
      <c r="BW36" s="6"/>
      <c r="BX36" s="6"/>
    </row>
    <row r="37" spans="1:76" x14ac:dyDescent="0.3">
      <c r="A37" s="22" t="s">
        <v>101</v>
      </c>
      <c r="B37" s="21" t="s">
        <v>208</v>
      </c>
      <c r="C37" s="21" t="s">
        <v>209</v>
      </c>
      <c r="D37" s="10" t="s">
        <v>37</v>
      </c>
      <c r="E37" s="7" t="s">
        <v>213</v>
      </c>
      <c r="F37" s="3" t="s">
        <v>211</v>
      </c>
      <c r="G37" s="3" t="s">
        <v>48</v>
      </c>
      <c r="H37" s="4">
        <v>45839</v>
      </c>
      <c r="I37" s="4">
        <v>46203</v>
      </c>
      <c r="J37" s="3" t="s">
        <v>214</v>
      </c>
      <c r="K37" s="3" t="str">
        <f t="shared" si="0"/>
        <v>Prj000548-Implement - Reporting for Internal Audit</v>
      </c>
      <c r="L37" s="21" t="s">
        <v>106</v>
      </c>
      <c r="M37" s="21" t="s">
        <v>7</v>
      </c>
      <c r="N37" s="21" t="s">
        <v>7</v>
      </c>
      <c r="O37" s="21"/>
      <c r="P37" s="21" t="s">
        <v>107</v>
      </c>
      <c r="Q37" s="21" t="s">
        <v>201</v>
      </c>
      <c r="R37" s="21" t="s">
        <v>201</v>
      </c>
      <c r="S37" s="21" t="s">
        <v>109</v>
      </c>
      <c r="T37" s="5">
        <v>100000</v>
      </c>
      <c r="U37" s="15">
        <v>200000</v>
      </c>
      <c r="V37" s="15">
        <v>200000</v>
      </c>
      <c r="W37" s="15">
        <f t="shared" si="1"/>
        <v>199999.99999999997</v>
      </c>
      <c r="X37" s="15">
        <f t="shared" si="7"/>
        <v>-2.9103830456733704E-11</v>
      </c>
      <c r="Y37" s="15">
        <f t="shared" si="2"/>
        <v>0</v>
      </c>
      <c r="Z37" s="15">
        <f>SUM(Financials20263[[#This Row],[2026 Opportunity]:[2026 Risk]])</f>
        <v>-2.9103830456733704E-11</v>
      </c>
      <c r="AA37" s="3" t="s">
        <v>428</v>
      </c>
      <c r="AB37" s="52">
        <f t="shared" ref="AB37:AU37" si="17">200000/12</f>
        <v>16666.666666666668</v>
      </c>
      <c r="AC37" s="52">
        <f t="shared" si="17"/>
        <v>16666.666666666668</v>
      </c>
      <c r="AD37" s="52">
        <f t="shared" si="17"/>
        <v>16666.666666666668</v>
      </c>
      <c r="AE37" s="52">
        <f t="shared" si="17"/>
        <v>16666.666666666668</v>
      </c>
      <c r="AF37" s="52">
        <f t="shared" si="17"/>
        <v>16666.666666666668</v>
      </c>
      <c r="AG37" s="52">
        <f t="shared" si="17"/>
        <v>16666.666666666668</v>
      </c>
      <c r="AH37" s="52">
        <f t="shared" si="17"/>
        <v>16666.666666666668</v>
      </c>
      <c r="AI37" s="52">
        <f t="shared" si="17"/>
        <v>16666.666666666668</v>
      </c>
      <c r="AJ37" s="52">
        <f t="shared" si="17"/>
        <v>16666.666666666668</v>
      </c>
      <c r="AK37" s="52">
        <f t="shared" si="17"/>
        <v>16666.666666666668</v>
      </c>
      <c r="AL37" s="52">
        <f t="shared" si="17"/>
        <v>16666.666666666668</v>
      </c>
      <c r="AM37" s="52">
        <f t="shared" si="17"/>
        <v>16666.666666666668</v>
      </c>
      <c r="AN37" s="52">
        <f>SUM(Financials20263[[#This Row],[Jan FC]:[Dec FC]])</f>
        <v>199999.99999999997</v>
      </c>
      <c r="AO37" s="15">
        <f t="shared" si="5"/>
        <v>116666.66666666669</v>
      </c>
      <c r="AP37" s="61">
        <f t="shared" si="17"/>
        <v>16666.666666666668</v>
      </c>
      <c r="AQ37" s="61">
        <f t="shared" si="17"/>
        <v>16666.666666666668</v>
      </c>
      <c r="AR37" s="61">
        <f t="shared" si="17"/>
        <v>16666.666666666668</v>
      </c>
      <c r="AS37" s="61">
        <f t="shared" si="17"/>
        <v>16666.666666666668</v>
      </c>
      <c r="AT37" s="61">
        <f t="shared" si="17"/>
        <v>16666.666666666668</v>
      </c>
      <c r="AU37" s="61">
        <f t="shared" si="17"/>
        <v>16666.666666666668</v>
      </c>
      <c r="AV37" s="61"/>
      <c r="AW37" s="61"/>
      <c r="AX37" s="61"/>
      <c r="AY37" s="61"/>
      <c r="AZ37" s="61"/>
      <c r="BA37" s="61"/>
      <c r="BB37" s="80">
        <f>SUM(Financials20263[[#This Row],[Jan AC]:[Dec AC]])</f>
        <v>100000.00000000001</v>
      </c>
      <c r="BC37" s="71">
        <f>Financials20263[[#This Row],[Jan AC]]-Financials20263[[#This Row],[Jan FC]]</f>
        <v>0</v>
      </c>
      <c r="BD37" s="71">
        <f>Financials20263[[#This Row],[Feb AC]]-Financials20263[[#This Row],[Feb FC]]</f>
        <v>0</v>
      </c>
      <c r="BE37" s="71">
        <f>Financials20263[[#This Row],[Mar AC]]-Financials20263[[#This Row],[Mar FC]]</f>
        <v>0</v>
      </c>
      <c r="BF37" s="71">
        <f>Financials20263[[#This Row],[Apr AC]]-Financials20263[[#This Row],[Apr FC]]</f>
        <v>0</v>
      </c>
      <c r="BG37" s="71">
        <f>Financials20263[[#This Row],[May AC]]-Financials20263[[#This Row],[May FC]]</f>
        <v>0</v>
      </c>
      <c r="BH37" s="71">
        <f>Financials20263[[#This Row],[Jun AC]]-Financials20263[[#This Row],[Jun FC]]</f>
        <v>0</v>
      </c>
      <c r="BI37" s="71">
        <f>Financials20263[[#This Row],[Jul AC]]-Financials20263[[#This Row],[Jul FC]]</f>
        <v>-16666.666666666668</v>
      </c>
      <c r="BJ37" s="71">
        <f>Financials20263[[#This Row],[Aug AC]]-Financials20263[[#This Row],[Aug FC]]</f>
        <v>-16666.666666666668</v>
      </c>
      <c r="BK37" s="71">
        <f>Financials20263[[#This Row],[Sep AC]]-Financials20263[[#This Row],[Sep FC]]</f>
        <v>-16666.666666666668</v>
      </c>
      <c r="BL37" s="71">
        <f>Financials20263[[#This Row],[Oct AC]]-Financials20263[[#This Row],[Oct FC]]</f>
        <v>-16666.666666666668</v>
      </c>
      <c r="BM37" s="71">
        <f>Financials20263[[#This Row],[Nov AC]]-Financials20263[[#This Row],[Nov FC]]</f>
        <v>-16666.666666666668</v>
      </c>
      <c r="BN37" s="71">
        <f>Financials20263[[#This Row],[Dec AC]]-Financials20263[[#This Row],[Dec FC]]</f>
        <v>-16666.666666666668</v>
      </c>
      <c r="BO37" s="71">
        <f>SUM(Financials20263[[#This Row],[Jan Opp/Risk]:[Dec Opp./Risk]])</f>
        <v>-100000.00000000001</v>
      </c>
      <c r="BP37" s="87"/>
      <c r="BQ37" s="47">
        <f>SUM(Financials20263[[#This Row],[Jan AC]:[May AC]])</f>
        <v>83333.333333333343</v>
      </c>
      <c r="BR37" s="6">
        <f>Financials20263[[#This Row],[2026 (Actuals + Forecast)]]-Financials20263[[#This Row],[Jan-May Actuals]]-Financials20263[[#This Row],[Jun-Dec FC]]</f>
        <v>0</v>
      </c>
      <c r="BS37" s="6">
        <f>Financials20263[[#This Row],[Jun-Dec FC]]+Financials20263[[#This Row],[Jan-May Forecast ]]</f>
        <v>116666.66666666669</v>
      </c>
      <c r="BT37" s="6">
        <f>SUM(Financials20263[[#This Row],[Jan FC]:[May FC]])</f>
        <v>83333.333333333343</v>
      </c>
      <c r="BU37" s="6">
        <f>Financials20263[[#This Row],[Jan-May Actuals]]+Financials20263[[#This Row],[Forecast Jun-Dec]]</f>
        <v>200000.00000000003</v>
      </c>
      <c r="BV37" s="6"/>
      <c r="BW37" s="6"/>
      <c r="BX37" s="6"/>
    </row>
    <row r="38" spans="1:76" x14ac:dyDescent="0.3">
      <c r="A38" s="22" t="s">
        <v>101</v>
      </c>
      <c r="B38" s="21" t="s">
        <v>208</v>
      </c>
      <c r="C38" s="21" t="s">
        <v>209</v>
      </c>
      <c r="D38" s="10" t="s">
        <v>29</v>
      </c>
      <c r="E38" s="7" t="s">
        <v>210</v>
      </c>
      <c r="F38" s="3" t="s">
        <v>211</v>
      </c>
      <c r="G38" s="3" t="s">
        <v>48</v>
      </c>
      <c r="H38" s="4">
        <v>46143</v>
      </c>
      <c r="I38" s="4">
        <v>46507</v>
      </c>
      <c r="J38" s="3" t="s">
        <v>214</v>
      </c>
      <c r="K38" s="3" t="str">
        <f t="shared" si="0"/>
        <v>Prj000458-Support - Data Analytics Office</v>
      </c>
      <c r="L38" s="21" t="s">
        <v>106</v>
      </c>
      <c r="M38" s="21" t="s">
        <v>7</v>
      </c>
      <c r="N38" s="21" t="s">
        <v>7</v>
      </c>
      <c r="O38" s="21" t="s">
        <v>7</v>
      </c>
      <c r="P38" s="21" t="s">
        <v>107</v>
      </c>
      <c r="Q38" s="21" t="s">
        <v>201</v>
      </c>
      <c r="R38" s="21" t="s">
        <v>201</v>
      </c>
      <c r="S38" s="21" t="s">
        <v>109</v>
      </c>
      <c r="T38" s="5">
        <v>66666.666666666672</v>
      </c>
      <c r="U38" s="15">
        <v>100000</v>
      </c>
      <c r="V38" s="15">
        <v>100000</v>
      </c>
      <c r="W38" s="15">
        <f t="shared" si="1"/>
        <v>99999.999999999985</v>
      </c>
      <c r="X38" s="15">
        <f t="shared" si="7"/>
        <v>-1.4551915228366852E-11</v>
      </c>
      <c r="Y38" s="15">
        <f t="shared" si="2"/>
        <v>0</v>
      </c>
      <c r="Z38" s="15">
        <f>SUM(Financials20263[[#This Row],[2026 Opportunity]:[2026 Risk]])</f>
        <v>-1.4551915228366852E-11</v>
      </c>
      <c r="AA38" s="3" t="s">
        <v>429</v>
      </c>
      <c r="AB38" s="52">
        <f>100000/12</f>
        <v>8333.3333333333339</v>
      </c>
      <c r="AC38" s="52">
        <f>100000/12</f>
        <v>8333.3333333333339</v>
      </c>
      <c r="AD38" s="52">
        <f>100000/12</f>
        <v>8333.3333333333339</v>
      </c>
      <c r="AE38" s="52">
        <f>100000/12</f>
        <v>8333.3333333333339</v>
      </c>
      <c r="AF38" s="52">
        <f>100000/12</f>
        <v>8333.3333333333339</v>
      </c>
      <c r="AG38" s="52">
        <f t="shared" ref="AG38:AM38" si="18">+AF38</f>
        <v>8333.3333333333339</v>
      </c>
      <c r="AH38" s="52">
        <f t="shared" si="18"/>
        <v>8333.3333333333339</v>
      </c>
      <c r="AI38" s="52">
        <f t="shared" si="18"/>
        <v>8333.3333333333339</v>
      </c>
      <c r="AJ38" s="52">
        <f t="shared" si="18"/>
        <v>8333.3333333333339</v>
      </c>
      <c r="AK38" s="52">
        <f t="shared" si="18"/>
        <v>8333.3333333333339</v>
      </c>
      <c r="AL38" s="52">
        <f t="shared" si="18"/>
        <v>8333.3333333333339</v>
      </c>
      <c r="AM38" s="52">
        <f t="shared" si="18"/>
        <v>8333.3333333333339</v>
      </c>
      <c r="AN38" s="52">
        <f>SUM(Financials20263[[#This Row],[Jan FC]:[Dec FC]])</f>
        <v>99999.999999999985</v>
      </c>
      <c r="AO38" s="15">
        <f t="shared" si="5"/>
        <v>58333.333333333343</v>
      </c>
      <c r="AP38" s="61">
        <f>100000/12</f>
        <v>8333.3333333333339</v>
      </c>
      <c r="AQ38" s="61">
        <f>100000/12</f>
        <v>8333.3333333333339</v>
      </c>
      <c r="AR38" s="61">
        <f>100000/12</f>
        <v>8333.3333333333339</v>
      </c>
      <c r="AS38" s="61">
        <f>100000/12</f>
        <v>8333.3333333333339</v>
      </c>
      <c r="AT38" s="61">
        <f>100000/12</f>
        <v>8333.3333333333339</v>
      </c>
      <c r="AU38" s="61">
        <f t="shared" ref="AU38:BA38" si="19">+AT38</f>
        <v>8333.3333333333339</v>
      </c>
      <c r="AV38" s="61">
        <f t="shared" si="19"/>
        <v>8333.3333333333339</v>
      </c>
      <c r="AW38" s="61">
        <f t="shared" si="19"/>
        <v>8333.3333333333339</v>
      </c>
      <c r="AX38" s="61">
        <f t="shared" si="19"/>
        <v>8333.3333333333339</v>
      </c>
      <c r="AY38" s="61">
        <f t="shared" si="19"/>
        <v>8333.3333333333339</v>
      </c>
      <c r="AZ38" s="61">
        <f t="shared" si="19"/>
        <v>8333.3333333333339</v>
      </c>
      <c r="BA38" s="61">
        <f t="shared" si="19"/>
        <v>8333.3333333333339</v>
      </c>
      <c r="BB38" s="80">
        <f>SUM(Financials20263[[#This Row],[Jan AC]:[Dec AC]])</f>
        <v>99999.999999999985</v>
      </c>
      <c r="BC38" s="71">
        <f>Financials20263[[#This Row],[Jan AC]]-Financials20263[[#This Row],[Jan FC]]</f>
        <v>0</v>
      </c>
      <c r="BD38" s="71">
        <f>Financials20263[[#This Row],[Feb AC]]-Financials20263[[#This Row],[Feb FC]]</f>
        <v>0</v>
      </c>
      <c r="BE38" s="71">
        <f>Financials20263[[#This Row],[Mar AC]]-Financials20263[[#This Row],[Mar FC]]</f>
        <v>0</v>
      </c>
      <c r="BF38" s="71">
        <f>Financials20263[[#This Row],[Apr AC]]-Financials20263[[#This Row],[Apr FC]]</f>
        <v>0</v>
      </c>
      <c r="BG38" s="71">
        <f>Financials20263[[#This Row],[May AC]]-Financials20263[[#This Row],[May FC]]</f>
        <v>0</v>
      </c>
      <c r="BH38" s="71">
        <f>Financials20263[[#This Row],[Jun AC]]-Financials20263[[#This Row],[Jun FC]]</f>
        <v>0</v>
      </c>
      <c r="BI38" s="71">
        <f>Financials20263[[#This Row],[Jul AC]]-Financials20263[[#This Row],[Jul FC]]</f>
        <v>0</v>
      </c>
      <c r="BJ38" s="71">
        <f>Financials20263[[#This Row],[Aug AC]]-Financials20263[[#This Row],[Aug FC]]</f>
        <v>0</v>
      </c>
      <c r="BK38" s="71">
        <f>Financials20263[[#This Row],[Sep AC]]-Financials20263[[#This Row],[Sep FC]]</f>
        <v>0</v>
      </c>
      <c r="BL38" s="71">
        <f>Financials20263[[#This Row],[Oct AC]]-Financials20263[[#This Row],[Oct FC]]</f>
        <v>0</v>
      </c>
      <c r="BM38" s="71">
        <f>Financials20263[[#This Row],[Nov AC]]-Financials20263[[#This Row],[Nov FC]]</f>
        <v>0</v>
      </c>
      <c r="BN38" s="71">
        <f>Financials20263[[#This Row],[Dec AC]]-Financials20263[[#This Row],[Dec FC]]</f>
        <v>0</v>
      </c>
      <c r="BO38" s="71">
        <f>SUM(Financials20263[[#This Row],[Jan Opp/Risk]:[Dec Opp./Risk]])</f>
        <v>0</v>
      </c>
      <c r="BP38" s="87"/>
      <c r="BQ38" s="47">
        <f>SUM(Financials20263[[#This Row],[Jan AC]:[May AC]])</f>
        <v>41666.666666666672</v>
      </c>
      <c r="BR38" s="6">
        <f>Financials20263[[#This Row],[2026 (Actuals + Forecast)]]-Financials20263[[#This Row],[Jan-May Actuals]]-Financials20263[[#This Row],[Jun-Dec FC]]</f>
        <v>0</v>
      </c>
      <c r="BS38" s="6">
        <f>Financials20263[[#This Row],[Jun-Dec FC]]+Financials20263[[#This Row],[Jan-May Forecast ]]</f>
        <v>58333.333333333343</v>
      </c>
      <c r="BT38" s="6">
        <f>SUM(Financials20263[[#This Row],[Jan FC]:[May FC]])</f>
        <v>41666.666666666672</v>
      </c>
      <c r="BU38" s="6">
        <f>Financials20263[[#This Row],[Jan-May Actuals]]+Financials20263[[#This Row],[Forecast Jun-Dec]]</f>
        <v>100000.00000000001</v>
      </c>
      <c r="BV38" s="6"/>
      <c r="BW38" s="6"/>
      <c r="BX38" s="6"/>
    </row>
    <row r="39" spans="1:76" x14ac:dyDescent="0.3">
      <c r="A39" s="22" t="s">
        <v>101</v>
      </c>
      <c r="B39" s="21" t="s">
        <v>215</v>
      </c>
      <c r="C39" s="21"/>
      <c r="D39" s="10" t="s">
        <v>27</v>
      </c>
      <c r="E39" s="7" t="s">
        <v>216</v>
      </c>
      <c r="F39" s="3" t="s">
        <v>114</v>
      </c>
      <c r="G39" s="3" t="s">
        <v>53</v>
      </c>
      <c r="H39" s="4">
        <v>46082</v>
      </c>
      <c r="I39" s="4">
        <v>46446</v>
      </c>
      <c r="J39" s="3" t="s">
        <v>217</v>
      </c>
      <c r="K39" s="3" t="str">
        <f t="shared" si="0"/>
        <v>Prj000446-Implement - Minor Enhancements for Enterprise Apps</v>
      </c>
      <c r="L39" s="21" t="s">
        <v>106</v>
      </c>
      <c r="M39" s="21" t="s">
        <v>7</v>
      </c>
      <c r="N39" s="21" t="s">
        <v>7</v>
      </c>
      <c r="O39" s="21" t="s">
        <v>7</v>
      </c>
      <c r="P39" s="21" t="s">
        <v>107</v>
      </c>
      <c r="Q39" s="21" t="s">
        <v>201</v>
      </c>
      <c r="R39" s="21" t="s">
        <v>201</v>
      </c>
      <c r="S39" s="21" t="s">
        <v>109</v>
      </c>
      <c r="T39" s="5">
        <v>464992</v>
      </c>
      <c r="U39" s="15">
        <v>440671.35000000003</v>
      </c>
      <c r="V39" s="15">
        <v>440671.35000000003</v>
      </c>
      <c r="W39" s="15">
        <f t="shared" si="1"/>
        <v>440671.00000000006</v>
      </c>
      <c r="X39" s="15">
        <f t="shared" si="7"/>
        <v>-0.34999999997671694</v>
      </c>
      <c r="Y39" s="15">
        <f t="shared" si="2"/>
        <v>0</v>
      </c>
      <c r="Z39" s="15">
        <f>SUM(Financials20263[[#This Row],[2026 Opportunity]:[2026 Risk]])</f>
        <v>-0.34999999997671694</v>
      </c>
      <c r="AA39" s="3" t="s">
        <v>430</v>
      </c>
      <c r="AB39" s="52"/>
      <c r="AC39" s="52"/>
      <c r="AD39" s="52">
        <f t="shared" ref="AD39:AL39" si="20">434810.4/12</f>
        <v>36234.200000000004</v>
      </c>
      <c r="AE39" s="52">
        <f t="shared" si="20"/>
        <v>36234.200000000004</v>
      </c>
      <c r="AF39" s="52">
        <f t="shared" si="20"/>
        <v>36234.200000000004</v>
      </c>
      <c r="AG39" s="52">
        <f t="shared" si="20"/>
        <v>36234.200000000004</v>
      </c>
      <c r="AH39" s="52">
        <f t="shared" si="20"/>
        <v>36234.200000000004</v>
      </c>
      <c r="AI39" s="52">
        <f t="shared" si="20"/>
        <v>36234.200000000004</v>
      </c>
      <c r="AJ39" s="52">
        <f t="shared" si="20"/>
        <v>36234.200000000004</v>
      </c>
      <c r="AK39" s="52">
        <f t="shared" si="20"/>
        <v>36234.200000000004</v>
      </c>
      <c r="AL39" s="52">
        <f t="shared" si="20"/>
        <v>36234.200000000004</v>
      </c>
      <c r="AM39" s="85">
        <f>(434810.4/12)+78329</f>
        <v>114563.20000000001</v>
      </c>
      <c r="AN39" s="52">
        <f>SUM(Financials20263[[#This Row],[Jan FC]:[Dec FC]])</f>
        <v>440671.00000000006</v>
      </c>
      <c r="AO39" s="15">
        <f t="shared" si="5"/>
        <v>331968.40000000002</v>
      </c>
      <c r="AP39" s="61"/>
      <c r="AQ39" s="61"/>
      <c r="AR39" s="61">
        <f t="shared" ref="AR39:BA39" si="21">434810.4/12</f>
        <v>36234.200000000004</v>
      </c>
      <c r="AS39" s="61">
        <f t="shared" si="21"/>
        <v>36234.200000000004</v>
      </c>
      <c r="AT39" s="61">
        <f t="shared" si="21"/>
        <v>36234.200000000004</v>
      </c>
      <c r="AU39" s="61">
        <f t="shared" si="21"/>
        <v>36234.200000000004</v>
      </c>
      <c r="AV39" s="61">
        <f t="shared" si="21"/>
        <v>36234.200000000004</v>
      </c>
      <c r="AW39" s="61">
        <f t="shared" si="21"/>
        <v>36234.200000000004</v>
      </c>
      <c r="AX39" s="61">
        <f t="shared" si="21"/>
        <v>36234.200000000004</v>
      </c>
      <c r="AY39" s="61">
        <f t="shared" si="21"/>
        <v>36234.200000000004</v>
      </c>
      <c r="AZ39" s="61">
        <f t="shared" si="21"/>
        <v>36234.200000000004</v>
      </c>
      <c r="BA39" s="61">
        <f t="shared" si="21"/>
        <v>36234.200000000004</v>
      </c>
      <c r="BB39" s="80">
        <f>SUM(Financials20263[[#This Row],[Jan AC]:[Dec AC]])</f>
        <v>362342.00000000006</v>
      </c>
      <c r="BC39" s="71">
        <f>Financials20263[[#This Row],[Jan AC]]-Financials20263[[#This Row],[Jan FC]]</f>
        <v>0</v>
      </c>
      <c r="BD39" s="71">
        <f>Financials20263[[#This Row],[Feb AC]]-Financials20263[[#This Row],[Feb FC]]</f>
        <v>0</v>
      </c>
      <c r="BE39" s="71">
        <f>Financials20263[[#This Row],[Mar AC]]-Financials20263[[#This Row],[Mar FC]]</f>
        <v>0</v>
      </c>
      <c r="BF39" s="71">
        <f>Financials20263[[#This Row],[Apr AC]]-Financials20263[[#This Row],[Apr FC]]</f>
        <v>0</v>
      </c>
      <c r="BG39" s="71">
        <f>Financials20263[[#This Row],[May AC]]-Financials20263[[#This Row],[May FC]]</f>
        <v>0</v>
      </c>
      <c r="BH39" s="71">
        <f>Financials20263[[#This Row],[Jun AC]]-Financials20263[[#This Row],[Jun FC]]</f>
        <v>0</v>
      </c>
      <c r="BI39" s="71">
        <f>Financials20263[[#This Row],[Jul AC]]-Financials20263[[#This Row],[Jul FC]]</f>
        <v>0</v>
      </c>
      <c r="BJ39" s="71">
        <f>Financials20263[[#This Row],[Aug AC]]-Financials20263[[#This Row],[Aug FC]]</f>
        <v>0</v>
      </c>
      <c r="BK39" s="71">
        <f>Financials20263[[#This Row],[Sep AC]]-Financials20263[[#This Row],[Sep FC]]</f>
        <v>0</v>
      </c>
      <c r="BL39" s="71">
        <f>Financials20263[[#This Row],[Oct AC]]-Financials20263[[#This Row],[Oct FC]]</f>
        <v>0</v>
      </c>
      <c r="BM39" s="71">
        <f>Financials20263[[#This Row],[Nov AC]]-Financials20263[[#This Row],[Nov FC]]</f>
        <v>0</v>
      </c>
      <c r="BN39" s="71">
        <f>Financials20263[[#This Row],[Dec AC]]-Financials20263[[#This Row],[Dec FC]]</f>
        <v>-78329</v>
      </c>
      <c r="BO39" s="71">
        <f>SUM(Financials20263[[#This Row],[Jan Opp/Risk]:[Dec Opp./Risk]])</f>
        <v>-78329</v>
      </c>
      <c r="BP39" s="87" t="s">
        <v>477</v>
      </c>
      <c r="BQ39" s="47">
        <f>SUM(Financials20263[[#This Row],[Jan AC]:[May AC]])</f>
        <v>108702.6</v>
      </c>
      <c r="BR39" s="6">
        <f>Financials20263[[#This Row],[2026 (Actuals + Forecast)]]-Financials20263[[#This Row],[Jan-May Actuals]]-Financials20263[[#This Row],[Jun-Dec FC]]</f>
        <v>0</v>
      </c>
      <c r="BS39" s="6">
        <f>Financials20263[[#This Row],[Jun-Dec FC]]+Financials20263[[#This Row],[Jan-May Forecast ]]</f>
        <v>331968.40000000002</v>
      </c>
      <c r="BT39" s="6">
        <f>SUM(Financials20263[[#This Row],[Jan FC]:[May FC]])</f>
        <v>108702.6</v>
      </c>
      <c r="BU39" s="6">
        <f>Financials20263[[#This Row],[Jan-May Actuals]]+Financials20263[[#This Row],[Forecast Jun-Dec]]</f>
        <v>440671</v>
      </c>
      <c r="BV39" s="6"/>
      <c r="BW39" s="6"/>
      <c r="BX39" s="6"/>
    </row>
    <row r="40" spans="1:76" x14ac:dyDescent="0.3">
      <c r="A40" s="22" t="s">
        <v>101</v>
      </c>
      <c r="B40" s="21" t="s">
        <v>67</v>
      </c>
      <c r="C40" s="21"/>
      <c r="D40" s="10" t="s">
        <v>17</v>
      </c>
      <c r="E40" s="7" t="s">
        <v>103</v>
      </c>
      <c r="F40" s="3" t="s">
        <v>104</v>
      </c>
      <c r="G40" s="3" t="s">
        <v>49</v>
      </c>
      <c r="H40" s="4" t="s">
        <v>142</v>
      </c>
      <c r="I40" s="4" t="s">
        <v>142</v>
      </c>
      <c r="J40" s="3"/>
      <c r="K40" s="3" t="str">
        <f t="shared" si="0"/>
        <v>Prj000350-Support - Infrastructure for Tech</v>
      </c>
      <c r="L40" s="21" t="s">
        <v>106</v>
      </c>
      <c r="M40" s="21" t="s">
        <v>7</v>
      </c>
      <c r="N40" s="21" t="s">
        <v>7</v>
      </c>
      <c r="O40" s="21" t="s">
        <v>218</v>
      </c>
      <c r="P40" s="21" t="s">
        <v>107</v>
      </c>
      <c r="Q40" s="21" t="s">
        <v>108</v>
      </c>
      <c r="R40" s="21" t="s">
        <v>108</v>
      </c>
      <c r="S40" s="21" t="s">
        <v>129</v>
      </c>
      <c r="T40" s="5">
        <v>12685</v>
      </c>
      <c r="U40" s="15">
        <v>15000</v>
      </c>
      <c r="V40" s="15">
        <v>15000</v>
      </c>
      <c r="W40" s="15">
        <f t="shared" si="1"/>
        <v>14999.48</v>
      </c>
      <c r="X40" s="15">
        <f t="shared" si="7"/>
        <v>-0.52000000000043656</v>
      </c>
      <c r="Y40" s="15">
        <f t="shared" si="2"/>
        <v>0</v>
      </c>
      <c r="Z40" s="15">
        <f>SUM(Financials20263[[#This Row],[2026 Opportunity]:[2026 Risk]])</f>
        <v>-0.52000000000043656</v>
      </c>
      <c r="AA40" s="3" t="s">
        <v>431</v>
      </c>
      <c r="AB40" s="52">
        <v>1250</v>
      </c>
      <c r="AC40" s="52">
        <v>1250</v>
      </c>
      <c r="AD40" s="52">
        <v>1250</v>
      </c>
      <c r="AE40" s="52">
        <f>1250+717</f>
        <v>1967</v>
      </c>
      <c r="AF40" s="52">
        <f>1250+717</f>
        <v>1967</v>
      </c>
      <c r="AG40" s="52">
        <v>1250</v>
      </c>
      <c r="AH40" s="52">
        <v>1250</v>
      </c>
      <c r="AI40" s="52">
        <v>1250</v>
      </c>
      <c r="AJ40" s="52">
        <v>1250</v>
      </c>
      <c r="AK40" s="52">
        <v>1250</v>
      </c>
      <c r="AL40" s="52">
        <v>1250</v>
      </c>
      <c r="AM40" s="46">
        <f>1250+3054-717-716</f>
        <v>2871</v>
      </c>
      <c r="AN40" s="52">
        <f>SUM(Financials20263[[#This Row],[Jan FC]:[Dec FC]])</f>
        <v>18055</v>
      </c>
      <c r="AO40" s="15">
        <f t="shared" si="5"/>
        <v>10371</v>
      </c>
      <c r="AP40" s="61">
        <v>0</v>
      </c>
      <c r="AQ40" s="61">
        <v>0</v>
      </c>
      <c r="AR40" s="61">
        <v>696.32</v>
      </c>
      <c r="AS40" s="61">
        <v>1966.08</v>
      </c>
      <c r="AT40" s="61">
        <v>1966.08</v>
      </c>
      <c r="AU40" s="61">
        <v>1966.08</v>
      </c>
      <c r="AV40" s="61"/>
      <c r="AW40" s="61"/>
      <c r="AX40" s="61"/>
      <c r="AY40" s="61"/>
      <c r="AZ40" s="61"/>
      <c r="BA40" s="61"/>
      <c r="BB40" s="80">
        <f>SUM(Financials20263[[#This Row],[Jan AC]:[Dec AC]])</f>
        <v>6594.5599999999995</v>
      </c>
      <c r="BC40" s="71">
        <f>Financials20263[[#This Row],[Jan AC]]-Financials20263[[#This Row],[Jan FC]]</f>
        <v>-1250</v>
      </c>
      <c r="BD40" s="71">
        <f>Financials20263[[#This Row],[Feb AC]]-Financials20263[[#This Row],[Feb FC]]</f>
        <v>-1250</v>
      </c>
      <c r="BE40" s="71">
        <f>Financials20263[[#This Row],[Mar AC]]-Financials20263[[#This Row],[Mar FC]]</f>
        <v>-553.67999999999995</v>
      </c>
      <c r="BF40" s="71">
        <f>Financials20263[[#This Row],[Apr AC]]-Financials20263[[#This Row],[Apr FC]]</f>
        <v>-0.92000000000007276</v>
      </c>
      <c r="BG40" s="71">
        <f>Financials20263[[#This Row],[May AC]]-Financials20263[[#This Row],[May FC]]</f>
        <v>-0.92000000000007276</v>
      </c>
      <c r="BH40" s="71">
        <f>Financials20263[[#This Row],[Jun AC]]-Financials20263[[#This Row],[Jun FC]]</f>
        <v>716.07999999999993</v>
      </c>
      <c r="BI40" s="71">
        <f>Financials20263[[#This Row],[Jul AC]]-Financials20263[[#This Row],[Jul FC]]</f>
        <v>-1250</v>
      </c>
      <c r="BJ40" s="71">
        <f>Financials20263[[#This Row],[Aug AC]]-Financials20263[[#This Row],[Aug FC]]</f>
        <v>-1250</v>
      </c>
      <c r="BK40" s="71">
        <f>Financials20263[[#This Row],[Sep AC]]-Financials20263[[#This Row],[Sep FC]]</f>
        <v>-1250</v>
      </c>
      <c r="BL40" s="71">
        <f>Financials20263[[#This Row],[Oct AC]]-Financials20263[[#This Row],[Oct FC]]</f>
        <v>-1250</v>
      </c>
      <c r="BM40" s="71">
        <f>Financials20263[[#This Row],[Nov AC]]-Financials20263[[#This Row],[Nov FC]]</f>
        <v>-1250</v>
      </c>
      <c r="BN40" s="71">
        <f>Financials20263[[#This Row],[Dec AC]]-Financials20263[[#This Row],[Dec FC]]</f>
        <v>-2871</v>
      </c>
      <c r="BO40" s="71">
        <f>SUM(Financials20263[[#This Row],[Jan Opp/Risk]:[Dec Opp./Risk]])</f>
        <v>-11460.44</v>
      </c>
      <c r="BP40" s="87" t="s">
        <v>515</v>
      </c>
      <c r="BQ40" s="47">
        <f>SUM(Financials20263[[#This Row],[Jan AC]:[May AC]])</f>
        <v>4628.4799999999996</v>
      </c>
      <c r="BR40" s="6">
        <f>Financials20263[[#This Row],[2026 (Actuals + Forecast)]]-Financials20263[[#This Row],[Jan-May Actuals]]-Financials20263[[#This Row],[Jun-Dec FC]]</f>
        <v>0</v>
      </c>
      <c r="BS40" s="6">
        <f>Financials20263[[#This Row],[Jun-Dec FC]]+Financials20263[[#This Row],[Jan-May Forecast ]]</f>
        <v>10371</v>
      </c>
      <c r="BT40" s="6">
        <f>SUM(Financials20263[[#This Row],[Jan FC]:[May FC]])</f>
        <v>7684</v>
      </c>
      <c r="BU40" s="6">
        <f>Financials20263[[#This Row],[Jan-May Actuals]]+Financials20263[[#This Row],[Forecast Jun-Dec]]</f>
        <v>14999.48</v>
      </c>
      <c r="BV40" s="6"/>
      <c r="BW40" s="6"/>
      <c r="BX40" s="6"/>
    </row>
    <row r="41" spans="1:76" x14ac:dyDescent="0.3">
      <c r="A41" s="22" t="s">
        <v>101</v>
      </c>
      <c r="B41" s="21" t="s">
        <v>67</v>
      </c>
      <c r="C41" s="21"/>
      <c r="D41" s="10" t="s">
        <v>15</v>
      </c>
      <c r="E41" s="7" t="s">
        <v>219</v>
      </c>
      <c r="F41" s="3" t="s">
        <v>104</v>
      </c>
      <c r="G41" s="3" t="s">
        <v>49</v>
      </c>
      <c r="H41" s="4">
        <v>45444</v>
      </c>
      <c r="I41" s="4">
        <v>46538</v>
      </c>
      <c r="J41" s="3"/>
      <c r="K41" s="3" t="str">
        <f t="shared" si="0"/>
        <v>Prj000342-Support - Site Reliability Engineering for Tech</v>
      </c>
      <c r="L41" s="21" t="s">
        <v>106</v>
      </c>
      <c r="M41" s="21" t="s">
        <v>4</v>
      </c>
      <c r="N41" s="21" t="s">
        <v>4</v>
      </c>
      <c r="O41" s="21" t="s">
        <v>220</v>
      </c>
      <c r="P41" s="21" t="s">
        <v>107</v>
      </c>
      <c r="Q41" s="21" t="s">
        <v>221</v>
      </c>
      <c r="R41" s="21" t="s">
        <v>221</v>
      </c>
      <c r="S41" s="21" t="s">
        <v>129</v>
      </c>
      <c r="T41" s="5">
        <v>7121037.5</v>
      </c>
      <c r="U41" s="15">
        <v>7500000</v>
      </c>
      <c r="V41" s="15">
        <v>7500000</v>
      </c>
      <c r="W41" s="15">
        <f t="shared" si="1"/>
        <v>7499999.5600000005</v>
      </c>
      <c r="X41" s="15">
        <f t="shared" si="7"/>
        <v>-0.43999999947845936</v>
      </c>
      <c r="Y41" s="15">
        <f t="shared" si="2"/>
        <v>0</v>
      </c>
      <c r="Z41" s="15">
        <f>SUM(Financials20263[[#This Row],[2026 Opportunity]:[2026 Risk]])</f>
        <v>-0.43999999947845936</v>
      </c>
      <c r="AA41" s="3" t="s">
        <v>432</v>
      </c>
      <c r="AB41" s="52">
        <v>625000</v>
      </c>
      <c r="AC41" s="52">
        <v>625000</v>
      </c>
      <c r="AD41" s="52">
        <v>625000</v>
      </c>
      <c r="AE41" s="52">
        <v>625000</v>
      </c>
      <c r="AF41" s="52">
        <v>625000</v>
      </c>
      <c r="AG41" s="52">
        <v>625000</v>
      </c>
      <c r="AH41" s="52">
        <v>625000</v>
      </c>
      <c r="AI41" s="52">
        <v>625000</v>
      </c>
      <c r="AJ41" s="52">
        <v>625000</v>
      </c>
      <c r="AK41" s="52">
        <v>625000</v>
      </c>
      <c r="AL41" s="52">
        <v>625000</v>
      </c>
      <c r="AM41" s="46">
        <f>625000-2569</f>
        <v>622431</v>
      </c>
      <c r="AN41" s="52">
        <f>SUM(Financials20263[[#This Row],[Jan FC]:[Dec FC]])</f>
        <v>7497431</v>
      </c>
      <c r="AO41" s="15">
        <f t="shared" si="5"/>
        <v>4372431</v>
      </c>
      <c r="AP41" s="61">
        <f>553.89+659816.51</f>
        <v>660370.4</v>
      </c>
      <c r="AQ41" s="61">
        <f>573.85+983.04+602302.68</f>
        <v>603859.57000000007</v>
      </c>
      <c r="AR41" s="61">
        <f>983.04+573.85+625988.8</f>
        <v>627545.69000000006</v>
      </c>
      <c r="AS41" s="61">
        <f>573.85+601821.2</f>
        <v>602395.04999999993</v>
      </c>
      <c r="AT41" s="61">
        <f>573.85+632824</f>
        <v>633397.85</v>
      </c>
      <c r="AU41" s="61">
        <f>573.85</f>
        <v>573.85</v>
      </c>
      <c r="AV41" s="61"/>
      <c r="AW41" s="61"/>
      <c r="AX41" s="61"/>
      <c r="AY41" s="61"/>
      <c r="AZ41" s="61"/>
      <c r="BA41" s="61"/>
      <c r="BB41" s="80">
        <f>SUM(Financials20263[[#This Row],[Jan AC]:[Dec AC]])</f>
        <v>3128142.41</v>
      </c>
      <c r="BC41" s="71">
        <f>Financials20263[[#This Row],[Jan AC]]-Financials20263[[#This Row],[Jan FC]]</f>
        <v>35370.400000000023</v>
      </c>
      <c r="BD41" s="71">
        <f>Financials20263[[#This Row],[Feb AC]]-Financials20263[[#This Row],[Feb FC]]</f>
        <v>-21140.429999999935</v>
      </c>
      <c r="BE41" s="71">
        <f>Financials20263[[#This Row],[Mar AC]]-Financials20263[[#This Row],[Mar FC]]</f>
        <v>2545.6900000000605</v>
      </c>
      <c r="BF41" s="71">
        <f>Financials20263[[#This Row],[Apr AC]]-Financials20263[[#This Row],[Apr FC]]</f>
        <v>-22604.95000000007</v>
      </c>
      <c r="BG41" s="71">
        <f>Financials20263[[#This Row],[May AC]]-Financials20263[[#This Row],[May FC]]</f>
        <v>8397.8499999999767</v>
      </c>
      <c r="BH41" s="71">
        <f>Financials20263[[#This Row],[Jun AC]]-Financials20263[[#This Row],[Jun FC]]</f>
        <v>-624426.15</v>
      </c>
      <c r="BI41" s="71">
        <f>Financials20263[[#This Row],[Jul AC]]-Financials20263[[#This Row],[Jul FC]]</f>
        <v>-625000</v>
      </c>
      <c r="BJ41" s="71">
        <f>Financials20263[[#This Row],[Aug AC]]-Financials20263[[#This Row],[Aug FC]]</f>
        <v>-625000</v>
      </c>
      <c r="BK41" s="71">
        <f>Financials20263[[#This Row],[Sep AC]]-Financials20263[[#This Row],[Sep FC]]</f>
        <v>-625000</v>
      </c>
      <c r="BL41" s="71">
        <f>Financials20263[[#This Row],[Oct AC]]-Financials20263[[#This Row],[Oct FC]]</f>
        <v>-625000</v>
      </c>
      <c r="BM41" s="71">
        <f>Financials20263[[#This Row],[Nov AC]]-Financials20263[[#This Row],[Nov FC]]</f>
        <v>-625000</v>
      </c>
      <c r="BN41" s="71">
        <f>Financials20263[[#This Row],[Dec AC]]-Financials20263[[#This Row],[Dec FC]]</f>
        <v>-622431</v>
      </c>
      <c r="BO41" s="71">
        <f>SUM(Financials20263[[#This Row],[Jan Opp/Risk]:[Dec Opp./Risk]])</f>
        <v>-4369288.59</v>
      </c>
      <c r="BP41" s="89" t="s">
        <v>516</v>
      </c>
      <c r="BQ41" s="47">
        <f>SUM(Financials20263[[#This Row],[Jan AC]:[May AC]])</f>
        <v>3127568.56</v>
      </c>
      <c r="BR41" s="6">
        <f>Financials20263[[#This Row],[2026 (Actuals + Forecast)]]-Financials20263[[#This Row],[Jan-May Actuals]]-Financials20263[[#This Row],[Jun-Dec FC]]</f>
        <v>0</v>
      </c>
      <c r="BS41" s="6">
        <f>Financials20263[[#This Row],[Jun-Dec FC]]+Financials20263[[#This Row],[Jan-May Forecast ]]</f>
        <v>4372431</v>
      </c>
      <c r="BT41" s="6">
        <f>SUM(Financials20263[[#This Row],[Jan FC]:[May FC]])</f>
        <v>3125000</v>
      </c>
      <c r="BU41" s="6">
        <f>Financials20263[[#This Row],[Jan-May Actuals]]+Financials20263[[#This Row],[Forecast Jun-Dec]]</f>
        <v>7499999.5600000005</v>
      </c>
      <c r="BV41" s="6"/>
      <c r="BW41" s="6"/>
      <c r="BX41" s="6"/>
    </row>
    <row r="42" spans="1:76" x14ac:dyDescent="0.3">
      <c r="A42" s="22" t="s">
        <v>101</v>
      </c>
      <c r="B42" s="21" t="s">
        <v>222</v>
      </c>
      <c r="C42" s="21" t="s">
        <v>223</v>
      </c>
      <c r="D42" s="10" t="s">
        <v>27</v>
      </c>
      <c r="E42" s="7" t="s">
        <v>216</v>
      </c>
      <c r="F42" s="3" t="s">
        <v>114</v>
      </c>
      <c r="G42" s="3" t="s">
        <v>53</v>
      </c>
      <c r="H42" s="4">
        <v>45870</v>
      </c>
      <c r="I42" s="4">
        <v>46234</v>
      </c>
      <c r="J42" s="3"/>
      <c r="K42" s="3" t="str">
        <f t="shared" si="0"/>
        <v>Prj000446-Implement - Minor Enhancements for Enterprise Apps</v>
      </c>
      <c r="L42" s="21" t="s">
        <v>106</v>
      </c>
      <c r="M42" s="21" t="s">
        <v>7</v>
      </c>
      <c r="N42" s="21" t="s">
        <v>7</v>
      </c>
      <c r="O42" s="21" t="s">
        <v>224</v>
      </c>
      <c r="P42" s="21" t="s">
        <v>107</v>
      </c>
      <c r="Q42" s="21" t="s">
        <v>108</v>
      </c>
      <c r="R42" s="21" t="s">
        <v>108</v>
      </c>
      <c r="S42" s="21" t="s">
        <v>109</v>
      </c>
      <c r="T42" s="5">
        <v>40500</v>
      </c>
      <c r="U42" s="15">
        <v>99225</v>
      </c>
      <c r="V42" s="15">
        <v>99225</v>
      </c>
      <c r="W42" s="15">
        <f t="shared" si="1"/>
        <v>99225</v>
      </c>
      <c r="X42" s="15">
        <f t="shared" si="7"/>
        <v>0</v>
      </c>
      <c r="Y42" s="15">
        <f t="shared" si="2"/>
        <v>0</v>
      </c>
      <c r="Z42" s="15">
        <f>SUM(Financials20263[[#This Row],[2026 Opportunity]:[2026 Risk]])</f>
        <v>0</v>
      </c>
      <c r="AA42" s="3" t="s">
        <v>433</v>
      </c>
      <c r="AB42" s="52">
        <f t="shared" ref="AB42:AH42" si="22">(97200)/12</f>
        <v>8100</v>
      </c>
      <c r="AC42" s="52">
        <f t="shared" si="22"/>
        <v>8100</v>
      </c>
      <c r="AD42" s="52">
        <f t="shared" si="22"/>
        <v>8100</v>
      </c>
      <c r="AE42" s="52">
        <f t="shared" si="22"/>
        <v>8100</v>
      </c>
      <c r="AF42" s="52">
        <f t="shared" si="22"/>
        <v>8100</v>
      </c>
      <c r="AG42" s="52">
        <f t="shared" si="22"/>
        <v>8100</v>
      </c>
      <c r="AH42" s="52">
        <f t="shared" si="22"/>
        <v>8100</v>
      </c>
      <c r="AI42" s="52">
        <f>102060/12</f>
        <v>8505</v>
      </c>
      <c r="AJ42" s="52">
        <f t="shared" ref="AJ42:AM42" si="23">102060/12</f>
        <v>8505</v>
      </c>
      <c r="AK42" s="52">
        <f t="shared" si="23"/>
        <v>8505</v>
      </c>
      <c r="AL42" s="52">
        <f t="shared" si="23"/>
        <v>8505</v>
      </c>
      <c r="AM42" s="52">
        <f t="shared" si="23"/>
        <v>8505</v>
      </c>
      <c r="AN42" s="52">
        <f>SUM(Financials20263[[#This Row],[Jan FC]:[Dec FC]])</f>
        <v>99225</v>
      </c>
      <c r="AO42" s="15">
        <f t="shared" si="5"/>
        <v>58725</v>
      </c>
      <c r="AP42" s="61">
        <f t="shared" ref="AP42:AV42" si="24">(97200)/12</f>
        <v>8100</v>
      </c>
      <c r="AQ42" s="61">
        <f t="shared" si="24"/>
        <v>8100</v>
      </c>
      <c r="AR42" s="61">
        <f t="shared" si="24"/>
        <v>8100</v>
      </c>
      <c r="AS42" s="61">
        <f t="shared" si="24"/>
        <v>8100</v>
      </c>
      <c r="AT42" s="61">
        <f t="shared" si="24"/>
        <v>8100</v>
      </c>
      <c r="AU42" s="61">
        <f t="shared" si="24"/>
        <v>8100</v>
      </c>
      <c r="AV42" s="61">
        <f t="shared" si="24"/>
        <v>8100</v>
      </c>
      <c r="AW42" s="61"/>
      <c r="AX42" s="61"/>
      <c r="AY42" s="61"/>
      <c r="AZ42" s="61"/>
      <c r="BA42" s="61"/>
      <c r="BB42" s="80">
        <f>SUM(Financials20263[[#This Row],[Jan AC]:[Dec AC]])</f>
        <v>56700</v>
      </c>
      <c r="BC42" s="71">
        <f>Financials20263[[#This Row],[Jan AC]]-Financials20263[[#This Row],[Jan FC]]</f>
        <v>0</v>
      </c>
      <c r="BD42" s="71">
        <f>Financials20263[[#This Row],[Feb AC]]-Financials20263[[#This Row],[Feb FC]]</f>
        <v>0</v>
      </c>
      <c r="BE42" s="71">
        <f>Financials20263[[#This Row],[Mar AC]]-Financials20263[[#This Row],[Mar FC]]</f>
        <v>0</v>
      </c>
      <c r="BF42" s="71">
        <f>Financials20263[[#This Row],[Apr AC]]-Financials20263[[#This Row],[Apr FC]]</f>
        <v>0</v>
      </c>
      <c r="BG42" s="71">
        <f>Financials20263[[#This Row],[May AC]]-Financials20263[[#This Row],[May FC]]</f>
        <v>0</v>
      </c>
      <c r="BH42" s="71">
        <f>Financials20263[[#This Row],[Jun AC]]-Financials20263[[#This Row],[Jun FC]]</f>
        <v>0</v>
      </c>
      <c r="BI42" s="71">
        <f>Financials20263[[#This Row],[Jul AC]]-Financials20263[[#This Row],[Jul FC]]</f>
        <v>0</v>
      </c>
      <c r="BJ42" s="71">
        <f>Financials20263[[#This Row],[Aug AC]]-Financials20263[[#This Row],[Aug FC]]</f>
        <v>-8505</v>
      </c>
      <c r="BK42" s="71">
        <f>Financials20263[[#This Row],[Sep AC]]-Financials20263[[#This Row],[Sep FC]]</f>
        <v>-8505</v>
      </c>
      <c r="BL42" s="71">
        <f>Financials20263[[#This Row],[Oct AC]]-Financials20263[[#This Row],[Oct FC]]</f>
        <v>-8505</v>
      </c>
      <c r="BM42" s="71">
        <f>Financials20263[[#This Row],[Nov AC]]-Financials20263[[#This Row],[Nov FC]]</f>
        <v>-8505</v>
      </c>
      <c r="BN42" s="71">
        <f>Financials20263[[#This Row],[Dec AC]]-Financials20263[[#This Row],[Dec FC]]</f>
        <v>-8505</v>
      </c>
      <c r="BO42" s="71">
        <f>SUM(Financials20263[[#This Row],[Jan Opp/Risk]:[Dec Opp./Risk]])</f>
        <v>-42525</v>
      </c>
      <c r="BP42" s="87"/>
      <c r="BQ42" s="47">
        <f>SUM(Financials20263[[#This Row],[Jan AC]:[May AC]])</f>
        <v>40500</v>
      </c>
      <c r="BR42" s="6">
        <f>Financials20263[[#This Row],[2026 (Actuals + Forecast)]]-Financials20263[[#This Row],[Jan-May Actuals]]-Financials20263[[#This Row],[Jun-Dec FC]]</f>
        <v>0</v>
      </c>
      <c r="BS42" s="6">
        <f>Financials20263[[#This Row],[Jun-Dec FC]]+Financials20263[[#This Row],[Jan-May Forecast ]]</f>
        <v>58725</v>
      </c>
      <c r="BT42" s="6">
        <f>SUM(Financials20263[[#This Row],[Jan FC]:[May FC]])</f>
        <v>40500</v>
      </c>
      <c r="BU42" s="6">
        <f>Financials20263[[#This Row],[Jan-May Actuals]]+Financials20263[[#This Row],[Forecast Jun-Dec]]</f>
        <v>99225</v>
      </c>
      <c r="BV42" s="6"/>
      <c r="BW42" s="6"/>
      <c r="BX42" s="6"/>
    </row>
    <row r="43" spans="1:76" x14ac:dyDescent="0.3">
      <c r="A43" s="22" t="s">
        <v>101</v>
      </c>
      <c r="B43" s="21" t="s">
        <v>57</v>
      </c>
      <c r="C43" s="21" t="s">
        <v>225</v>
      </c>
      <c r="D43" s="10" t="s">
        <v>17</v>
      </c>
      <c r="E43" s="7" t="s">
        <v>103</v>
      </c>
      <c r="F43" s="3" t="s">
        <v>104</v>
      </c>
      <c r="G43" s="3" t="s">
        <v>49</v>
      </c>
      <c r="H43" s="4">
        <v>46023</v>
      </c>
      <c r="I43" s="4">
        <v>46387</v>
      </c>
      <c r="J43" s="3" t="s">
        <v>226</v>
      </c>
      <c r="K43" s="3" t="str">
        <f t="shared" si="0"/>
        <v>Prj000350-Support - Infrastructure for Tech</v>
      </c>
      <c r="L43" s="21" t="s">
        <v>106</v>
      </c>
      <c r="M43" s="21" t="s">
        <v>7</v>
      </c>
      <c r="N43" s="21" t="s">
        <v>7</v>
      </c>
      <c r="O43" s="21"/>
      <c r="P43" s="21" t="s">
        <v>107</v>
      </c>
      <c r="Q43" s="21" t="s">
        <v>108</v>
      </c>
      <c r="R43" s="21" t="s">
        <v>108</v>
      </c>
      <c r="S43" s="21" t="s">
        <v>129</v>
      </c>
      <c r="T43" s="5">
        <v>59388.740000000013</v>
      </c>
      <c r="U43" s="15">
        <v>86949.723000000013</v>
      </c>
      <c r="V43" s="15">
        <v>86949.723000000013</v>
      </c>
      <c r="W43" s="15">
        <f t="shared" si="1"/>
        <v>86949.882000000012</v>
      </c>
      <c r="X43" s="15">
        <f t="shared" si="7"/>
        <v>0</v>
      </c>
      <c r="Y43" s="15">
        <f t="shared" si="2"/>
        <v>0.15899999999965075</v>
      </c>
      <c r="Z43" s="15">
        <f>SUM(Financials20263[[#This Row],[2026 Opportunity]:[2026 Risk]])</f>
        <v>0.15899999999965075</v>
      </c>
      <c r="AA43" s="3" t="s">
        <v>227</v>
      </c>
      <c r="AB43" s="52">
        <v>840.88</v>
      </c>
      <c r="AC43" s="52">
        <v>1681.7600000000002</v>
      </c>
      <c r="AD43" s="52">
        <v>7245.8102500000014</v>
      </c>
      <c r="AE43" s="52">
        <v>7245.8102500000014</v>
      </c>
      <c r="AF43" s="52">
        <v>7245.8102500000014</v>
      </c>
      <c r="AG43" s="52">
        <v>7245.8102500000014</v>
      </c>
      <c r="AH43" s="52">
        <v>7245.8102500000014</v>
      </c>
      <c r="AI43" s="52">
        <v>7245.8102500000014</v>
      </c>
      <c r="AJ43" s="52">
        <v>7245.8102500000014</v>
      </c>
      <c r="AK43" s="52">
        <v>7245.8102500000014</v>
      </c>
      <c r="AL43" s="52">
        <v>7245.8102500000014</v>
      </c>
      <c r="AM43" s="46">
        <f>7245.81025+6405+5564+12810</f>
        <v>32024.810250000002</v>
      </c>
      <c r="AN43" s="52">
        <f>SUM(Financials20263[[#This Row],[Jan FC]:[Dec FC]])</f>
        <v>99759.742500000022</v>
      </c>
      <c r="AO43" s="15">
        <f t="shared" si="5"/>
        <v>75499.671750000009</v>
      </c>
      <c r="AP43" s="61">
        <v>840.88</v>
      </c>
      <c r="AQ43" s="61">
        <v>1681.7600000000002</v>
      </c>
      <c r="AR43" s="61">
        <v>840.88000000000011</v>
      </c>
      <c r="AS43" s="61"/>
      <c r="AT43" s="61">
        <v>840.88000000000011</v>
      </c>
      <c r="AU43" s="61">
        <v>4347.6899999999996</v>
      </c>
      <c r="AV43" s="61"/>
      <c r="AW43" s="61"/>
      <c r="AX43" s="61"/>
      <c r="AY43" s="61"/>
      <c r="AZ43" s="61"/>
      <c r="BA43" s="61"/>
      <c r="BB43" s="80">
        <f>SUM(Financials20263[[#This Row],[Jan AC]:[Dec AC]])</f>
        <v>8552.09</v>
      </c>
      <c r="BC43" s="71">
        <f>Financials20263[[#This Row],[Jan AC]]-Financials20263[[#This Row],[Jan FC]]</f>
        <v>0</v>
      </c>
      <c r="BD43" s="71">
        <f>Financials20263[[#This Row],[Feb AC]]-Financials20263[[#This Row],[Feb FC]]</f>
        <v>0</v>
      </c>
      <c r="BE43" s="71">
        <f>Financials20263[[#This Row],[Mar AC]]-Financials20263[[#This Row],[Mar FC]]</f>
        <v>-6404.9302500000013</v>
      </c>
      <c r="BF43" s="71">
        <f>Financials20263[[#This Row],[Apr AC]]-Financials20263[[#This Row],[Apr FC]]</f>
        <v>-7245.8102500000014</v>
      </c>
      <c r="BG43" s="71">
        <f>Financials20263[[#This Row],[May AC]]-Financials20263[[#This Row],[May FC]]</f>
        <v>-6404.9302500000013</v>
      </c>
      <c r="BH43" s="71">
        <f>Financials20263[[#This Row],[Jun AC]]-Financials20263[[#This Row],[Jun FC]]</f>
        <v>-2898.1202500000018</v>
      </c>
      <c r="BI43" s="71">
        <f>Financials20263[[#This Row],[Jul AC]]-Financials20263[[#This Row],[Jul FC]]</f>
        <v>-7245.8102500000014</v>
      </c>
      <c r="BJ43" s="71">
        <f>Financials20263[[#This Row],[Aug AC]]-Financials20263[[#This Row],[Aug FC]]</f>
        <v>-7245.8102500000014</v>
      </c>
      <c r="BK43" s="71">
        <f>Financials20263[[#This Row],[Sep AC]]-Financials20263[[#This Row],[Sep FC]]</f>
        <v>-7245.8102500000014</v>
      </c>
      <c r="BL43" s="71">
        <f>Financials20263[[#This Row],[Oct AC]]-Financials20263[[#This Row],[Oct FC]]</f>
        <v>-7245.8102500000014</v>
      </c>
      <c r="BM43" s="71">
        <f>Financials20263[[#This Row],[Nov AC]]-Financials20263[[#This Row],[Nov FC]]</f>
        <v>-7245.8102500000014</v>
      </c>
      <c r="BN43" s="71">
        <f>Financials20263[[#This Row],[Dec AC]]-Financials20263[[#This Row],[Dec FC]]</f>
        <v>-32024.810250000002</v>
      </c>
      <c r="BO43" s="71">
        <f>SUM(Financials20263[[#This Row],[Jan Opp/Risk]:[Dec Opp./Risk]])</f>
        <v>-91207.652500000026</v>
      </c>
      <c r="BP43" s="87" t="s">
        <v>534</v>
      </c>
      <c r="BQ43" s="47">
        <f>SUM(Financials20263[[#This Row],[Jan AC]:[May AC]])</f>
        <v>4204.4000000000005</v>
      </c>
      <c r="BR43" s="6">
        <f>Financials20263[[#This Row],[2026 (Actuals + Forecast)]]-Financials20263[[#This Row],[Jan-May Actuals]]-Financials20263[[#This Row],[Jun-Dec FC]]</f>
        <v>7245.8102500000095</v>
      </c>
      <c r="BS43" s="6">
        <f>Financials20263[[#This Row],[Jun-Dec FC]]+Financials20263[[#This Row],[Jan-May Forecast ]]</f>
        <v>82745.482000000018</v>
      </c>
      <c r="BT43" s="6">
        <f>SUM(Financials20263[[#This Row],[Jan FC]:[May FC]])</f>
        <v>24260.070750000006</v>
      </c>
      <c r="BU43" s="6">
        <f>Financials20263[[#This Row],[Jan-May Actuals]]+Financials20263[[#This Row],[Forecast Jun-Dec]]</f>
        <v>86949.882000000012</v>
      </c>
      <c r="BV43" s="6"/>
      <c r="BW43" s="6"/>
      <c r="BX43" s="6"/>
    </row>
    <row r="44" spans="1:76" x14ac:dyDescent="0.3">
      <c r="A44" s="22" t="s">
        <v>101</v>
      </c>
      <c r="B44" s="21" t="s">
        <v>57</v>
      </c>
      <c r="C44" s="21" t="s">
        <v>225</v>
      </c>
      <c r="D44" s="10" t="s">
        <v>17</v>
      </c>
      <c r="E44" s="7" t="s">
        <v>103</v>
      </c>
      <c r="F44" s="3" t="s">
        <v>104</v>
      </c>
      <c r="G44" s="3" t="s">
        <v>49</v>
      </c>
      <c r="H44" s="4">
        <v>45931</v>
      </c>
      <c r="I44" s="4">
        <v>46295</v>
      </c>
      <c r="J44" s="3" t="s">
        <v>228</v>
      </c>
      <c r="K44" s="3" t="str">
        <f t="shared" si="0"/>
        <v>Prj000350-Support - Infrastructure for Tech</v>
      </c>
      <c r="L44" s="21" t="s">
        <v>106</v>
      </c>
      <c r="M44" s="21" t="s">
        <v>7</v>
      </c>
      <c r="N44" s="21" t="s">
        <v>7</v>
      </c>
      <c r="O44" s="21"/>
      <c r="P44" s="21" t="s">
        <v>107</v>
      </c>
      <c r="Q44" s="21" t="s">
        <v>108</v>
      </c>
      <c r="R44" s="21" t="s">
        <v>108</v>
      </c>
      <c r="S44" s="21" t="s">
        <v>132</v>
      </c>
      <c r="T44" s="5">
        <v>79876</v>
      </c>
      <c r="U44" s="15">
        <v>63000</v>
      </c>
      <c r="V44" s="15">
        <v>63000</v>
      </c>
      <c r="W44" s="15">
        <f t="shared" si="1"/>
        <v>63000.37</v>
      </c>
      <c r="X44" s="15">
        <f t="shared" si="7"/>
        <v>0</v>
      </c>
      <c r="Y44" s="15">
        <f t="shared" si="2"/>
        <v>0.37000000000261934</v>
      </c>
      <c r="Z44" s="15">
        <f>SUM(Financials20263[[#This Row],[2026 Opportunity]:[2026 Risk]])</f>
        <v>0.37000000000261934</v>
      </c>
      <c r="AA44" s="3" t="s">
        <v>229</v>
      </c>
      <c r="AB44" s="52"/>
      <c r="AC44" s="52"/>
      <c r="AD44" s="52"/>
      <c r="AE44" s="52"/>
      <c r="AF44" s="52">
        <v>2274.37</v>
      </c>
      <c r="AG44" s="51"/>
      <c r="AH44" s="52"/>
      <c r="AI44" s="52"/>
      <c r="AJ44" s="52"/>
      <c r="AK44" s="52"/>
      <c r="AL44" s="52"/>
      <c r="AM44" s="52">
        <f>63000-2274</f>
        <v>60726</v>
      </c>
      <c r="AN44" s="52">
        <f>SUM(Financials20263[[#This Row],[Jan FC]:[Dec FC]])</f>
        <v>63000.37</v>
      </c>
      <c r="AO44" s="15">
        <f t="shared" si="5"/>
        <v>60726</v>
      </c>
      <c r="AP44" s="61"/>
      <c r="AQ44" s="61"/>
      <c r="AR44" s="61"/>
      <c r="AS44" s="61"/>
      <c r="AT44" s="61">
        <v>2274.37</v>
      </c>
      <c r="AU44" s="60"/>
      <c r="AV44" s="61"/>
      <c r="AW44" s="61"/>
      <c r="AX44" s="61"/>
      <c r="AY44" s="61"/>
      <c r="AZ44" s="61"/>
      <c r="BA44" s="61"/>
      <c r="BB44" s="80">
        <f>SUM(Financials20263[[#This Row],[Jan AC]:[Dec AC]])</f>
        <v>2274.37</v>
      </c>
      <c r="BC44" s="71">
        <f>Financials20263[[#This Row],[Jan AC]]-Financials20263[[#This Row],[Jan FC]]</f>
        <v>0</v>
      </c>
      <c r="BD44" s="71">
        <f>Financials20263[[#This Row],[Feb AC]]-Financials20263[[#This Row],[Feb FC]]</f>
        <v>0</v>
      </c>
      <c r="BE44" s="71">
        <f>Financials20263[[#This Row],[Mar AC]]-Financials20263[[#This Row],[Mar FC]]</f>
        <v>0</v>
      </c>
      <c r="BF44" s="71">
        <f>Financials20263[[#This Row],[Apr AC]]-Financials20263[[#This Row],[Apr FC]]</f>
        <v>0</v>
      </c>
      <c r="BG44" s="71">
        <f>Financials20263[[#This Row],[May AC]]-Financials20263[[#This Row],[May FC]]</f>
        <v>0</v>
      </c>
      <c r="BH44" s="71">
        <f>Financials20263[[#This Row],[Jun AC]]-Financials20263[[#This Row],[Jun FC]]</f>
        <v>0</v>
      </c>
      <c r="BI44" s="71">
        <f>Financials20263[[#This Row],[Jul AC]]-Financials20263[[#This Row],[Jul FC]]</f>
        <v>0</v>
      </c>
      <c r="BJ44" s="71">
        <f>Financials20263[[#This Row],[Aug AC]]-Financials20263[[#This Row],[Aug FC]]</f>
        <v>0</v>
      </c>
      <c r="BK44" s="71">
        <f>Financials20263[[#This Row],[Sep AC]]-Financials20263[[#This Row],[Sep FC]]</f>
        <v>0</v>
      </c>
      <c r="BL44" s="71">
        <f>Financials20263[[#This Row],[Oct AC]]-Financials20263[[#This Row],[Oct FC]]</f>
        <v>0</v>
      </c>
      <c r="BM44" s="71">
        <f>Financials20263[[#This Row],[Nov AC]]-Financials20263[[#This Row],[Nov FC]]</f>
        <v>0</v>
      </c>
      <c r="BN44" s="71">
        <f>Financials20263[[#This Row],[Dec AC]]-Financials20263[[#This Row],[Dec FC]]</f>
        <v>-60726</v>
      </c>
      <c r="BO44" s="71">
        <f>SUM(Financials20263[[#This Row],[Jan Opp/Risk]:[Dec Opp./Risk]])</f>
        <v>-60726</v>
      </c>
      <c r="BP44" s="87" t="s">
        <v>594</v>
      </c>
      <c r="BQ44" s="47">
        <f>SUM(Financials20263[[#This Row],[Jan AC]:[May AC]])</f>
        <v>2274.37</v>
      </c>
      <c r="BR44" s="6">
        <f>Financials20263[[#This Row],[2026 (Actuals + Forecast)]]-Financials20263[[#This Row],[Jan-May Actuals]]-Financials20263[[#This Row],[Jun-Dec FC]]</f>
        <v>0</v>
      </c>
      <c r="BS44" s="6">
        <f>Financials20263[[#This Row],[Jun-Dec FC]]+Financials20263[[#This Row],[Jan-May Forecast ]]</f>
        <v>60726</v>
      </c>
      <c r="BT44" s="6">
        <f>SUM(Financials20263[[#This Row],[Jan FC]:[May FC]])</f>
        <v>2274.37</v>
      </c>
      <c r="BU44" s="6">
        <f>Financials20263[[#This Row],[Jan-May Actuals]]+Financials20263[[#This Row],[Forecast Jun-Dec]]</f>
        <v>63000.37</v>
      </c>
      <c r="BV44" s="6"/>
      <c r="BW44" s="6"/>
      <c r="BX44" s="6"/>
    </row>
    <row r="45" spans="1:76" x14ac:dyDescent="0.3">
      <c r="A45" s="22" t="s">
        <v>101</v>
      </c>
      <c r="B45" s="21" t="s">
        <v>57</v>
      </c>
      <c r="C45" s="21" t="s">
        <v>230</v>
      </c>
      <c r="D45" s="10" t="s">
        <v>15</v>
      </c>
      <c r="E45" s="7" t="s">
        <v>219</v>
      </c>
      <c r="F45" s="3" t="s">
        <v>104</v>
      </c>
      <c r="G45" s="3" t="s">
        <v>49</v>
      </c>
      <c r="H45" s="4">
        <v>45901</v>
      </c>
      <c r="I45" s="4">
        <v>46265</v>
      </c>
      <c r="J45" s="3" t="s">
        <v>231</v>
      </c>
      <c r="K45" s="3" t="str">
        <f t="shared" si="0"/>
        <v>Prj000342-Support - Site Reliability Engineering for Tech</v>
      </c>
      <c r="L45" s="21" t="s">
        <v>106</v>
      </c>
      <c r="M45" s="21" t="s">
        <v>7</v>
      </c>
      <c r="N45" s="21" t="s">
        <v>7</v>
      </c>
      <c r="O45" s="21"/>
      <c r="P45" s="21" t="s">
        <v>107</v>
      </c>
      <c r="Q45" s="21" t="s">
        <v>108</v>
      </c>
      <c r="R45" s="21" t="s">
        <v>108</v>
      </c>
      <c r="S45" s="21" t="s">
        <v>132</v>
      </c>
      <c r="T45" s="5">
        <v>31521</v>
      </c>
      <c r="U45" s="15">
        <v>33096.819000000003</v>
      </c>
      <c r="V45" s="15">
        <v>33096.819000000003</v>
      </c>
      <c r="W45" s="15">
        <f t="shared" si="1"/>
        <v>33096.819000000003</v>
      </c>
      <c r="X45" s="15">
        <f t="shared" si="7"/>
        <v>0</v>
      </c>
      <c r="Y45" s="15">
        <f t="shared" si="2"/>
        <v>0</v>
      </c>
      <c r="Z45" s="15">
        <f>SUM(Financials20263[[#This Row],[2026 Opportunity]:[2026 Risk]])</f>
        <v>0</v>
      </c>
      <c r="AA45" s="3" t="s">
        <v>232</v>
      </c>
      <c r="AB45" s="52"/>
      <c r="AC45" s="52"/>
      <c r="AD45" s="52"/>
      <c r="AE45" s="52"/>
      <c r="AF45" s="52"/>
      <c r="AG45" s="51"/>
      <c r="AH45" s="52"/>
      <c r="AI45" s="52"/>
      <c r="AJ45" s="52">
        <v>33096.819000000003</v>
      </c>
      <c r="AK45" s="52"/>
      <c r="AL45" s="52"/>
      <c r="AM45" s="52"/>
      <c r="AN45" s="52">
        <f>SUM(Financials20263[[#This Row],[Jan FC]:[Dec FC]])</f>
        <v>33096.819000000003</v>
      </c>
      <c r="AO45" s="15">
        <f t="shared" si="5"/>
        <v>33096.819000000003</v>
      </c>
      <c r="AP45" s="61"/>
      <c r="AQ45" s="61"/>
      <c r="AR45" s="61"/>
      <c r="AS45" s="61"/>
      <c r="AT45" s="61"/>
      <c r="AU45" s="60"/>
      <c r="AV45" s="61"/>
      <c r="AW45" s="61"/>
      <c r="AX45" s="61"/>
      <c r="AY45" s="61"/>
      <c r="AZ45" s="61"/>
      <c r="BA45" s="61"/>
      <c r="BB45" s="80">
        <f>SUM(Financials20263[[#This Row],[Jan AC]:[Dec AC]])</f>
        <v>0</v>
      </c>
      <c r="BC45" s="71">
        <f>Financials20263[[#This Row],[Jan AC]]-Financials20263[[#This Row],[Jan FC]]</f>
        <v>0</v>
      </c>
      <c r="BD45" s="71">
        <f>Financials20263[[#This Row],[Feb AC]]-Financials20263[[#This Row],[Feb FC]]</f>
        <v>0</v>
      </c>
      <c r="BE45" s="71">
        <f>Financials20263[[#This Row],[Mar AC]]-Financials20263[[#This Row],[Mar FC]]</f>
        <v>0</v>
      </c>
      <c r="BF45" s="71">
        <f>Financials20263[[#This Row],[Apr AC]]-Financials20263[[#This Row],[Apr FC]]</f>
        <v>0</v>
      </c>
      <c r="BG45" s="71">
        <f>Financials20263[[#This Row],[May AC]]-Financials20263[[#This Row],[May FC]]</f>
        <v>0</v>
      </c>
      <c r="BH45" s="71">
        <f>Financials20263[[#This Row],[Jun AC]]-Financials20263[[#This Row],[Jun FC]]</f>
        <v>0</v>
      </c>
      <c r="BI45" s="71">
        <f>Financials20263[[#This Row],[Jul AC]]-Financials20263[[#This Row],[Jul FC]]</f>
        <v>0</v>
      </c>
      <c r="BJ45" s="71">
        <f>Financials20263[[#This Row],[Aug AC]]-Financials20263[[#This Row],[Aug FC]]</f>
        <v>0</v>
      </c>
      <c r="BK45" s="71">
        <f>Financials20263[[#This Row],[Sep AC]]-Financials20263[[#This Row],[Sep FC]]</f>
        <v>-33096.819000000003</v>
      </c>
      <c r="BL45" s="71">
        <f>Financials20263[[#This Row],[Oct AC]]-Financials20263[[#This Row],[Oct FC]]</f>
        <v>0</v>
      </c>
      <c r="BM45" s="71">
        <f>Financials20263[[#This Row],[Nov AC]]-Financials20263[[#This Row],[Nov FC]]</f>
        <v>0</v>
      </c>
      <c r="BN45" s="71">
        <f>Financials20263[[#This Row],[Dec AC]]-Financials20263[[#This Row],[Dec FC]]</f>
        <v>0</v>
      </c>
      <c r="BO45" s="71">
        <f>SUM(Financials20263[[#This Row],[Jan Opp/Risk]:[Dec Opp./Risk]])</f>
        <v>-33096.819000000003</v>
      </c>
      <c r="BP45" s="87"/>
      <c r="BQ45" s="47">
        <f>SUM(Financials20263[[#This Row],[Jan AC]:[May AC]])</f>
        <v>0</v>
      </c>
      <c r="BR45" s="6">
        <f>Financials20263[[#This Row],[2026 (Actuals + Forecast)]]-Financials20263[[#This Row],[Jan-May Actuals]]-Financials20263[[#This Row],[Jun-Dec FC]]</f>
        <v>0</v>
      </c>
      <c r="BS45" s="6">
        <f>Financials20263[[#This Row],[Jun-Dec FC]]+Financials20263[[#This Row],[Jan-May Forecast ]]</f>
        <v>33096.819000000003</v>
      </c>
      <c r="BT45" s="6">
        <f>SUM(Financials20263[[#This Row],[Jan FC]:[May FC]])</f>
        <v>0</v>
      </c>
      <c r="BU45" s="6">
        <f>Financials20263[[#This Row],[Jan-May Actuals]]+Financials20263[[#This Row],[Forecast Jun-Dec]]</f>
        <v>33096.819000000003</v>
      </c>
      <c r="BV45" s="6"/>
      <c r="BW45" s="6"/>
      <c r="BX45" s="6"/>
    </row>
    <row r="46" spans="1:76" x14ac:dyDescent="0.3">
      <c r="A46" s="22" t="s">
        <v>101</v>
      </c>
      <c r="B46" s="21" t="s">
        <v>57</v>
      </c>
      <c r="C46" s="21" t="s">
        <v>230</v>
      </c>
      <c r="D46" s="10" t="s">
        <v>19</v>
      </c>
      <c r="E46" s="7" t="s">
        <v>233</v>
      </c>
      <c r="F46" s="3" t="s">
        <v>104</v>
      </c>
      <c r="G46" s="3" t="s">
        <v>49</v>
      </c>
      <c r="H46" s="4" t="s">
        <v>115</v>
      </c>
      <c r="I46" s="4" t="s">
        <v>115</v>
      </c>
      <c r="J46" s="3"/>
      <c r="K46" s="3" t="str">
        <f t="shared" si="0"/>
        <v>Prj000358-Support - Security Operations for Cybersecurity</v>
      </c>
      <c r="L46" s="21" t="s">
        <v>106</v>
      </c>
      <c r="M46" s="21" t="s">
        <v>7</v>
      </c>
      <c r="N46" s="21" t="s">
        <v>7</v>
      </c>
      <c r="O46" s="21"/>
      <c r="P46" s="21" t="s">
        <v>107</v>
      </c>
      <c r="Q46" s="21" t="s">
        <v>108</v>
      </c>
      <c r="R46" s="21" t="s">
        <v>108</v>
      </c>
      <c r="S46" s="21" t="s">
        <v>132</v>
      </c>
      <c r="T46" s="5">
        <v>60310</v>
      </c>
      <c r="U46" s="15">
        <v>63325.5</v>
      </c>
      <c r="V46" s="15">
        <v>63325.5</v>
      </c>
      <c r="W46" s="15">
        <f t="shared" si="1"/>
        <v>63325.5</v>
      </c>
      <c r="X46" s="15">
        <f t="shared" si="7"/>
        <v>0</v>
      </c>
      <c r="Y46" s="15">
        <f t="shared" si="2"/>
        <v>0</v>
      </c>
      <c r="Z46" s="15">
        <f>SUM(Financials20263[[#This Row],[2026 Opportunity]:[2026 Risk]])</f>
        <v>0</v>
      </c>
      <c r="AA46" s="3" t="s">
        <v>434</v>
      </c>
      <c r="AB46" s="52"/>
      <c r="AC46" s="52"/>
      <c r="AD46" s="52">
        <v>1100.47</v>
      </c>
      <c r="AE46" s="52"/>
      <c r="AF46" s="52"/>
      <c r="AG46" s="51"/>
      <c r="AH46" s="52"/>
      <c r="AI46" s="52">
        <v>62225.03</v>
      </c>
      <c r="AJ46" s="52"/>
      <c r="AK46" s="52"/>
      <c r="AL46" s="52"/>
      <c r="AM46" s="52"/>
      <c r="AN46" s="52">
        <f>SUM(Financials20263[[#This Row],[Jan FC]:[Dec FC]])</f>
        <v>63325.5</v>
      </c>
      <c r="AO46" s="15">
        <f t="shared" si="5"/>
        <v>62225.03</v>
      </c>
      <c r="AP46" s="61"/>
      <c r="AQ46" s="61"/>
      <c r="AR46" s="61">
        <v>1100.47</v>
      </c>
      <c r="AS46" s="61"/>
      <c r="AT46" s="61"/>
      <c r="AU46" s="60"/>
      <c r="AV46" s="61"/>
      <c r="AW46" s="61"/>
      <c r="AX46" s="61"/>
      <c r="AY46" s="61"/>
      <c r="AZ46" s="61"/>
      <c r="BA46" s="61"/>
      <c r="BB46" s="80">
        <f>SUM(Financials20263[[#This Row],[Jan AC]:[Dec AC]])</f>
        <v>1100.47</v>
      </c>
      <c r="BC46" s="71">
        <f>Financials20263[[#This Row],[Jan AC]]-Financials20263[[#This Row],[Jan FC]]</f>
        <v>0</v>
      </c>
      <c r="BD46" s="71">
        <f>Financials20263[[#This Row],[Feb AC]]-Financials20263[[#This Row],[Feb FC]]</f>
        <v>0</v>
      </c>
      <c r="BE46" s="71">
        <f>Financials20263[[#This Row],[Mar AC]]-Financials20263[[#This Row],[Mar FC]]</f>
        <v>0</v>
      </c>
      <c r="BF46" s="71">
        <f>Financials20263[[#This Row],[Apr AC]]-Financials20263[[#This Row],[Apr FC]]</f>
        <v>0</v>
      </c>
      <c r="BG46" s="71">
        <f>Financials20263[[#This Row],[May AC]]-Financials20263[[#This Row],[May FC]]</f>
        <v>0</v>
      </c>
      <c r="BH46" s="71">
        <f>Financials20263[[#This Row],[Jun AC]]-Financials20263[[#This Row],[Jun FC]]</f>
        <v>0</v>
      </c>
      <c r="BI46" s="71">
        <f>Financials20263[[#This Row],[Jul AC]]-Financials20263[[#This Row],[Jul FC]]</f>
        <v>0</v>
      </c>
      <c r="BJ46" s="71">
        <f>Financials20263[[#This Row],[Aug AC]]-Financials20263[[#This Row],[Aug FC]]</f>
        <v>-62225.03</v>
      </c>
      <c r="BK46" s="71">
        <f>Financials20263[[#This Row],[Sep AC]]-Financials20263[[#This Row],[Sep FC]]</f>
        <v>0</v>
      </c>
      <c r="BL46" s="71">
        <f>Financials20263[[#This Row],[Oct AC]]-Financials20263[[#This Row],[Oct FC]]</f>
        <v>0</v>
      </c>
      <c r="BM46" s="71">
        <f>Financials20263[[#This Row],[Nov AC]]-Financials20263[[#This Row],[Nov FC]]</f>
        <v>0</v>
      </c>
      <c r="BN46" s="71">
        <f>Financials20263[[#This Row],[Dec AC]]-Financials20263[[#This Row],[Dec FC]]</f>
        <v>0</v>
      </c>
      <c r="BO46" s="71">
        <f>SUM(Financials20263[[#This Row],[Jan Opp/Risk]:[Dec Opp./Risk]])</f>
        <v>-62225.03</v>
      </c>
      <c r="BP46" s="87"/>
      <c r="BQ46" s="47">
        <f>SUM(Financials20263[[#This Row],[Jan AC]:[May AC]])</f>
        <v>1100.47</v>
      </c>
      <c r="BR46" s="6">
        <f>Financials20263[[#This Row],[2026 (Actuals + Forecast)]]-Financials20263[[#This Row],[Jan-May Actuals]]-Financials20263[[#This Row],[Jun-Dec FC]]</f>
        <v>0</v>
      </c>
      <c r="BS46" s="6">
        <f>Financials20263[[#This Row],[Jun-Dec FC]]+Financials20263[[#This Row],[Jan-May Forecast ]]</f>
        <v>62225.03</v>
      </c>
      <c r="BT46" s="6">
        <f>SUM(Financials20263[[#This Row],[Jan FC]:[May FC]])</f>
        <v>1100.47</v>
      </c>
      <c r="BU46" s="6">
        <f>Financials20263[[#This Row],[Jan-May Actuals]]+Financials20263[[#This Row],[Forecast Jun-Dec]]</f>
        <v>63325.5</v>
      </c>
      <c r="BV46" s="6"/>
      <c r="BW46" s="6"/>
      <c r="BX46" s="6"/>
    </row>
    <row r="47" spans="1:76" x14ac:dyDescent="0.3">
      <c r="A47" s="22" t="s">
        <v>101</v>
      </c>
      <c r="B47" s="21" t="s">
        <v>234</v>
      </c>
      <c r="C47" s="21" t="s">
        <v>235</v>
      </c>
      <c r="D47" s="10" t="s">
        <v>22</v>
      </c>
      <c r="E47" s="7" t="s">
        <v>182</v>
      </c>
      <c r="F47" s="3" t="s">
        <v>183</v>
      </c>
      <c r="G47" s="3" t="s">
        <v>48</v>
      </c>
      <c r="H47" s="4">
        <v>46174</v>
      </c>
      <c r="I47" s="4">
        <v>46538</v>
      </c>
      <c r="J47" s="3"/>
      <c r="K47" s="3" t="str">
        <f t="shared" si="0"/>
        <v>Prj000403-Support - L2 CoE Management for Tech Horizontals</v>
      </c>
      <c r="L47" s="21" t="s">
        <v>106</v>
      </c>
      <c r="M47" s="21" t="s">
        <v>7</v>
      </c>
      <c r="N47" s="21" t="s">
        <v>7</v>
      </c>
      <c r="O47" s="21" t="s">
        <v>7</v>
      </c>
      <c r="P47" s="21" t="s">
        <v>107</v>
      </c>
      <c r="Q47" s="21" t="s">
        <v>108</v>
      </c>
      <c r="R47" s="21" t="s">
        <v>108</v>
      </c>
      <c r="S47" s="21" t="s">
        <v>132</v>
      </c>
      <c r="T47" s="5">
        <v>9600</v>
      </c>
      <c r="U47" s="15">
        <v>10080</v>
      </c>
      <c r="V47" s="15">
        <v>10080</v>
      </c>
      <c r="W47" s="15">
        <f t="shared" si="1"/>
        <v>10080</v>
      </c>
      <c r="X47" s="15">
        <f t="shared" si="7"/>
        <v>0</v>
      </c>
      <c r="Y47" s="15">
        <f t="shared" si="2"/>
        <v>0</v>
      </c>
      <c r="Z47" s="15">
        <f>SUM(Financials20263[[#This Row],[2026 Opportunity]:[2026 Risk]])</f>
        <v>0</v>
      </c>
      <c r="AA47" s="3" t="s">
        <v>595</v>
      </c>
      <c r="AB47" s="52"/>
      <c r="AC47" s="52"/>
      <c r="AD47" s="52"/>
      <c r="AE47" s="52"/>
      <c r="AF47" s="52">
        <v>4800</v>
      </c>
      <c r="AG47" s="46">
        <f>10080-4800</f>
        <v>5280</v>
      </c>
      <c r="AH47" s="52"/>
      <c r="AI47" s="52"/>
      <c r="AJ47" s="52"/>
      <c r="AK47" s="52"/>
      <c r="AL47" s="52"/>
      <c r="AM47" s="52"/>
      <c r="AN47" s="52">
        <f>SUM(Financials20263[[#This Row],[Jan FC]:[Dec FC]])</f>
        <v>10080</v>
      </c>
      <c r="AO47" s="15">
        <f t="shared" si="5"/>
        <v>5280</v>
      </c>
      <c r="AP47" s="61"/>
      <c r="AQ47" s="61"/>
      <c r="AR47" s="61"/>
      <c r="AS47" s="61"/>
      <c r="AT47" s="61">
        <v>4800</v>
      </c>
      <c r="AU47" s="61"/>
      <c r="AV47" s="61"/>
      <c r="AW47" s="61"/>
      <c r="AX47" s="61"/>
      <c r="AY47" s="61"/>
      <c r="AZ47" s="61"/>
      <c r="BA47" s="61"/>
      <c r="BB47" s="80">
        <f>SUM(Financials20263[[#This Row],[Jan AC]:[Dec AC]])</f>
        <v>4800</v>
      </c>
      <c r="BC47" s="71">
        <f>Financials20263[[#This Row],[Jan AC]]-Financials20263[[#This Row],[Jan FC]]</f>
        <v>0</v>
      </c>
      <c r="BD47" s="71">
        <f>Financials20263[[#This Row],[Feb AC]]-Financials20263[[#This Row],[Feb FC]]</f>
        <v>0</v>
      </c>
      <c r="BE47" s="71">
        <f>Financials20263[[#This Row],[Mar AC]]-Financials20263[[#This Row],[Mar FC]]</f>
        <v>0</v>
      </c>
      <c r="BF47" s="71">
        <f>Financials20263[[#This Row],[Apr AC]]-Financials20263[[#This Row],[Apr FC]]</f>
        <v>0</v>
      </c>
      <c r="BG47" s="71">
        <f>Financials20263[[#This Row],[May AC]]-Financials20263[[#This Row],[May FC]]</f>
        <v>0</v>
      </c>
      <c r="BH47" s="71">
        <f>Financials20263[[#This Row],[Jun AC]]-Financials20263[[#This Row],[Jun FC]]</f>
        <v>-5280</v>
      </c>
      <c r="BI47" s="71">
        <f>Financials20263[[#This Row],[Jul AC]]-Financials20263[[#This Row],[Jul FC]]</f>
        <v>0</v>
      </c>
      <c r="BJ47" s="71">
        <f>Financials20263[[#This Row],[Aug AC]]-Financials20263[[#This Row],[Aug FC]]</f>
        <v>0</v>
      </c>
      <c r="BK47" s="71">
        <f>Financials20263[[#This Row],[Sep AC]]-Financials20263[[#This Row],[Sep FC]]</f>
        <v>0</v>
      </c>
      <c r="BL47" s="71">
        <f>Financials20263[[#This Row],[Oct AC]]-Financials20263[[#This Row],[Oct FC]]</f>
        <v>0</v>
      </c>
      <c r="BM47" s="71">
        <f>Financials20263[[#This Row],[Nov AC]]-Financials20263[[#This Row],[Nov FC]]</f>
        <v>0</v>
      </c>
      <c r="BN47" s="71">
        <f>Financials20263[[#This Row],[Dec AC]]-Financials20263[[#This Row],[Dec FC]]</f>
        <v>0</v>
      </c>
      <c r="BO47" s="71">
        <f>SUM(Financials20263[[#This Row],[Jan Opp/Risk]:[Dec Opp./Risk]])</f>
        <v>-5280</v>
      </c>
      <c r="BP47" s="87" t="s">
        <v>596</v>
      </c>
      <c r="BQ47" s="47">
        <f>SUM(Financials20263[[#This Row],[Jan AC]:[May AC]])</f>
        <v>4800</v>
      </c>
      <c r="BR47" s="6">
        <f>Financials20263[[#This Row],[2026 (Actuals + Forecast)]]-Financials20263[[#This Row],[Jan-May Actuals]]-Financials20263[[#This Row],[Jun-Dec FC]]</f>
        <v>0</v>
      </c>
      <c r="BS47" s="6">
        <f>Financials20263[[#This Row],[Jun-Dec FC]]+Financials20263[[#This Row],[Jan-May Forecast ]]</f>
        <v>5280</v>
      </c>
      <c r="BT47" s="6">
        <f>SUM(Financials20263[[#This Row],[Jan FC]:[May FC]])</f>
        <v>4800</v>
      </c>
      <c r="BU47" s="6">
        <f>Financials20263[[#This Row],[Jan-May Actuals]]+Financials20263[[#This Row],[Forecast Jun-Dec]]</f>
        <v>10080</v>
      </c>
      <c r="BV47" s="6"/>
      <c r="BW47" s="6"/>
      <c r="BX47" s="6"/>
    </row>
    <row r="48" spans="1:76" x14ac:dyDescent="0.3">
      <c r="A48" s="22" t="s">
        <v>101</v>
      </c>
      <c r="B48" s="21" t="s">
        <v>236</v>
      </c>
      <c r="C48" s="21" t="s">
        <v>237</v>
      </c>
      <c r="D48" s="10" t="s">
        <v>13</v>
      </c>
      <c r="E48" s="7" t="s">
        <v>140</v>
      </c>
      <c r="F48" s="3" t="s">
        <v>141</v>
      </c>
      <c r="G48" s="3" t="s">
        <v>52</v>
      </c>
      <c r="H48" s="4">
        <v>46113</v>
      </c>
      <c r="I48" s="4">
        <v>46477</v>
      </c>
      <c r="J48" s="3" t="s">
        <v>238</v>
      </c>
      <c r="K48" s="3" t="str">
        <f t="shared" si="0"/>
        <v>Prj000290-Support - Asset Management Applications</v>
      </c>
      <c r="L48" s="21" t="s">
        <v>106</v>
      </c>
      <c r="M48" s="21" t="s">
        <v>7</v>
      </c>
      <c r="N48" s="21" t="s">
        <v>7</v>
      </c>
      <c r="O48" s="21" t="s">
        <v>239</v>
      </c>
      <c r="P48" s="21" t="s">
        <v>107</v>
      </c>
      <c r="Q48" s="21" t="s">
        <v>108</v>
      </c>
      <c r="R48" s="21" t="s">
        <v>108</v>
      </c>
      <c r="S48" s="21" t="s">
        <v>132</v>
      </c>
      <c r="T48" s="5">
        <v>230262.5</v>
      </c>
      <c r="U48" s="15">
        <v>238897.86250000002</v>
      </c>
      <c r="V48" s="15">
        <v>238897.86250000002</v>
      </c>
      <c r="W48" s="15">
        <f t="shared" si="1"/>
        <v>232868.65</v>
      </c>
      <c r="X48" s="15">
        <f t="shared" si="7"/>
        <v>-6029.2125000000233</v>
      </c>
      <c r="Y48" s="15">
        <f t="shared" si="2"/>
        <v>0</v>
      </c>
      <c r="Z48" s="15">
        <f>SUM(Financials20263[[#This Row],[2026 Opportunity]:[2026 Risk]])</f>
        <v>-6029.2125000000233</v>
      </c>
      <c r="AA48" s="3" t="s">
        <v>514</v>
      </c>
      <c r="AB48" s="52"/>
      <c r="AC48" s="52"/>
      <c r="AD48" s="52"/>
      <c r="AE48" s="52">
        <v>232868.65</v>
      </c>
      <c r="AF48" s="52"/>
      <c r="AG48" s="51"/>
      <c r="AH48" s="52"/>
      <c r="AI48" s="52"/>
      <c r="AJ48" s="52"/>
      <c r="AK48" s="52"/>
      <c r="AL48" s="52"/>
      <c r="AM48" s="52"/>
      <c r="AN48" s="52">
        <f>SUM(Financials20263[[#This Row],[Jan FC]:[Dec FC]])</f>
        <v>232868.65</v>
      </c>
      <c r="AO48" s="15">
        <f t="shared" si="5"/>
        <v>0</v>
      </c>
      <c r="AP48" s="61"/>
      <c r="AQ48" s="61"/>
      <c r="AR48" s="61"/>
      <c r="AS48" s="61"/>
      <c r="AT48" s="61"/>
      <c r="AU48" s="60"/>
      <c r="AV48" s="61"/>
      <c r="AW48" s="61"/>
      <c r="AX48" s="61"/>
      <c r="AY48" s="61"/>
      <c r="AZ48" s="61"/>
      <c r="BA48" s="61"/>
      <c r="BB48" s="80">
        <f>SUM(Financials20263[[#This Row],[Jan AC]:[Dec AC]])</f>
        <v>0</v>
      </c>
      <c r="BC48" s="71">
        <f>Financials20263[[#This Row],[Jan AC]]-Financials20263[[#This Row],[Jan FC]]</f>
        <v>0</v>
      </c>
      <c r="BD48" s="71">
        <f>Financials20263[[#This Row],[Feb AC]]-Financials20263[[#This Row],[Feb FC]]</f>
        <v>0</v>
      </c>
      <c r="BE48" s="71">
        <f>Financials20263[[#This Row],[Mar AC]]-Financials20263[[#This Row],[Mar FC]]</f>
        <v>0</v>
      </c>
      <c r="BF48" s="71">
        <f>Financials20263[[#This Row],[Apr AC]]-Financials20263[[#This Row],[Apr FC]]</f>
        <v>-232868.65</v>
      </c>
      <c r="BG48" s="71">
        <f>Financials20263[[#This Row],[May AC]]-Financials20263[[#This Row],[May FC]]</f>
        <v>0</v>
      </c>
      <c r="BH48" s="71">
        <f>Financials20263[[#This Row],[Jun AC]]-Financials20263[[#This Row],[Jun FC]]</f>
        <v>0</v>
      </c>
      <c r="BI48" s="71">
        <f>Financials20263[[#This Row],[Jul AC]]-Financials20263[[#This Row],[Jul FC]]</f>
        <v>0</v>
      </c>
      <c r="BJ48" s="71">
        <f>Financials20263[[#This Row],[Aug AC]]-Financials20263[[#This Row],[Aug FC]]</f>
        <v>0</v>
      </c>
      <c r="BK48" s="71">
        <f>Financials20263[[#This Row],[Sep AC]]-Financials20263[[#This Row],[Sep FC]]</f>
        <v>0</v>
      </c>
      <c r="BL48" s="71">
        <f>Financials20263[[#This Row],[Oct AC]]-Financials20263[[#This Row],[Oct FC]]</f>
        <v>0</v>
      </c>
      <c r="BM48" s="71">
        <f>Financials20263[[#This Row],[Nov AC]]-Financials20263[[#This Row],[Nov FC]]</f>
        <v>0</v>
      </c>
      <c r="BN48" s="71">
        <f>Financials20263[[#This Row],[Dec AC]]-Financials20263[[#This Row],[Dec FC]]</f>
        <v>0</v>
      </c>
      <c r="BO48" s="71">
        <f>SUM(Financials20263[[#This Row],[Jan Opp/Risk]:[Dec Opp./Risk]])</f>
        <v>-232868.65</v>
      </c>
      <c r="BP48" s="88" t="s">
        <v>528</v>
      </c>
      <c r="BQ48" s="47">
        <f>SUM(Financials20263[[#This Row],[Jan AC]:[May AC]])</f>
        <v>0</v>
      </c>
      <c r="BR48" s="6">
        <f>Financials20263[[#This Row],[2026 (Actuals + Forecast)]]-Financials20263[[#This Row],[Jan-May Actuals]]-Financials20263[[#This Row],[Jun-Dec FC]]</f>
        <v>232868.65</v>
      </c>
      <c r="BS48" s="6">
        <f>Financials20263[[#This Row],[Jun-Dec FC]]+Financials20263[[#This Row],[Jan-May Forecast ]]</f>
        <v>232868.65</v>
      </c>
      <c r="BT48" s="6">
        <f>SUM(Financials20263[[#This Row],[Jan FC]:[May FC]])</f>
        <v>232868.65</v>
      </c>
      <c r="BU48" s="6">
        <f>Financials20263[[#This Row],[Jan-May Actuals]]+Financials20263[[#This Row],[Forecast Jun-Dec]]</f>
        <v>232868.65</v>
      </c>
      <c r="BV48" s="6"/>
      <c r="BW48" s="6"/>
      <c r="BX48" s="6"/>
    </row>
    <row r="49" spans="1:76" x14ac:dyDescent="0.3">
      <c r="A49" s="22" t="s">
        <v>101</v>
      </c>
      <c r="B49" s="21" t="s">
        <v>240</v>
      </c>
      <c r="C49" s="21" t="s">
        <v>241</v>
      </c>
      <c r="D49" s="10" t="s">
        <v>16</v>
      </c>
      <c r="E49" s="7" t="s">
        <v>122</v>
      </c>
      <c r="F49" s="3" t="s">
        <v>123</v>
      </c>
      <c r="G49" s="3" t="s">
        <v>50</v>
      </c>
      <c r="H49" s="4">
        <v>46054</v>
      </c>
      <c r="I49" s="4">
        <v>46418</v>
      </c>
      <c r="J49" s="3"/>
      <c r="K49" s="3" t="str">
        <f t="shared" si="0"/>
        <v>Prj000344-Support - Prod support for Finance Applications</v>
      </c>
      <c r="L49" s="21" t="s">
        <v>106</v>
      </c>
      <c r="M49" s="21" t="s">
        <v>7</v>
      </c>
      <c r="N49" s="21" t="s">
        <v>7</v>
      </c>
      <c r="O49" s="21"/>
      <c r="P49" s="21" t="s">
        <v>107</v>
      </c>
      <c r="Q49" s="21" t="s">
        <v>108</v>
      </c>
      <c r="R49" s="21" t="s">
        <v>108</v>
      </c>
      <c r="S49" s="21" t="s">
        <v>132</v>
      </c>
      <c r="T49" s="5">
        <v>12000</v>
      </c>
      <c r="U49" s="15">
        <v>12600</v>
      </c>
      <c r="V49" s="15">
        <v>12600</v>
      </c>
      <c r="W49" s="15">
        <f t="shared" si="1"/>
        <v>12000</v>
      </c>
      <c r="X49" s="15">
        <f t="shared" si="7"/>
        <v>-600</v>
      </c>
      <c r="Y49" s="15">
        <f t="shared" si="2"/>
        <v>0</v>
      </c>
      <c r="Z49" s="15">
        <f>SUM(Financials20263[[#This Row],[2026 Opportunity]:[2026 Risk]])</f>
        <v>-600</v>
      </c>
      <c r="AA49" s="3" t="s">
        <v>120</v>
      </c>
      <c r="AB49" s="52"/>
      <c r="AC49" s="52">
        <v>12600</v>
      </c>
      <c r="AD49" s="52"/>
      <c r="AE49" s="52"/>
      <c r="AF49" s="52"/>
      <c r="AG49" s="51"/>
      <c r="AH49" s="52"/>
      <c r="AI49" s="52"/>
      <c r="AJ49" s="52"/>
      <c r="AK49" s="52"/>
      <c r="AL49" s="52"/>
      <c r="AM49" s="52"/>
      <c r="AN49" s="52">
        <f>SUM(Financials20263[[#This Row],[Jan FC]:[Dec FC]])</f>
        <v>12600</v>
      </c>
      <c r="AO49" s="15">
        <f t="shared" si="5"/>
        <v>0</v>
      </c>
      <c r="AP49" s="61"/>
      <c r="AQ49" s="61">
        <v>12000</v>
      </c>
      <c r="AR49" s="61"/>
      <c r="AS49" s="61"/>
      <c r="AT49" s="61"/>
      <c r="AU49" s="60"/>
      <c r="AV49" s="61"/>
      <c r="AW49" s="61"/>
      <c r="AX49" s="61"/>
      <c r="AY49" s="61"/>
      <c r="AZ49" s="61"/>
      <c r="BA49" s="61"/>
      <c r="BB49" s="80">
        <f>SUM(Financials20263[[#This Row],[Jan AC]:[Dec AC]])</f>
        <v>12000</v>
      </c>
      <c r="BC49" s="71">
        <f>Financials20263[[#This Row],[Jan AC]]-Financials20263[[#This Row],[Jan FC]]</f>
        <v>0</v>
      </c>
      <c r="BD49" s="71">
        <f>Financials20263[[#This Row],[Feb AC]]-Financials20263[[#This Row],[Feb FC]]</f>
        <v>-600</v>
      </c>
      <c r="BE49" s="71">
        <f>Financials20263[[#This Row],[Mar AC]]-Financials20263[[#This Row],[Mar FC]]</f>
        <v>0</v>
      </c>
      <c r="BF49" s="71">
        <f>Financials20263[[#This Row],[Apr AC]]-Financials20263[[#This Row],[Apr FC]]</f>
        <v>0</v>
      </c>
      <c r="BG49" s="71">
        <f>Financials20263[[#This Row],[May AC]]-Financials20263[[#This Row],[May FC]]</f>
        <v>0</v>
      </c>
      <c r="BH49" s="71">
        <f>Financials20263[[#This Row],[Jun AC]]-Financials20263[[#This Row],[Jun FC]]</f>
        <v>0</v>
      </c>
      <c r="BI49" s="71">
        <f>Financials20263[[#This Row],[Jul AC]]-Financials20263[[#This Row],[Jul FC]]</f>
        <v>0</v>
      </c>
      <c r="BJ49" s="71">
        <f>Financials20263[[#This Row],[Aug AC]]-Financials20263[[#This Row],[Aug FC]]</f>
        <v>0</v>
      </c>
      <c r="BK49" s="71">
        <f>Financials20263[[#This Row],[Sep AC]]-Financials20263[[#This Row],[Sep FC]]</f>
        <v>0</v>
      </c>
      <c r="BL49" s="71">
        <f>Financials20263[[#This Row],[Oct AC]]-Financials20263[[#This Row],[Oct FC]]</f>
        <v>0</v>
      </c>
      <c r="BM49" s="71">
        <f>Financials20263[[#This Row],[Nov AC]]-Financials20263[[#This Row],[Nov FC]]</f>
        <v>0</v>
      </c>
      <c r="BN49" s="71">
        <f>Financials20263[[#This Row],[Dec AC]]-Financials20263[[#This Row],[Dec FC]]</f>
        <v>0</v>
      </c>
      <c r="BO49" s="71">
        <f>SUM(Financials20263[[#This Row],[Jan Opp/Risk]:[Dec Opp./Risk]])</f>
        <v>-600</v>
      </c>
      <c r="BP49" s="87" t="s">
        <v>519</v>
      </c>
      <c r="BQ49" s="47">
        <f>SUM(Financials20263[[#This Row],[Jan AC]:[May AC]])</f>
        <v>12000</v>
      </c>
      <c r="BR49" s="6">
        <f>Financials20263[[#This Row],[2026 (Actuals + Forecast)]]-Financials20263[[#This Row],[Jan-May Actuals]]-Financials20263[[#This Row],[Jun-Dec FC]]</f>
        <v>0</v>
      </c>
      <c r="BS49" s="6">
        <f>Financials20263[[#This Row],[Jun-Dec FC]]+Financials20263[[#This Row],[Jan-May Forecast ]]</f>
        <v>0</v>
      </c>
      <c r="BT49" s="6">
        <f>SUM(Financials20263[[#This Row],[Jan FC]:[May FC]])</f>
        <v>12600</v>
      </c>
      <c r="BU49" s="6">
        <f>Financials20263[[#This Row],[Jan-May Actuals]]+Financials20263[[#This Row],[Forecast Jun-Dec]]</f>
        <v>12000</v>
      </c>
      <c r="BV49" s="6"/>
      <c r="BW49" s="6"/>
      <c r="BX49" s="6"/>
    </row>
    <row r="50" spans="1:76" x14ac:dyDescent="0.3">
      <c r="A50" s="22" t="s">
        <v>101</v>
      </c>
      <c r="B50" s="21" t="s">
        <v>242</v>
      </c>
      <c r="C50" s="21" t="s">
        <v>243</v>
      </c>
      <c r="D50" s="10" t="s">
        <v>27</v>
      </c>
      <c r="E50" s="7" t="s">
        <v>216</v>
      </c>
      <c r="F50" s="3" t="s">
        <v>114</v>
      </c>
      <c r="G50" s="3" t="s">
        <v>53</v>
      </c>
      <c r="H50" s="4">
        <v>45857</v>
      </c>
      <c r="I50" s="4">
        <v>46221</v>
      </c>
      <c r="J50" s="3" t="s">
        <v>244</v>
      </c>
      <c r="K50" s="3" t="str">
        <f t="shared" si="0"/>
        <v>Prj000446-Implement - Minor Enhancements for Enterprise Apps</v>
      </c>
      <c r="L50" s="21" t="s">
        <v>106</v>
      </c>
      <c r="M50" s="21" t="s">
        <v>7</v>
      </c>
      <c r="N50" s="21" t="s">
        <v>7</v>
      </c>
      <c r="O50" s="21"/>
      <c r="P50" s="21" t="s">
        <v>107</v>
      </c>
      <c r="Q50" s="21" t="s">
        <v>108</v>
      </c>
      <c r="R50" s="21" t="s">
        <v>108</v>
      </c>
      <c r="S50" s="21" t="s">
        <v>132</v>
      </c>
      <c r="T50" s="5">
        <v>85330.79</v>
      </c>
      <c r="U50" s="15">
        <v>90000</v>
      </c>
      <c r="V50" s="15">
        <v>90000</v>
      </c>
      <c r="W50" s="15">
        <f t="shared" si="1"/>
        <v>90000</v>
      </c>
      <c r="X50" s="15">
        <f t="shared" si="7"/>
        <v>0</v>
      </c>
      <c r="Y50" s="15">
        <f t="shared" si="2"/>
        <v>0</v>
      </c>
      <c r="Z50" s="15">
        <f>SUM(Financials20263[[#This Row],[2026 Opportunity]:[2026 Risk]])</f>
        <v>0</v>
      </c>
      <c r="AA50" s="3" t="s">
        <v>435</v>
      </c>
      <c r="AB50" s="52"/>
      <c r="AC50" s="52"/>
      <c r="AD50" s="52"/>
      <c r="AE50" s="52"/>
      <c r="AF50" s="52"/>
      <c r="AG50" s="51"/>
      <c r="AH50" s="52"/>
      <c r="AI50" s="52">
        <v>90000</v>
      </c>
      <c r="AJ50" s="52"/>
      <c r="AK50" s="52"/>
      <c r="AL50" s="51"/>
      <c r="AM50" s="51"/>
      <c r="AN50" s="51">
        <f>SUM(Financials20263[[#This Row],[Jan FC]:[Dec FC]])</f>
        <v>90000</v>
      </c>
      <c r="AO50" s="15">
        <f t="shared" si="5"/>
        <v>90000</v>
      </c>
      <c r="AP50" s="61"/>
      <c r="AQ50" s="61"/>
      <c r="AR50" s="61"/>
      <c r="AS50" s="61"/>
      <c r="AT50" s="61"/>
      <c r="AU50" s="60"/>
      <c r="AV50" s="61"/>
      <c r="AW50" s="61"/>
      <c r="AX50" s="61"/>
      <c r="AY50" s="61"/>
      <c r="AZ50" s="60"/>
      <c r="BA50" s="60"/>
      <c r="BB50" s="79">
        <f>SUM(Financials20263[[#This Row],[Jan AC]:[Dec AC]])</f>
        <v>0</v>
      </c>
      <c r="BC50" s="71">
        <f>Financials20263[[#This Row],[Jan AC]]-Financials20263[[#This Row],[Jan FC]]</f>
        <v>0</v>
      </c>
      <c r="BD50" s="71">
        <f>Financials20263[[#This Row],[Feb AC]]-Financials20263[[#This Row],[Feb FC]]</f>
        <v>0</v>
      </c>
      <c r="BE50" s="71">
        <f>Financials20263[[#This Row],[Mar AC]]-Financials20263[[#This Row],[Mar FC]]</f>
        <v>0</v>
      </c>
      <c r="BF50" s="71">
        <f>Financials20263[[#This Row],[Apr AC]]-Financials20263[[#This Row],[Apr FC]]</f>
        <v>0</v>
      </c>
      <c r="BG50" s="71">
        <f>Financials20263[[#This Row],[May AC]]-Financials20263[[#This Row],[May FC]]</f>
        <v>0</v>
      </c>
      <c r="BH50" s="71">
        <f>Financials20263[[#This Row],[Jun AC]]-Financials20263[[#This Row],[Jun FC]]</f>
        <v>0</v>
      </c>
      <c r="BI50" s="71">
        <f>Financials20263[[#This Row],[Jul AC]]-Financials20263[[#This Row],[Jul FC]]</f>
        <v>0</v>
      </c>
      <c r="BJ50" s="71">
        <f>Financials20263[[#This Row],[Aug AC]]-Financials20263[[#This Row],[Aug FC]]</f>
        <v>-90000</v>
      </c>
      <c r="BK50" s="71">
        <f>Financials20263[[#This Row],[Sep AC]]-Financials20263[[#This Row],[Sep FC]]</f>
        <v>0</v>
      </c>
      <c r="BL50" s="71">
        <f>Financials20263[[#This Row],[Oct AC]]-Financials20263[[#This Row],[Oct FC]]</f>
        <v>0</v>
      </c>
      <c r="BM50" s="71">
        <f>Financials20263[[#This Row],[Nov AC]]-Financials20263[[#This Row],[Nov FC]]</f>
        <v>0</v>
      </c>
      <c r="BN50" s="71">
        <f>Financials20263[[#This Row],[Dec AC]]-Financials20263[[#This Row],[Dec FC]]</f>
        <v>0</v>
      </c>
      <c r="BO50" s="71">
        <f>SUM(Financials20263[[#This Row],[Jan Opp/Risk]:[Dec Opp./Risk]])</f>
        <v>-90000</v>
      </c>
      <c r="BP50" s="87"/>
      <c r="BQ50" s="47">
        <f>SUM(Financials20263[[#This Row],[Jan AC]:[May AC]])</f>
        <v>0</v>
      </c>
      <c r="BR50" s="6">
        <f>Financials20263[[#This Row],[2026 (Actuals + Forecast)]]-Financials20263[[#This Row],[Jan-May Actuals]]-Financials20263[[#This Row],[Jun-Dec FC]]</f>
        <v>0</v>
      </c>
      <c r="BS50" s="6">
        <f>Financials20263[[#This Row],[Jun-Dec FC]]+Financials20263[[#This Row],[Jan-May Forecast ]]</f>
        <v>90000</v>
      </c>
      <c r="BT50" s="6">
        <f>SUM(Financials20263[[#This Row],[Jan FC]:[May FC]])</f>
        <v>0</v>
      </c>
      <c r="BU50" s="6">
        <f>Financials20263[[#This Row],[Jan-May Actuals]]+Financials20263[[#This Row],[Forecast Jun-Dec]]</f>
        <v>90000</v>
      </c>
      <c r="BV50" s="6"/>
      <c r="BW50" s="6"/>
      <c r="BX50" s="6"/>
    </row>
    <row r="51" spans="1:76" x14ac:dyDescent="0.3">
      <c r="A51" s="22" t="s">
        <v>101</v>
      </c>
      <c r="B51" s="21" t="s">
        <v>208</v>
      </c>
      <c r="C51" s="21" t="s">
        <v>209</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0"/>
        <v>Prj000344-Support - Prod support for Finance Applications</v>
      </c>
      <c r="L51" s="21" t="s">
        <v>106</v>
      </c>
      <c r="M51" s="21" t="s">
        <v>7</v>
      </c>
      <c r="N51" s="21" t="s">
        <v>7</v>
      </c>
      <c r="O51" s="21" t="s">
        <v>7</v>
      </c>
      <c r="P51" s="21" t="s">
        <v>107</v>
      </c>
      <c r="Q51" s="21" t="s">
        <v>108</v>
      </c>
      <c r="R51" s="21" t="s">
        <v>108</v>
      </c>
      <c r="S51" s="21" t="s">
        <v>132</v>
      </c>
      <c r="T51" s="5">
        <v>80119</v>
      </c>
      <c r="U51" s="15">
        <v>96543</v>
      </c>
      <c r="V51" s="15">
        <v>96543</v>
      </c>
      <c r="W51" s="15">
        <f t="shared" si="1"/>
        <v>101291</v>
      </c>
      <c r="X51" s="15">
        <f t="shared" si="7"/>
        <v>0</v>
      </c>
      <c r="Y51" s="15">
        <f t="shared" si="2"/>
        <v>4748</v>
      </c>
      <c r="Z51" s="15">
        <f>SUM(Financials20263[[#This Row],[2026 Opportunity]:[2026 Risk]])</f>
        <v>4748</v>
      </c>
      <c r="AA51" s="3" t="s">
        <v>585</v>
      </c>
      <c r="AB51" s="52"/>
      <c r="AC51" s="52"/>
      <c r="AD51" s="52"/>
      <c r="AE51" s="52"/>
      <c r="AF51" s="52">
        <f>96543</f>
        <v>96543</v>
      </c>
      <c r="AG51" s="52"/>
      <c r="AH51" s="52"/>
      <c r="AI51" s="52"/>
      <c r="AJ51" s="52"/>
      <c r="AK51" s="52"/>
      <c r="AL51" s="52"/>
      <c r="AM51" s="52"/>
      <c r="AN51" s="51">
        <f>SUM(Financials20263[[#This Row],[Jan FC]:[Dec FC]])</f>
        <v>96543</v>
      </c>
      <c r="AO51" s="15">
        <f t="shared" si="5"/>
        <v>0</v>
      </c>
      <c r="AP51" s="61"/>
      <c r="AQ51" s="61"/>
      <c r="AR51" s="61"/>
      <c r="AS51" s="61"/>
      <c r="AT51" s="61">
        <f>101291</f>
        <v>101291</v>
      </c>
      <c r="AU51" s="61"/>
      <c r="AV51" s="61"/>
      <c r="AW51" s="61"/>
      <c r="AX51" s="61"/>
      <c r="AY51" s="61"/>
      <c r="AZ51" s="61"/>
      <c r="BA51" s="61"/>
      <c r="BB51" s="79">
        <f>SUM(Financials20263[[#This Row],[Jan AC]:[Dec AC]])</f>
        <v>101291</v>
      </c>
      <c r="BC51" s="71">
        <f>Financials20263[[#This Row],[Jan AC]]-Financials20263[[#This Row],[Jan FC]]</f>
        <v>0</v>
      </c>
      <c r="BD51" s="71">
        <f>Financials20263[[#This Row],[Feb AC]]-Financials20263[[#This Row],[Feb FC]]</f>
        <v>0</v>
      </c>
      <c r="BE51" s="71">
        <f>Financials20263[[#This Row],[Mar AC]]-Financials20263[[#This Row],[Mar FC]]</f>
        <v>0</v>
      </c>
      <c r="BF51" s="71">
        <f>Financials20263[[#This Row],[Apr AC]]-Financials20263[[#This Row],[Apr FC]]</f>
        <v>0</v>
      </c>
      <c r="BG51" s="71">
        <f>Financials20263[[#This Row],[May AC]]-Financials20263[[#This Row],[May FC]]</f>
        <v>4748</v>
      </c>
      <c r="BH51" s="71">
        <f>Financials20263[[#This Row],[Jun AC]]-Financials20263[[#This Row],[Jun FC]]</f>
        <v>0</v>
      </c>
      <c r="BI51" s="71">
        <f>Financials20263[[#This Row],[Jul AC]]-Financials20263[[#This Row],[Jul FC]]</f>
        <v>0</v>
      </c>
      <c r="BJ51" s="71">
        <f>Financials20263[[#This Row],[Aug AC]]-Financials20263[[#This Row],[Aug FC]]</f>
        <v>0</v>
      </c>
      <c r="BK51" s="71">
        <f>Financials20263[[#This Row],[Sep AC]]-Financials20263[[#This Row],[Sep FC]]</f>
        <v>0</v>
      </c>
      <c r="BL51" s="71">
        <f>Financials20263[[#This Row],[Oct AC]]-Financials20263[[#This Row],[Oct FC]]</f>
        <v>0</v>
      </c>
      <c r="BM51" s="71">
        <f>Financials20263[[#This Row],[Nov AC]]-Financials20263[[#This Row],[Nov FC]]</f>
        <v>0</v>
      </c>
      <c r="BN51" s="71">
        <f>Financials20263[[#This Row],[Dec AC]]-Financials20263[[#This Row],[Dec FC]]</f>
        <v>0</v>
      </c>
      <c r="BO51" s="71">
        <f>SUM(Financials20263[[#This Row],[Jan Opp/Risk]:[Dec Opp./Risk]])</f>
        <v>4748</v>
      </c>
      <c r="BP51" s="90" t="s">
        <v>576</v>
      </c>
      <c r="BQ51" s="47">
        <f>SUM(Financials20263[[#This Row],[Jan AC]:[May AC]])</f>
        <v>101291</v>
      </c>
      <c r="BR51" s="6">
        <f>Financials20263[[#This Row],[2026 (Actuals + Forecast)]]-Financials20263[[#This Row],[Jan-May Actuals]]-Financials20263[[#This Row],[Jun-Dec FC]]</f>
        <v>0</v>
      </c>
      <c r="BS51" s="6">
        <f>Financials20263[[#This Row],[Jun-Dec FC]]+Financials20263[[#This Row],[Jan-May Forecast ]]</f>
        <v>0</v>
      </c>
      <c r="BT51" s="6">
        <f>SUM(Financials20263[[#This Row],[Jan FC]:[May FC]])</f>
        <v>96543</v>
      </c>
      <c r="BU51" s="6">
        <f>Financials20263[[#This Row],[Jan-May Actuals]]+Financials20263[[#This Row],[Forecast Jun-Dec]]</f>
        <v>101291</v>
      </c>
      <c r="BV51" s="6"/>
      <c r="BW51" s="6"/>
      <c r="BX51" s="6"/>
    </row>
    <row r="52" spans="1:76" x14ac:dyDescent="0.3">
      <c r="A52" s="22" t="s">
        <v>101</v>
      </c>
      <c r="B52" s="21" t="s">
        <v>208</v>
      </c>
      <c r="C52" s="21" t="s">
        <v>209</v>
      </c>
      <c r="D52" s="10" t="s">
        <v>16</v>
      </c>
      <c r="E52" s="7" t="s">
        <v>122</v>
      </c>
      <c r="F52" s="3" t="s">
        <v>123</v>
      </c>
      <c r="G52" s="3" t="s">
        <v>50</v>
      </c>
      <c r="H52" s="4">
        <v>45640</v>
      </c>
      <c r="I52" s="4">
        <v>46004</v>
      </c>
      <c r="J52" s="3" t="s">
        <v>245</v>
      </c>
      <c r="K52" s="3" t="str">
        <f t="shared" si="0"/>
        <v>Prj000344-Support - Prod support for Finance Applications</v>
      </c>
      <c r="L52" s="21" t="s">
        <v>106</v>
      </c>
      <c r="M52" s="21" t="s">
        <v>7</v>
      </c>
      <c r="N52" s="21" t="s">
        <v>7</v>
      </c>
      <c r="O52" s="21" t="s">
        <v>7</v>
      </c>
      <c r="P52" s="21" t="s">
        <v>107</v>
      </c>
      <c r="Q52" s="21" t="s">
        <v>108</v>
      </c>
      <c r="R52" s="21" t="s">
        <v>108</v>
      </c>
      <c r="S52" s="21" t="s">
        <v>132</v>
      </c>
      <c r="T52" s="5">
        <v>12000</v>
      </c>
      <c r="U52" s="15">
        <v>14460</v>
      </c>
      <c r="V52" s="15">
        <v>14460</v>
      </c>
      <c r="W52" s="15">
        <f t="shared" si="1"/>
        <v>14460</v>
      </c>
      <c r="X52" s="15">
        <f t="shared" si="7"/>
        <v>0</v>
      </c>
      <c r="Y52" s="15">
        <f t="shared" si="2"/>
        <v>0</v>
      </c>
      <c r="Z52" s="15">
        <f>SUM(Financials20263[[#This Row],[2026 Opportunity]:[2026 Risk]])</f>
        <v>0</v>
      </c>
      <c r="AA52" s="3" t="s">
        <v>246</v>
      </c>
      <c r="AB52" s="52"/>
      <c r="AC52" s="52"/>
      <c r="AD52" s="52"/>
      <c r="AE52" s="52">
        <v>14460</v>
      </c>
      <c r="AF52" s="52"/>
      <c r="AG52" s="51"/>
      <c r="AH52" s="52"/>
      <c r="AI52" s="52"/>
      <c r="AJ52" s="52"/>
      <c r="AK52" s="52"/>
      <c r="AL52" s="51"/>
      <c r="AM52" s="51"/>
      <c r="AN52" s="51">
        <f>SUM(Financials20263[[#This Row],[Jan FC]:[Dec FC]])</f>
        <v>14460</v>
      </c>
      <c r="AO52" s="15">
        <f t="shared" si="5"/>
        <v>0</v>
      </c>
      <c r="AP52" s="61"/>
      <c r="AQ52" s="61"/>
      <c r="AR52" s="61"/>
      <c r="AS52" s="61"/>
      <c r="AT52" s="61"/>
      <c r="AU52" s="60"/>
      <c r="AV52" s="61"/>
      <c r="AW52" s="61"/>
      <c r="AX52" s="61"/>
      <c r="AY52" s="61"/>
      <c r="AZ52" s="60"/>
      <c r="BA52" s="60"/>
      <c r="BB52" s="79">
        <f>SUM(Financials20263[[#This Row],[Jan AC]:[Dec AC]])</f>
        <v>0</v>
      </c>
      <c r="BC52" s="71">
        <f>Financials20263[[#This Row],[Jan AC]]-Financials20263[[#This Row],[Jan FC]]</f>
        <v>0</v>
      </c>
      <c r="BD52" s="71">
        <f>Financials20263[[#This Row],[Feb AC]]-Financials20263[[#This Row],[Feb FC]]</f>
        <v>0</v>
      </c>
      <c r="BE52" s="71">
        <f>Financials20263[[#This Row],[Mar AC]]-Financials20263[[#This Row],[Mar FC]]</f>
        <v>0</v>
      </c>
      <c r="BF52" s="71">
        <f>Financials20263[[#This Row],[Apr AC]]-Financials20263[[#This Row],[Apr FC]]</f>
        <v>-14460</v>
      </c>
      <c r="BG52" s="71">
        <f>Financials20263[[#This Row],[May AC]]-Financials20263[[#This Row],[May FC]]</f>
        <v>0</v>
      </c>
      <c r="BH52" s="71">
        <f>Financials20263[[#This Row],[Jun AC]]-Financials20263[[#This Row],[Jun FC]]</f>
        <v>0</v>
      </c>
      <c r="BI52" s="71">
        <f>Financials20263[[#This Row],[Jul AC]]-Financials20263[[#This Row],[Jul FC]]</f>
        <v>0</v>
      </c>
      <c r="BJ52" s="71">
        <f>Financials20263[[#This Row],[Aug AC]]-Financials20263[[#This Row],[Aug FC]]</f>
        <v>0</v>
      </c>
      <c r="BK52" s="71">
        <f>Financials20263[[#This Row],[Sep AC]]-Financials20263[[#This Row],[Sep FC]]</f>
        <v>0</v>
      </c>
      <c r="BL52" s="71">
        <f>Financials20263[[#This Row],[Oct AC]]-Financials20263[[#This Row],[Oct FC]]</f>
        <v>0</v>
      </c>
      <c r="BM52" s="71">
        <f>Financials20263[[#This Row],[Nov AC]]-Financials20263[[#This Row],[Nov FC]]</f>
        <v>0</v>
      </c>
      <c r="BN52" s="71">
        <f>Financials20263[[#This Row],[Dec AC]]-Financials20263[[#This Row],[Dec FC]]</f>
        <v>0</v>
      </c>
      <c r="BO52" s="71">
        <f>SUM(Financials20263[[#This Row],[Jan Opp/Risk]:[Dec Opp./Risk]])</f>
        <v>-14460</v>
      </c>
      <c r="BP52" s="90"/>
      <c r="BQ52" s="47">
        <f>SUM(Financials20263[[#This Row],[Jan AC]:[May AC]])</f>
        <v>0</v>
      </c>
      <c r="BR52" s="6">
        <f>Financials20263[[#This Row],[2026 (Actuals + Forecast)]]-Financials20263[[#This Row],[Jan-May Actuals]]-Financials20263[[#This Row],[Jun-Dec FC]]</f>
        <v>14460</v>
      </c>
      <c r="BS52" s="6">
        <f>Financials20263[[#This Row],[Jun-Dec FC]]+Financials20263[[#This Row],[Jan-May Forecast ]]</f>
        <v>14460</v>
      </c>
      <c r="BT52" s="6">
        <f>SUM(Financials20263[[#This Row],[Jan FC]:[May FC]])</f>
        <v>14460</v>
      </c>
      <c r="BU52" s="6">
        <f>Financials20263[[#This Row],[Jan-May Actuals]]+Financials20263[[#This Row],[Forecast Jun-Dec]]</f>
        <v>14460</v>
      </c>
      <c r="BV52" s="6"/>
      <c r="BW52" s="6"/>
      <c r="BX52" s="6"/>
    </row>
    <row r="53" spans="1:76" x14ac:dyDescent="0.3">
      <c r="A53" s="22" t="s">
        <v>101</v>
      </c>
      <c r="B53" s="21" t="s">
        <v>208</v>
      </c>
      <c r="C53" s="21" t="s">
        <v>209</v>
      </c>
      <c r="D53" s="10" t="s">
        <v>29</v>
      </c>
      <c r="E53" s="7" t="s">
        <v>210</v>
      </c>
      <c r="F53" s="3" t="s">
        <v>211</v>
      </c>
      <c r="G53" s="3" t="s">
        <v>48</v>
      </c>
      <c r="H53" s="12">
        <v>45603</v>
      </c>
      <c r="I53" s="12">
        <v>45967</v>
      </c>
      <c r="J53" s="3" t="str">
        <f>+AA53</f>
        <v>Navigate</v>
      </c>
      <c r="K53" s="3" t="str">
        <f t="shared" si="0"/>
        <v>Prj000458-Support - Data Analytics Office</v>
      </c>
      <c r="L53" s="21" t="s">
        <v>106</v>
      </c>
      <c r="M53" s="21" t="s">
        <v>7</v>
      </c>
      <c r="N53" s="21" t="s">
        <v>7</v>
      </c>
      <c r="O53" s="21" t="s">
        <v>7</v>
      </c>
      <c r="P53" s="21" t="s">
        <v>107</v>
      </c>
      <c r="Q53" s="21" t="s">
        <v>108</v>
      </c>
      <c r="R53" s="21" t="s">
        <v>108</v>
      </c>
      <c r="S53" s="21" t="s">
        <v>132</v>
      </c>
      <c r="T53" s="5">
        <v>80161</v>
      </c>
      <c r="U53" s="15">
        <v>59783.0625</v>
      </c>
      <c r="V53" s="15">
        <v>59783.0625</v>
      </c>
      <c r="W53" s="15">
        <f t="shared" si="1"/>
        <v>59783.0625</v>
      </c>
      <c r="X53" s="15">
        <f t="shared" si="7"/>
        <v>0</v>
      </c>
      <c r="Y53" s="15">
        <f t="shared" si="2"/>
        <v>0</v>
      </c>
      <c r="Z53" s="15">
        <f>SUM(Financials20263[[#This Row],[2026 Opportunity]:[2026 Risk]])</f>
        <v>0</v>
      </c>
      <c r="AA53" s="3" t="s">
        <v>247</v>
      </c>
      <c r="AB53" s="52"/>
      <c r="AC53" s="52"/>
      <c r="AD53" s="52"/>
      <c r="AE53" s="52"/>
      <c r="AF53" s="52"/>
      <c r="AG53" s="51"/>
      <c r="AH53" s="52"/>
      <c r="AI53" s="52"/>
      <c r="AJ53" s="52"/>
      <c r="AK53" s="52"/>
      <c r="AL53" s="51">
        <v>59783.0625</v>
      </c>
      <c r="AM53" s="51"/>
      <c r="AN53" s="51">
        <f>SUM(Financials20263[[#This Row],[Jan FC]:[Dec FC]])</f>
        <v>59783.0625</v>
      </c>
      <c r="AO53" s="15">
        <f t="shared" si="5"/>
        <v>59783.0625</v>
      </c>
      <c r="AP53" s="61"/>
      <c r="AQ53" s="61"/>
      <c r="AR53" s="61"/>
      <c r="AS53" s="61"/>
      <c r="AT53" s="61"/>
      <c r="AU53" s="60"/>
      <c r="AV53" s="61"/>
      <c r="AW53" s="61"/>
      <c r="AX53" s="61"/>
      <c r="AY53" s="61"/>
      <c r="AZ53" s="60"/>
      <c r="BA53" s="60"/>
      <c r="BB53" s="79">
        <f>SUM(Financials20263[[#This Row],[Jan AC]:[Dec AC]])</f>
        <v>0</v>
      </c>
      <c r="BC53" s="71">
        <f>Financials20263[[#This Row],[Jan AC]]-Financials20263[[#This Row],[Jan FC]]</f>
        <v>0</v>
      </c>
      <c r="BD53" s="71">
        <f>Financials20263[[#This Row],[Feb AC]]-Financials20263[[#This Row],[Feb FC]]</f>
        <v>0</v>
      </c>
      <c r="BE53" s="71">
        <f>Financials20263[[#This Row],[Mar AC]]-Financials20263[[#This Row],[Mar FC]]</f>
        <v>0</v>
      </c>
      <c r="BF53" s="71">
        <f>Financials20263[[#This Row],[Apr AC]]-Financials20263[[#This Row],[Apr FC]]</f>
        <v>0</v>
      </c>
      <c r="BG53" s="71">
        <f>Financials20263[[#This Row],[May AC]]-Financials20263[[#This Row],[May FC]]</f>
        <v>0</v>
      </c>
      <c r="BH53" s="71">
        <f>Financials20263[[#This Row],[Jun AC]]-Financials20263[[#This Row],[Jun FC]]</f>
        <v>0</v>
      </c>
      <c r="BI53" s="71">
        <f>Financials20263[[#This Row],[Jul AC]]-Financials20263[[#This Row],[Jul FC]]</f>
        <v>0</v>
      </c>
      <c r="BJ53" s="71">
        <f>Financials20263[[#This Row],[Aug AC]]-Financials20263[[#This Row],[Aug FC]]</f>
        <v>0</v>
      </c>
      <c r="BK53" s="71">
        <f>Financials20263[[#This Row],[Sep AC]]-Financials20263[[#This Row],[Sep FC]]</f>
        <v>0</v>
      </c>
      <c r="BL53" s="71">
        <f>Financials20263[[#This Row],[Oct AC]]-Financials20263[[#This Row],[Oct FC]]</f>
        <v>0</v>
      </c>
      <c r="BM53" s="71">
        <f>Financials20263[[#This Row],[Nov AC]]-Financials20263[[#This Row],[Nov FC]]</f>
        <v>-59783.0625</v>
      </c>
      <c r="BN53" s="71">
        <f>Financials20263[[#This Row],[Dec AC]]-Financials20263[[#This Row],[Dec FC]]</f>
        <v>0</v>
      </c>
      <c r="BO53" s="71">
        <f>SUM(Financials20263[[#This Row],[Jan Opp/Risk]:[Dec Opp./Risk]])</f>
        <v>-59783.0625</v>
      </c>
      <c r="BP53" s="90"/>
      <c r="BQ53" s="47">
        <f>SUM(Financials20263[[#This Row],[Jan AC]:[May AC]])</f>
        <v>0</v>
      </c>
      <c r="BR53" s="6">
        <f>Financials20263[[#This Row],[2026 (Actuals + Forecast)]]-Financials20263[[#This Row],[Jan-May Actuals]]-Financials20263[[#This Row],[Jun-Dec FC]]</f>
        <v>0</v>
      </c>
      <c r="BS53" s="6">
        <f>Financials20263[[#This Row],[Jun-Dec FC]]+Financials20263[[#This Row],[Jan-May Forecast ]]</f>
        <v>59783.0625</v>
      </c>
      <c r="BT53" s="6">
        <f>SUM(Financials20263[[#This Row],[Jan FC]:[May FC]])</f>
        <v>0</v>
      </c>
      <c r="BU53" s="6">
        <f>Financials20263[[#This Row],[Jan-May Actuals]]+Financials20263[[#This Row],[Forecast Jun-Dec]]</f>
        <v>59783.0625</v>
      </c>
      <c r="BV53" s="6"/>
      <c r="BW53" s="6"/>
      <c r="BX53" s="6"/>
    </row>
    <row r="54" spans="1:76" x14ac:dyDescent="0.3">
      <c r="A54" s="22" t="s">
        <v>101</v>
      </c>
      <c r="B54" s="21" t="s">
        <v>248</v>
      </c>
      <c r="C54" s="21" t="s">
        <v>249</v>
      </c>
      <c r="D54" s="10" t="s">
        <v>26</v>
      </c>
      <c r="E54" s="7" t="s">
        <v>250</v>
      </c>
      <c r="F54" s="3" t="s">
        <v>168</v>
      </c>
      <c r="G54" s="3" t="s">
        <v>51</v>
      </c>
      <c r="H54" s="4">
        <v>46043</v>
      </c>
      <c r="I54" s="4">
        <v>46417</v>
      </c>
      <c r="J54" s="3"/>
      <c r="K54" s="3" t="str">
        <f t="shared" si="0"/>
        <v>Prj000427-Implement - Minor Enhancements for Marketing</v>
      </c>
      <c r="L54" s="21" t="s">
        <v>106</v>
      </c>
      <c r="M54" s="21" t="s">
        <v>7</v>
      </c>
      <c r="N54" s="21" t="s">
        <v>7</v>
      </c>
      <c r="O54" s="21"/>
      <c r="P54" s="21" t="s">
        <v>107</v>
      </c>
      <c r="Q54" s="21" t="s">
        <v>108</v>
      </c>
      <c r="R54" s="21" t="s">
        <v>108</v>
      </c>
      <c r="S54" s="21" t="s">
        <v>132</v>
      </c>
      <c r="T54" s="5">
        <v>1200</v>
      </c>
      <c r="U54" s="15">
        <v>1260</v>
      </c>
      <c r="V54" s="15">
        <v>1260</v>
      </c>
      <c r="W54" s="15">
        <f t="shared" si="1"/>
        <v>1260</v>
      </c>
      <c r="X54" s="15">
        <f t="shared" si="7"/>
        <v>0</v>
      </c>
      <c r="Y54" s="15">
        <f t="shared" si="2"/>
        <v>0</v>
      </c>
      <c r="Z54" s="15">
        <f>SUM(Financials20263[[#This Row],[2026 Opportunity]:[2026 Risk]])</f>
        <v>0</v>
      </c>
      <c r="AA54" s="3" t="s">
        <v>120</v>
      </c>
      <c r="AB54" s="52">
        <v>1260</v>
      </c>
      <c r="AC54" s="52">
        <v>0</v>
      </c>
      <c r="AD54" s="52">
        <v>0</v>
      </c>
      <c r="AE54" s="52">
        <v>0</v>
      </c>
      <c r="AF54" s="52">
        <v>0</v>
      </c>
      <c r="AG54" s="52">
        <v>0</v>
      </c>
      <c r="AH54" s="52">
        <v>0</v>
      </c>
      <c r="AI54" s="52">
        <v>0</v>
      </c>
      <c r="AJ54" s="52">
        <v>0</v>
      </c>
      <c r="AK54" s="52">
        <v>0</v>
      </c>
      <c r="AL54" s="52">
        <v>0</v>
      </c>
      <c r="AM54" s="52">
        <v>0</v>
      </c>
      <c r="AN54" s="52">
        <f>SUM(Financials20263[[#This Row],[Jan FC]:[Dec FC]])</f>
        <v>1260</v>
      </c>
      <c r="AO54" s="15">
        <f t="shared" si="5"/>
        <v>0</v>
      </c>
      <c r="AP54" s="61">
        <v>1260</v>
      </c>
      <c r="AQ54" s="61">
        <v>0</v>
      </c>
      <c r="AR54" s="61">
        <v>0</v>
      </c>
      <c r="AS54" s="61">
        <v>0</v>
      </c>
      <c r="AT54" s="61">
        <v>0</v>
      </c>
      <c r="AU54" s="61">
        <v>0</v>
      </c>
      <c r="AV54" s="61">
        <v>0</v>
      </c>
      <c r="AW54" s="61">
        <v>0</v>
      </c>
      <c r="AX54" s="61">
        <v>0</v>
      </c>
      <c r="AY54" s="61">
        <v>0</v>
      </c>
      <c r="AZ54" s="61">
        <v>0</v>
      </c>
      <c r="BA54" s="61">
        <v>0</v>
      </c>
      <c r="BB54" s="80">
        <f>SUM(Financials20263[[#This Row],[Jan AC]:[Dec AC]])</f>
        <v>1260</v>
      </c>
      <c r="BC54" s="71">
        <f>Financials20263[[#This Row],[Jan AC]]-Financials20263[[#This Row],[Jan FC]]</f>
        <v>0</v>
      </c>
      <c r="BD54" s="71">
        <f>Financials20263[[#This Row],[Feb AC]]-Financials20263[[#This Row],[Feb FC]]</f>
        <v>0</v>
      </c>
      <c r="BE54" s="71">
        <f>Financials20263[[#This Row],[Mar AC]]-Financials20263[[#This Row],[Mar FC]]</f>
        <v>0</v>
      </c>
      <c r="BF54" s="71">
        <f>Financials20263[[#This Row],[Apr AC]]-Financials20263[[#This Row],[Apr FC]]</f>
        <v>0</v>
      </c>
      <c r="BG54" s="71">
        <f>Financials20263[[#This Row],[May AC]]-Financials20263[[#This Row],[May FC]]</f>
        <v>0</v>
      </c>
      <c r="BH54" s="71">
        <f>Financials20263[[#This Row],[Jun AC]]-Financials20263[[#This Row],[Jun FC]]</f>
        <v>0</v>
      </c>
      <c r="BI54" s="71">
        <f>Financials20263[[#This Row],[Jul AC]]-Financials20263[[#This Row],[Jul FC]]</f>
        <v>0</v>
      </c>
      <c r="BJ54" s="71">
        <f>Financials20263[[#This Row],[Aug AC]]-Financials20263[[#This Row],[Aug FC]]</f>
        <v>0</v>
      </c>
      <c r="BK54" s="71">
        <f>Financials20263[[#This Row],[Sep AC]]-Financials20263[[#This Row],[Sep FC]]</f>
        <v>0</v>
      </c>
      <c r="BL54" s="71">
        <f>Financials20263[[#This Row],[Oct AC]]-Financials20263[[#This Row],[Oct FC]]</f>
        <v>0</v>
      </c>
      <c r="BM54" s="71">
        <f>Financials20263[[#This Row],[Nov AC]]-Financials20263[[#This Row],[Nov FC]]</f>
        <v>0</v>
      </c>
      <c r="BN54" s="71">
        <f>Financials20263[[#This Row],[Dec AC]]-Financials20263[[#This Row],[Dec FC]]</f>
        <v>0</v>
      </c>
      <c r="BO54" s="71">
        <f>SUM(Financials20263[[#This Row],[Jan Opp/Risk]:[Dec Opp./Risk]])</f>
        <v>0</v>
      </c>
      <c r="BP54" s="87"/>
      <c r="BQ54" s="47">
        <f>SUM(Financials20263[[#This Row],[Jan AC]:[May AC]])</f>
        <v>1260</v>
      </c>
      <c r="BR54" s="6">
        <f>Financials20263[[#This Row],[2026 (Actuals + Forecast)]]-Financials20263[[#This Row],[Jan-May Actuals]]-Financials20263[[#This Row],[Jun-Dec FC]]</f>
        <v>0</v>
      </c>
      <c r="BS54" s="6">
        <f>Financials20263[[#This Row],[Jun-Dec FC]]+Financials20263[[#This Row],[Jan-May Forecast ]]</f>
        <v>0</v>
      </c>
      <c r="BT54" s="6">
        <f>SUM(Financials20263[[#This Row],[Jan FC]:[May FC]])</f>
        <v>1260</v>
      </c>
      <c r="BU54" s="6">
        <f>Financials20263[[#This Row],[Jan-May Actuals]]+Financials20263[[#This Row],[Forecast Jun-Dec]]</f>
        <v>1260</v>
      </c>
      <c r="BV54" s="6"/>
      <c r="BW54" s="6"/>
      <c r="BX54" s="6"/>
    </row>
    <row r="55" spans="1:76" x14ac:dyDescent="0.3">
      <c r="A55" s="22" t="s">
        <v>101</v>
      </c>
      <c r="B55" s="21" t="s">
        <v>76</v>
      </c>
      <c r="C55" s="21" t="s">
        <v>251</v>
      </c>
      <c r="D55" s="10" t="s">
        <v>24</v>
      </c>
      <c r="E55" s="7" t="s">
        <v>252</v>
      </c>
      <c r="F55" s="3" t="s">
        <v>104</v>
      </c>
      <c r="G55" s="3" t="s">
        <v>49</v>
      </c>
      <c r="H55" s="4">
        <v>45912</v>
      </c>
      <c r="I55" s="4">
        <v>46174</v>
      </c>
      <c r="J55" s="3" t="s">
        <v>253</v>
      </c>
      <c r="K55" s="3" t="str">
        <f t="shared" si="0"/>
        <v>Prj000410-Support - Tech Enablement 2026</v>
      </c>
      <c r="L55" s="21" t="s">
        <v>106</v>
      </c>
      <c r="M55" s="21" t="s">
        <v>7</v>
      </c>
      <c r="N55" s="21" t="s">
        <v>7</v>
      </c>
      <c r="O55" s="21"/>
      <c r="P55" s="21" t="s">
        <v>107</v>
      </c>
      <c r="Q55" s="21" t="s">
        <v>108</v>
      </c>
      <c r="R55" s="21" t="s">
        <v>108</v>
      </c>
      <c r="S55" s="21" t="s">
        <v>132</v>
      </c>
      <c r="T55" s="5">
        <v>1643.58</v>
      </c>
      <c r="U55" s="15">
        <v>1725.759</v>
      </c>
      <c r="V55" s="15">
        <v>1725.759</v>
      </c>
      <c r="W55" s="15">
        <f t="shared" si="1"/>
        <v>1726</v>
      </c>
      <c r="X55" s="15">
        <f t="shared" si="7"/>
        <v>0</v>
      </c>
      <c r="Y55" s="15">
        <f t="shared" si="2"/>
        <v>0.24099999999998545</v>
      </c>
      <c r="Z55" s="15">
        <f>SUM(Financials20263[[#This Row],[2026 Opportunity]:[2026 Risk]])</f>
        <v>0.24099999999998545</v>
      </c>
      <c r="AA55" s="3" t="s">
        <v>254</v>
      </c>
      <c r="AB55" s="52"/>
      <c r="AC55" s="52"/>
      <c r="AD55" s="52"/>
      <c r="AE55" s="52"/>
      <c r="AF55" s="52"/>
      <c r="AG55" s="51"/>
      <c r="AH55" s="52"/>
      <c r="AI55" s="52"/>
      <c r="AJ55" s="52">
        <v>1726</v>
      </c>
      <c r="AK55" s="52"/>
      <c r="AL55" s="52"/>
      <c r="AM55" s="52"/>
      <c r="AN55" s="52">
        <f>SUM(Financials20263[[#This Row],[Jan FC]:[Dec FC]])</f>
        <v>1726</v>
      </c>
      <c r="AO55" s="15">
        <f t="shared" si="5"/>
        <v>1726</v>
      </c>
      <c r="AP55" s="61"/>
      <c r="AQ55" s="61"/>
      <c r="AR55" s="61"/>
      <c r="AS55" s="61"/>
      <c r="AT55" s="61"/>
      <c r="AU55" s="60"/>
      <c r="AV55" s="61"/>
      <c r="AW55" s="61"/>
      <c r="AX55" s="61"/>
      <c r="AY55" s="61"/>
      <c r="AZ55" s="61"/>
      <c r="BA55" s="61"/>
      <c r="BB55" s="80">
        <f>SUM(Financials20263[[#This Row],[Jan AC]:[Dec AC]])</f>
        <v>0</v>
      </c>
      <c r="BC55" s="71">
        <f>Financials20263[[#This Row],[Jan AC]]-Financials20263[[#This Row],[Jan FC]]</f>
        <v>0</v>
      </c>
      <c r="BD55" s="71">
        <f>Financials20263[[#This Row],[Feb AC]]-Financials20263[[#This Row],[Feb FC]]</f>
        <v>0</v>
      </c>
      <c r="BE55" s="71">
        <f>Financials20263[[#This Row],[Mar AC]]-Financials20263[[#This Row],[Mar FC]]</f>
        <v>0</v>
      </c>
      <c r="BF55" s="71">
        <f>Financials20263[[#This Row],[Apr AC]]-Financials20263[[#This Row],[Apr FC]]</f>
        <v>0</v>
      </c>
      <c r="BG55" s="71">
        <f>Financials20263[[#This Row],[May AC]]-Financials20263[[#This Row],[May FC]]</f>
        <v>0</v>
      </c>
      <c r="BH55" s="71">
        <f>Financials20263[[#This Row],[Jun AC]]-Financials20263[[#This Row],[Jun FC]]</f>
        <v>0</v>
      </c>
      <c r="BI55" s="71">
        <f>Financials20263[[#This Row],[Jul AC]]-Financials20263[[#This Row],[Jul FC]]</f>
        <v>0</v>
      </c>
      <c r="BJ55" s="71">
        <f>Financials20263[[#This Row],[Aug AC]]-Financials20263[[#This Row],[Aug FC]]</f>
        <v>0</v>
      </c>
      <c r="BK55" s="71">
        <f>Financials20263[[#This Row],[Sep AC]]-Financials20263[[#This Row],[Sep FC]]</f>
        <v>-1726</v>
      </c>
      <c r="BL55" s="71">
        <f>Financials20263[[#This Row],[Oct AC]]-Financials20263[[#This Row],[Oct FC]]</f>
        <v>0</v>
      </c>
      <c r="BM55" s="71">
        <f>Financials20263[[#This Row],[Nov AC]]-Financials20263[[#This Row],[Nov FC]]</f>
        <v>0</v>
      </c>
      <c r="BN55" s="71">
        <f>Financials20263[[#This Row],[Dec AC]]-Financials20263[[#This Row],[Dec FC]]</f>
        <v>0</v>
      </c>
      <c r="BO55" s="71">
        <f>SUM(Financials20263[[#This Row],[Jan Opp/Risk]:[Dec Opp./Risk]])</f>
        <v>-1726</v>
      </c>
      <c r="BP55" s="87"/>
      <c r="BQ55" s="47">
        <f>SUM(Financials20263[[#This Row],[Jan AC]:[May AC]])</f>
        <v>0</v>
      </c>
      <c r="BR55" s="6">
        <f>Financials20263[[#This Row],[2026 (Actuals + Forecast)]]-Financials20263[[#This Row],[Jan-May Actuals]]-Financials20263[[#This Row],[Jun-Dec FC]]</f>
        <v>0</v>
      </c>
      <c r="BS55" s="6">
        <f>Financials20263[[#This Row],[Jun-Dec FC]]+Financials20263[[#This Row],[Jan-May Forecast ]]</f>
        <v>1726</v>
      </c>
      <c r="BT55" s="6">
        <f>SUM(Financials20263[[#This Row],[Jan FC]:[May FC]])</f>
        <v>0</v>
      </c>
      <c r="BU55" s="6">
        <f>Financials20263[[#This Row],[Jan-May Actuals]]+Financials20263[[#This Row],[Forecast Jun-Dec]]</f>
        <v>1726</v>
      </c>
      <c r="BV55" s="6"/>
      <c r="BW55" s="6"/>
      <c r="BX55" s="6"/>
    </row>
    <row r="56" spans="1:76" x14ac:dyDescent="0.3">
      <c r="A56" s="22" t="s">
        <v>101</v>
      </c>
      <c r="B56" s="21" t="s">
        <v>76</v>
      </c>
      <c r="C56" s="21" t="s">
        <v>251</v>
      </c>
      <c r="D56" s="10" t="s">
        <v>24</v>
      </c>
      <c r="E56" s="7" t="s">
        <v>252</v>
      </c>
      <c r="F56" s="3" t="s">
        <v>104</v>
      </c>
      <c r="G56" s="3" t="s">
        <v>49</v>
      </c>
      <c r="H56" s="4">
        <v>45809</v>
      </c>
      <c r="I56" s="4">
        <v>46175</v>
      </c>
      <c r="J56" s="3" t="s">
        <v>253</v>
      </c>
      <c r="K56" s="3" t="str">
        <f t="shared" si="0"/>
        <v>Prj000410-Support - Tech Enablement 2026</v>
      </c>
      <c r="L56" s="21" t="s">
        <v>106</v>
      </c>
      <c r="M56" s="21" t="s">
        <v>7</v>
      </c>
      <c r="N56" s="21" t="s">
        <v>7</v>
      </c>
      <c r="O56" s="21"/>
      <c r="P56" s="21" t="s">
        <v>107</v>
      </c>
      <c r="Q56" s="21" t="s">
        <v>108</v>
      </c>
      <c r="R56" s="21" t="s">
        <v>108</v>
      </c>
      <c r="S56" s="21" t="s">
        <v>132</v>
      </c>
      <c r="T56" s="5">
        <v>24823.59</v>
      </c>
      <c r="U56" s="15">
        <v>26064.769500000002</v>
      </c>
      <c r="V56" s="15">
        <v>26064.769500000002</v>
      </c>
      <c r="W56" s="15">
        <f t="shared" si="1"/>
        <v>26065</v>
      </c>
      <c r="X56" s="15">
        <f t="shared" si="7"/>
        <v>0</v>
      </c>
      <c r="Y56" s="15">
        <f t="shared" si="2"/>
        <v>0.23049999999784632</v>
      </c>
      <c r="Z56" s="15">
        <f>SUM(Financials20263[[#This Row],[2026 Opportunity]:[2026 Risk]])</f>
        <v>0.23049999999784632</v>
      </c>
      <c r="AA56" s="3" t="s">
        <v>255</v>
      </c>
      <c r="AB56" s="52"/>
      <c r="AC56" s="52"/>
      <c r="AD56" s="52"/>
      <c r="AE56" s="52"/>
      <c r="AF56" s="52">
        <v>26065</v>
      </c>
      <c r="AG56" s="51"/>
      <c r="AH56" s="52"/>
      <c r="AI56" s="52"/>
      <c r="AJ56" s="52"/>
      <c r="AK56" s="52"/>
      <c r="AL56" s="52"/>
      <c r="AM56" s="52"/>
      <c r="AN56" s="52">
        <f>SUM(Financials20263[[#This Row],[Jan FC]:[Dec FC]])</f>
        <v>26065</v>
      </c>
      <c r="AO56" s="15">
        <f t="shared" si="5"/>
        <v>0</v>
      </c>
      <c r="AP56" s="61"/>
      <c r="AQ56" s="61"/>
      <c r="AR56" s="61"/>
      <c r="AS56" s="61"/>
      <c r="AT56" s="61"/>
      <c r="AU56" s="60"/>
      <c r="AV56" s="61"/>
      <c r="AW56" s="61"/>
      <c r="AX56" s="61"/>
      <c r="AY56" s="61"/>
      <c r="AZ56" s="61"/>
      <c r="BA56" s="61"/>
      <c r="BB56" s="80">
        <f>SUM(Financials20263[[#This Row],[Jan AC]:[Dec AC]])</f>
        <v>0</v>
      </c>
      <c r="BC56" s="71">
        <f>Financials20263[[#This Row],[Jan AC]]-Financials20263[[#This Row],[Jan FC]]</f>
        <v>0</v>
      </c>
      <c r="BD56" s="71">
        <f>Financials20263[[#This Row],[Feb AC]]-Financials20263[[#This Row],[Feb FC]]</f>
        <v>0</v>
      </c>
      <c r="BE56" s="71">
        <f>Financials20263[[#This Row],[Mar AC]]-Financials20263[[#This Row],[Mar FC]]</f>
        <v>0</v>
      </c>
      <c r="BF56" s="71">
        <f>Financials20263[[#This Row],[Apr AC]]-Financials20263[[#This Row],[Apr FC]]</f>
        <v>0</v>
      </c>
      <c r="BG56" s="71">
        <f>Financials20263[[#This Row],[May AC]]-Financials20263[[#This Row],[May FC]]</f>
        <v>-26065</v>
      </c>
      <c r="BH56" s="71">
        <f>Financials20263[[#This Row],[Jun AC]]-Financials20263[[#This Row],[Jun FC]]</f>
        <v>0</v>
      </c>
      <c r="BI56" s="71">
        <f>Financials20263[[#This Row],[Jul AC]]-Financials20263[[#This Row],[Jul FC]]</f>
        <v>0</v>
      </c>
      <c r="BJ56" s="71">
        <f>Financials20263[[#This Row],[Aug AC]]-Financials20263[[#This Row],[Aug FC]]</f>
        <v>0</v>
      </c>
      <c r="BK56" s="71">
        <f>Financials20263[[#This Row],[Sep AC]]-Financials20263[[#This Row],[Sep FC]]</f>
        <v>0</v>
      </c>
      <c r="BL56" s="71">
        <f>Financials20263[[#This Row],[Oct AC]]-Financials20263[[#This Row],[Oct FC]]</f>
        <v>0</v>
      </c>
      <c r="BM56" s="71">
        <f>Financials20263[[#This Row],[Nov AC]]-Financials20263[[#This Row],[Nov FC]]</f>
        <v>0</v>
      </c>
      <c r="BN56" s="71">
        <f>Financials20263[[#This Row],[Dec AC]]-Financials20263[[#This Row],[Dec FC]]</f>
        <v>0</v>
      </c>
      <c r="BO56" s="71">
        <f>SUM(Financials20263[[#This Row],[Jan Opp/Risk]:[Dec Opp./Risk]])</f>
        <v>-26065</v>
      </c>
      <c r="BP56" s="87"/>
      <c r="BQ56" s="47">
        <f>SUM(Financials20263[[#This Row],[Jan AC]:[May AC]])</f>
        <v>0</v>
      </c>
      <c r="BR56" s="6">
        <f>Financials20263[[#This Row],[2026 (Actuals + Forecast)]]-Financials20263[[#This Row],[Jan-May Actuals]]-Financials20263[[#This Row],[Jun-Dec FC]]</f>
        <v>26065</v>
      </c>
      <c r="BS56" s="6">
        <f>Financials20263[[#This Row],[Jun-Dec FC]]+Financials20263[[#This Row],[Jan-May Forecast ]]</f>
        <v>26065</v>
      </c>
      <c r="BT56" s="6">
        <f>SUM(Financials20263[[#This Row],[Jan FC]:[May FC]])</f>
        <v>26065</v>
      </c>
      <c r="BU56" s="6">
        <f>Financials20263[[#This Row],[Jan-May Actuals]]+Financials20263[[#This Row],[Forecast Jun-Dec]]</f>
        <v>26065</v>
      </c>
      <c r="BV56" s="6"/>
      <c r="BW56" s="6"/>
      <c r="BX56" s="6"/>
    </row>
    <row r="57" spans="1:76" x14ac:dyDescent="0.3">
      <c r="A57" s="22" t="s">
        <v>101</v>
      </c>
      <c r="B57" s="21" t="s">
        <v>256</v>
      </c>
      <c r="C57" s="21" t="s">
        <v>257</v>
      </c>
      <c r="D57" s="10" t="s">
        <v>16</v>
      </c>
      <c r="E57" s="7" t="s">
        <v>122</v>
      </c>
      <c r="F57" s="3" t="s">
        <v>123</v>
      </c>
      <c r="G57" s="3" t="s">
        <v>50</v>
      </c>
      <c r="H57" s="4">
        <v>45770</v>
      </c>
      <c r="I57" s="4">
        <v>46135</v>
      </c>
      <c r="J57" s="3" t="s">
        <v>258</v>
      </c>
      <c r="K57" s="3" t="str">
        <f t="shared" si="0"/>
        <v>Prj000344-Support - Prod support for Finance Applications</v>
      </c>
      <c r="L57" s="21" t="s">
        <v>106</v>
      </c>
      <c r="M57" s="21" t="s">
        <v>7</v>
      </c>
      <c r="N57" s="21" t="s">
        <v>7</v>
      </c>
      <c r="O57" s="21"/>
      <c r="P57" s="21" t="s">
        <v>107</v>
      </c>
      <c r="Q57" s="21" t="s">
        <v>108</v>
      </c>
      <c r="R57" s="21" t="s">
        <v>108</v>
      </c>
      <c r="S57" s="21" t="s">
        <v>132</v>
      </c>
      <c r="T57" s="5">
        <v>1297</v>
      </c>
      <c r="U57" s="5">
        <v>1361.8500000000001</v>
      </c>
      <c r="V57" s="5">
        <v>1361.8500000000001</v>
      </c>
      <c r="W57" s="15">
        <f t="shared" si="1"/>
        <v>1719.9</v>
      </c>
      <c r="X57" s="15">
        <f t="shared" si="7"/>
        <v>0</v>
      </c>
      <c r="Y57" s="15">
        <f t="shared" si="2"/>
        <v>358.04999999999995</v>
      </c>
      <c r="Z57" s="15">
        <f>SUM(Financials20263[[#This Row],[2026 Opportunity]:[2026 Risk]])</f>
        <v>358.04999999999995</v>
      </c>
      <c r="AA57" s="3" t="s">
        <v>120</v>
      </c>
      <c r="AB57" s="52"/>
      <c r="AC57" s="52"/>
      <c r="AD57" s="52"/>
      <c r="AE57" s="52">
        <v>1362</v>
      </c>
      <c r="AF57" s="52"/>
      <c r="AG57" s="51"/>
      <c r="AH57" s="52"/>
      <c r="AI57" s="52"/>
      <c r="AJ57" s="52"/>
      <c r="AK57" s="52"/>
      <c r="AL57" s="51"/>
      <c r="AM57" s="51"/>
      <c r="AN57" s="51">
        <f>SUM(Financials20263[[#This Row],[Jan FC]:[Dec FC]])</f>
        <v>1362</v>
      </c>
      <c r="AO57" s="15">
        <f t="shared" si="5"/>
        <v>0</v>
      </c>
      <c r="AP57" s="61"/>
      <c r="AQ57" s="61"/>
      <c r="AR57" s="61"/>
      <c r="AS57" s="61">
        <v>1719.9</v>
      </c>
      <c r="AT57" s="61"/>
      <c r="AU57" s="60"/>
      <c r="AV57" s="61"/>
      <c r="AW57" s="61"/>
      <c r="AX57" s="61"/>
      <c r="AY57" s="61"/>
      <c r="AZ57" s="60"/>
      <c r="BA57" s="60"/>
      <c r="BB57" s="79">
        <f>SUM(Financials20263[[#This Row],[Jan AC]:[Dec AC]])</f>
        <v>1719.9</v>
      </c>
      <c r="BC57" s="71">
        <f>Financials20263[[#This Row],[Jan AC]]-Financials20263[[#This Row],[Jan FC]]</f>
        <v>0</v>
      </c>
      <c r="BD57" s="71">
        <f>Financials20263[[#This Row],[Feb AC]]-Financials20263[[#This Row],[Feb FC]]</f>
        <v>0</v>
      </c>
      <c r="BE57" s="71">
        <f>Financials20263[[#This Row],[Mar AC]]-Financials20263[[#This Row],[Mar FC]]</f>
        <v>0</v>
      </c>
      <c r="BF57" s="71">
        <f>Financials20263[[#This Row],[Apr AC]]-Financials20263[[#This Row],[Apr FC]]</f>
        <v>357.90000000000009</v>
      </c>
      <c r="BG57" s="71">
        <f>Financials20263[[#This Row],[May AC]]-Financials20263[[#This Row],[May FC]]</f>
        <v>0</v>
      </c>
      <c r="BH57" s="71">
        <f>Financials20263[[#This Row],[Jun AC]]-Financials20263[[#This Row],[Jun FC]]</f>
        <v>0</v>
      </c>
      <c r="BI57" s="71">
        <f>Financials20263[[#This Row],[Jul AC]]-Financials20263[[#This Row],[Jul FC]]</f>
        <v>0</v>
      </c>
      <c r="BJ57" s="71">
        <f>Financials20263[[#This Row],[Aug AC]]-Financials20263[[#This Row],[Aug FC]]</f>
        <v>0</v>
      </c>
      <c r="BK57" s="71">
        <f>Financials20263[[#This Row],[Sep AC]]-Financials20263[[#This Row],[Sep FC]]</f>
        <v>0</v>
      </c>
      <c r="BL57" s="71">
        <f>Financials20263[[#This Row],[Oct AC]]-Financials20263[[#This Row],[Oct FC]]</f>
        <v>0</v>
      </c>
      <c r="BM57" s="71">
        <f>Financials20263[[#This Row],[Nov AC]]-Financials20263[[#This Row],[Nov FC]]</f>
        <v>0</v>
      </c>
      <c r="BN57" s="71">
        <f>Financials20263[[#This Row],[Dec AC]]-Financials20263[[#This Row],[Dec FC]]</f>
        <v>0</v>
      </c>
      <c r="BO57" s="71">
        <f>SUM(Financials20263[[#This Row],[Jan Opp/Risk]:[Dec Opp./Risk]])</f>
        <v>357.90000000000009</v>
      </c>
      <c r="BP57" s="87" t="s">
        <v>519</v>
      </c>
      <c r="BQ57" s="47">
        <f>SUM(Financials20263[[#This Row],[Jan AC]:[May AC]])</f>
        <v>1719.9</v>
      </c>
      <c r="BR57" s="6">
        <f>Financials20263[[#This Row],[2026 (Actuals + Forecast)]]-Financials20263[[#This Row],[Jan-May Actuals]]-Financials20263[[#This Row],[Jun-Dec FC]]</f>
        <v>0</v>
      </c>
      <c r="BS57" s="6">
        <f>Financials20263[[#This Row],[Jun-Dec FC]]+Financials20263[[#This Row],[Jan-May Forecast ]]</f>
        <v>0</v>
      </c>
      <c r="BT57" s="6">
        <f>SUM(Financials20263[[#This Row],[Jan FC]:[May FC]])</f>
        <v>1362</v>
      </c>
      <c r="BU57" s="6">
        <f>Financials20263[[#This Row],[Jan-May Actuals]]+Financials20263[[#This Row],[Forecast Jun-Dec]]</f>
        <v>1719.9</v>
      </c>
      <c r="BV57" s="6"/>
      <c r="BW57" s="6"/>
      <c r="BX57" s="6"/>
    </row>
    <row r="58" spans="1:76" x14ac:dyDescent="0.3">
      <c r="A58" s="22" t="s">
        <v>101</v>
      </c>
      <c r="B58" s="21" t="s">
        <v>256</v>
      </c>
      <c r="C58" s="21" t="s">
        <v>257</v>
      </c>
      <c r="D58" s="10" t="s">
        <v>16</v>
      </c>
      <c r="E58" s="7" t="s">
        <v>122</v>
      </c>
      <c r="F58" s="3" t="s">
        <v>123</v>
      </c>
      <c r="G58" s="3" t="s">
        <v>50</v>
      </c>
      <c r="H58" s="4">
        <v>46056</v>
      </c>
      <c r="I58" s="4">
        <v>46421</v>
      </c>
      <c r="J58" s="3" t="s">
        <v>259</v>
      </c>
      <c r="K58" s="3" t="str">
        <f t="shared" si="0"/>
        <v>Prj000344-Support - Prod support for Finance Applications</v>
      </c>
      <c r="L58" s="21" t="s">
        <v>106</v>
      </c>
      <c r="M58" s="21" t="s">
        <v>7</v>
      </c>
      <c r="N58" s="21" t="s">
        <v>7</v>
      </c>
      <c r="O58" s="21"/>
      <c r="P58" s="21" t="s">
        <v>107</v>
      </c>
      <c r="Q58" s="21" t="s">
        <v>108</v>
      </c>
      <c r="R58" s="21" t="s">
        <v>108</v>
      </c>
      <c r="S58" s="21" t="s">
        <v>132</v>
      </c>
      <c r="T58" s="5">
        <v>1323</v>
      </c>
      <c r="U58" s="5">
        <v>1389.15</v>
      </c>
      <c r="V58" s="5">
        <v>1389.15</v>
      </c>
      <c r="W58" s="15">
        <f t="shared" si="1"/>
        <v>1472.85</v>
      </c>
      <c r="X58" s="15">
        <f t="shared" si="7"/>
        <v>0</v>
      </c>
      <c r="Y58" s="15">
        <f t="shared" si="2"/>
        <v>83.699999999999818</v>
      </c>
      <c r="Z58" s="15">
        <f>SUM(Financials20263[[#This Row],[2026 Opportunity]:[2026 Risk]])</f>
        <v>83.699999999999818</v>
      </c>
      <c r="AA58" s="3" t="s">
        <v>120</v>
      </c>
      <c r="AB58" s="52"/>
      <c r="AC58" s="52">
        <v>1389</v>
      </c>
      <c r="AD58" s="52"/>
      <c r="AE58" s="52"/>
      <c r="AF58" s="52"/>
      <c r="AG58" s="52"/>
      <c r="AH58" s="52"/>
      <c r="AI58" s="52"/>
      <c r="AJ58" s="52"/>
      <c r="AK58" s="52"/>
      <c r="AL58" s="52"/>
      <c r="AM58" s="52"/>
      <c r="AN58" s="52">
        <f>SUM(Financials20263[[#This Row],[Jan FC]:[Dec FC]])</f>
        <v>1389</v>
      </c>
      <c r="AO58" s="15">
        <f t="shared" si="5"/>
        <v>0</v>
      </c>
      <c r="AP58" s="61"/>
      <c r="AQ58" s="61">
        <v>1472.85</v>
      </c>
      <c r="AR58" s="61"/>
      <c r="AS58" s="61"/>
      <c r="AT58" s="61"/>
      <c r="AU58" s="61"/>
      <c r="AV58" s="61"/>
      <c r="AW58" s="61"/>
      <c r="AX58" s="61"/>
      <c r="AY58" s="61"/>
      <c r="AZ58" s="61"/>
      <c r="BA58" s="61"/>
      <c r="BB58" s="80">
        <f>SUM(Financials20263[[#This Row],[Jan AC]:[Dec AC]])</f>
        <v>1472.85</v>
      </c>
      <c r="BC58" s="71">
        <f>Financials20263[[#This Row],[Jan AC]]-Financials20263[[#This Row],[Jan FC]]</f>
        <v>0</v>
      </c>
      <c r="BD58" s="71">
        <f>Financials20263[[#This Row],[Feb AC]]-Financials20263[[#This Row],[Feb FC]]</f>
        <v>83.849999999999909</v>
      </c>
      <c r="BE58" s="71">
        <f>Financials20263[[#This Row],[Mar AC]]-Financials20263[[#This Row],[Mar FC]]</f>
        <v>0</v>
      </c>
      <c r="BF58" s="71">
        <f>Financials20263[[#This Row],[Apr AC]]-Financials20263[[#This Row],[Apr FC]]</f>
        <v>0</v>
      </c>
      <c r="BG58" s="71">
        <f>Financials20263[[#This Row],[May AC]]-Financials20263[[#This Row],[May FC]]</f>
        <v>0</v>
      </c>
      <c r="BH58" s="71">
        <f>Financials20263[[#This Row],[Jun AC]]-Financials20263[[#This Row],[Jun FC]]</f>
        <v>0</v>
      </c>
      <c r="BI58" s="71">
        <f>Financials20263[[#This Row],[Jul AC]]-Financials20263[[#This Row],[Jul FC]]</f>
        <v>0</v>
      </c>
      <c r="BJ58" s="71">
        <f>Financials20263[[#This Row],[Aug AC]]-Financials20263[[#This Row],[Aug FC]]</f>
        <v>0</v>
      </c>
      <c r="BK58" s="71">
        <f>Financials20263[[#This Row],[Sep AC]]-Financials20263[[#This Row],[Sep FC]]</f>
        <v>0</v>
      </c>
      <c r="BL58" s="71">
        <f>Financials20263[[#This Row],[Oct AC]]-Financials20263[[#This Row],[Oct FC]]</f>
        <v>0</v>
      </c>
      <c r="BM58" s="71">
        <f>Financials20263[[#This Row],[Nov AC]]-Financials20263[[#This Row],[Nov FC]]</f>
        <v>0</v>
      </c>
      <c r="BN58" s="71">
        <f>Financials20263[[#This Row],[Dec AC]]-Financials20263[[#This Row],[Dec FC]]</f>
        <v>0</v>
      </c>
      <c r="BO58" s="71">
        <f>SUM(Financials20263[[#This Row],[Jan Opp/Risk]:[Dec Opp./Risk]])</f>
        <v>83.849999999999909</v>
      </c>
      <c r="BP58" s="87" t="s">
        <v>519</v>
      </c>
      <c r="BQ58" s="47">
        <f>SUM(Financials20263[[#This Row],[Jan AC]:[May AC]])</f>
        <v>1472.85</v>
      </c>
      <c r="BR58" s="6">
        <f>Financials20263[[#This Row],[2026 (Actuals + Forecast)]]-Financials20263[[#This Row],[Jan-May Actuals]]-Financials20263[[#This Row],[Jun-Dec FC]]</f>
        <v>0</v>
      </c>
      <c r="BS58" s="6">
        <f>Financials20263[[#This Row],[Jun-Dec FC]]+Financials20263[[#This Row],[Jan-May Forecast ]]</f>
        <v>0</v>
      </c>
      <c r="BT58" s="6">
        <f>SUM(Financials20263[[#This Row],[Jan FC]:[May FC]])</f>
        <v>1389</v>
      </c>
      <c r="BU58" s="6">
        <f>Financials20263[[#This Row],[Jan-May Actuals]]+Financials20263[[#This Row],[Forecast Jun-Dec]]</f>
        <v>1472.85</v>
      </c>
      <c r="BV58" s="6"/>
      <c r="BW58" s="6"/>
      <c r="BX58" s="6"/>
    </row>
    <row r="59" spans="1:76" x14ac:dyDescent="0.3">
      <c r="A59" s="22" t="s">
        <v>101</v>
      </c>
      <c r="B59" s="21" t="s">
        <v>67</v>
      </c>
      <c r="C59" s="21" t="s">
        <v>260</v>
      </c>
      <c r="D59" s="10" t="s">
        <v>17</v>
      </c>
      <c r="E59" s="7" t="s">
        <v>103</v>
      </c>
      <c r="F59" s="3" t="s">
        <v>104</v>
      </c>
      <c r="G59" s="3" t="s">
        <v>49</v>
      </c>
      <c r="H59" s="4">
        <v>45809</v>
      </c>
      <c r="I59" s="4">
        <v>46904</v>
      </c>
      <c r="J59" s="3" t="s">
        <v>261</v>
      </c>
      <c r="K59" s="3" t="str">
        <f t="shared" si="0"/>
        <v>Prj000350-Support - Infrastructure for Tech</v>
      </c>
      <c r="L59" s="21" t="s">
        <v>106</v>
      </c>
      <c r="M59" s="21" t="s">
        <v>7</v>
      </c>
      <c r="N59" s="21" t="s">
        <v>7</v>
      </c>
      <c r="O59" s="21" t="s">
        <v>262</v>
      </c>
      <c r="P59" s="21" t="s">
        <v>107</v>
      </c>
      <c r="Q59" s="21" t="s">
        <v>108</v>
      </c>
      <c r="R59" s="21" t="s">
        <v>108</v>
      </c>
      <c r="S59" s="21" t="s">
        <v>109</v>
      </c>
      <c r="T59" s="5">
        <v>1916944.1866666665</v>
      </c>
      <c r="U59" s="15">
        <v>1900385</v>
      </c>
      <c r="V59" s="15">
        <v>1900385</v>
      </c>
      <c r="W59" s="15">
        <f t="shared" si="1"/>
        <v>2073920.716666667</v>
      </c>
      <c r="X59" s="15">
        <f t="shared" si="7"/>
        <v>0</v>
      </c>
      <c r="Y59" s="15">
        <f t="shared" si="2"/>
        <v>173535.71666666702</v>
      </c>
      <c r="Z59" s="15">
        <f>SUM(Financials20263[[#This Row],[2026 Opportunity]:[2026 Risk]])</f>
        <v>173535.71666666702</v>
      </c>
      <c r="AA59" s="3" t="s">
        <v>436</v>
      </c>
      <c r="AB59" s="51">
        <f t="shared" ref="AB59:AT59" si="25">(1900385/12)</f>
        <v>158365.41666666666</v>
      </c>
      <c r="AC59" s="51">
        <f t="shared" si="25"/>
        <v>158365.41666666666</v>
      </c>
      <c r="AD59" s="51">
        <f t="shared" si="25"/>
        <v>158365.41666666666</v>
      </c>
      <c r="AE59" s="51">
        <f t="shared" si="25"/>
        <v>158365.41666666666</v>
      </c>
      <c r="AF59" s="51">
        <f t="shared" si="25"/>
        <v>158365.41666666666</v>
      </c>
      <c r="AG59" s="51">
        <f>(2197874.8/12)</f>
        <v>183156.23333333331</v>
      </c>
      <c r="AH59" s="51">
        <f t="shared" ref="AH59:AM59" si="26">(2197874.8/12)</f>
        <v>183156.23333333331</v>
      </c>
      <c r="AI59" s="51">
        <f t="shared" si="26"/>
        <v>183156.23333333331</v>
      </c>
      <c r="AJ59" s="51">
        <f t="shared" si="26"/>
        <v>183156.23333333331</v>
      </c>
      <c r="AK59" s="51">
        <f t="shared" si="26"/>
        <v>183156.23333333331</v>
      </c>
      <c r="AL59" s="51">
        <f t="shared" si="26"/>
        <v>183156.23333333331</v>
      </c>
      <c r="AM59" s="51">
        <f t="shared" si="26"/>
        <v>183156.23333333331</v>
      </c>
      <c r="AN59" s="51">
        <f>SUM(Financials20263[[#This Row],[Jan FC]:[Dec FC]])</f>
        <v>2073920.7166666668</v>
      </c>
      <c r="AO59" s="15">
        <f t="shared" si="5"/>
        <v>1282093.6333333333</v>
      </c>
      <c r="AP59" s="60">
        <f t="shared" si="25"/>
        <v>158365.41666666666</v>
      </c>
      <c r="AQ59" s="60">
        <f t="shared" si="25"/>
        <v>158365.41666666666</v>
      </c>
      <c r="AR59" s="60">
        <f t="shared" si="25"/>
        <v>158365.41666666666</v>
      </c>
      <c r="AS59" s="60">
        <f t="shared" si="25"/>
        <v>158365.41666666666</v>
      </c>
      <c r="AT59" s="60">
        <f t="shared" si="25"/>
        <v>158365.41666666666</v>
      </c>
      <c r="AU59" s="60"/>
      <c r="AV59" s="60"/>
      <c r="AW59" s="60"/>
      <c r="AX59" s="60"/>
      <c r="AY59" s="60"/>
      <c r="AZ59" s="60"/>
      <c r="BA59" s="60"/>
      <c r="BB59" s="79">
        <f>SUM(Financials20263[[#This Row],[Jan AC]:[Dec AC]])</f>
        <v>791827.08333333326</v>
      </c>
      <c r="BC59" s="71">
        <f>Financials20263[[#This Row],[Jan AC]]-Financials20263[[#This Row],[Jan FC]]</f>
        <v>0</v>
      </c>
      <c r="BD59" s="71">
        <f>Financials20263[[#This Row],[Feb AC]]-Financials20263[[#This Row],[Feb FC]]</f>
        <v>0</v>
      </c>
      <c r="BE59" s="71">
        <f>Financials20263[[#This Row],[Mar AC]]-Financials20263[[#This Row],[Mar FC]]</f>
        <v>0</v>
      </c>
      <c r="BF59" s="71">
        <f>Financials20263[[#This Row],[Apr AC]]-Financials20263[[#This Row],[Apr FC]]</f>
        <v>0</v>
      </c>
      <c r="BG59" s="71">
        <f>Financials20263[[#This Row],[May AC]]-Financials20263[[#This Row],[May FC]]</f>
        <v>0</v>
      </c>
      <c r="BH59" s="71">
        <f>Financials20263[[#This Row],[Jun AC]]-Financials20263[[#This Row],[Jun FC]]</f>
        <v>-183156.23333333331</v>
      </c>
      <c r="BI59" s="71">
        <f>Financials20263[[#This Row],[Jul AC]]-Financials20263[[#This Row],[Jul FC]]</f>
        <v>-183156.23333333331</v>
      </c>
      <c r="BJ59" s="71">
        <f>Financials20263[[#This Row],[Aug AC]]-Financials20263[[#This Row],[Aug FC]]</f>
        <v>-183156.23333333331</v>
      </c>
      <c r="BK59" s="71">
        <f>Financials20263[[#This Row],[Sep AC]]-Financials20263[[#This Row],[Sep FC]]</f>
        <v>-183156.23333333331</v>
      </c>
      <c r="BL59" s="71">
        <f>Financials20263[[#This Row],[Oct AC]]-Financials20263[[#This Row],[Oct FC]]</f>
        <v>-183156.23333333331</v>
      </c>
      <c r="BM59" s="71">
        <f>Financials20263[[#This Row],[Nov AC]]-Financials20263[[#This Row],[Nov FC]]</f>
        <v>-183156.23333333331</v>
      </c>
      <c r="BN59" s="71">
        <f>Financials20263[[#This Row],[Dec AC]]-Financials20263[[#This Row],[Dec FC]]</f>
        <v>-183156.23333333331</v>
      </c>
      <c r="BO59" s="71">
        <f>SUM(Financials20263[[#This Row],[Jan Opp/Risk]:[Dec Opp./Risk]])</f>
        <v>-1282093.6333333333</v>
      </c>
      <c r="BP59" s="86"/>
      <c r="BQ59" s="47">
        <f>SUM(Financials20263[[#This Row],[Jan AC]:[May AC]])</f>
        <v>791827.08333333326</v>
      </c>
      <c r="BR59" s="6">
        <f>Financials20263[[#This Row],[2026 (Actuals + Forecast)]]-Financials20263[[#This Row],[Jan-May Actuals]]-Financials20263[[#This Row],[Jun-Dec FC]]</f>
        <v>0</v>
      </c>
      <c r="BS59" s="6">
        <f>Financials20263[[#This Row],[Jun-Dec FC]]+Financials20263[[#This Row],[Jan-May Forecast ]]</f>
        <v>1282093.6333333333</v>
      </c>
      <c r="BT59" s="6">
        <f>SUM(Financials20263[[#This Row],[Jan FC]:[May FC]])</f>
        <v>791827.08333333326</v>
      </c>
      <c r="BU59" s="6">
        <f>Financials20263[[#This Row],[Jan-May Actuals]]+Financials20263[[#This Row],[Forecast Jun-Dec]]</f>
        <v>2073920.7166666666</v>
      </c>
      <c r="BV59" s="6"/>
      <c r="BW59" s="6"/>
      <c r="BX59" s="6"/>
    </row>
    <row r="60" spans="1:76" x14ac:dyDescent="0.3">
      <c r="A60" s="22" t="s">
        <v>101</v>
      </c>
      <c r="B60" s="21" t="s">
        <v>77</v>
      </c>
      <c r="C60" s="21" t="s">
        <v>263</v>
      </c>
      <c r="D60" s="10" t="s">
        <v>24</v>
      </c>
      <c r="E60" s="7" t="s">
        <v>252</v>
      </c>
      <c r="F60" s="3" t="s">
        <v>104</v>
      </c>
      <c r="G60" s="3" t="s">
        <v>49</v>
      </c>
      <c r="H60" s="4">
        <v>45822</v>
      </c>
      <c r="I60" s="4">
        <v>46186</v>
      </c>
      <c r="J60" s="3" t="s">
        <v>264</v>
      </c>
      <c r="K60" s="3" t="str">
        <f t="shared" si="0"/>
        <v>Prj000410-Support - Tech Enablement 2026</v>
      </c>
      <c r="L60" s="21" t="s">
        <v>106</v>
      </c>
      <c r="M60" s="21" t="s">
        <v>7</v>
      </c>
      <c r="N60" s="21" t="s">
        <v>7</v>
      </c>
      <c r="O60" s="21"/>
      <c r="P60" s="21" t="s">
        <v>107</v>
      </c>
      <c r="Q60" s="21" t="s">
        <v>108</v>
      </c>
      <c r="R60" s="21" t="s">
        <v>108</v>
      </c>
      <c r="S60" s="21" t="s">
        <v>109</v>
      </c>
      <c r="T60" s="5">
        <v>174358</v>
      </c>
      <c r="U60" s="15">
        <v>307613.80000000005</v>
      </c>
      <c r="V60" s="15">
        <v>307613.80000000005</v>
      </c>
      <c r="W60" s="15">
        <f t="shared" si="1"/>
        <v>305666.66666666669</v>
      </c>
      <c r="X60" s="15">
        <f t="shared" si="7"/>
        <v>-1947.1333333333605</v>
      </c>
      <c r="Y60" s="15">
        <f t="shared" si="2"/>
        <v>0</v>
      </c>
      <c r="Z60" s="15">
        <f>SUM(Financials20263[[#This Row],[2026 Opportunity]:[2026 Risk]])</f>
        <v>-1947.1333333333605</v>
      </c>
      <c r="AA60" s="3" t="s">
        <v>437</v>
      </c>
      <c r="AB60" s="51">
        <v>24908.333333333332</v>
      </c>
      <c r="AC60" s="51">
        <v>24908.333333333332</v>
      </c>
      <c r="AD60" s="51">
        <v>24908.333333333332</v>
      </c>
      <c r="AE60" s="51">
        <v>24908.333333333332</v>
      </c>
      <c r="AF60" s="51">
        <v>24908.333333333332</v>
      </c>
      <c r="AG60" s="51">
        <v>25875</v>
      </c>
      <c r="AH60" s="51">
        <v>25875</v>
      </c>
      <c r="AI60" s="51">
        <v>25875</v>
      </c>
      <c r="AJ60" s="51">
        <v>25875</v>
      </c>
      <c r="AK60" s="51">
        <v>25875</v>
      </c>
      <c r="AL60" s="51">
        <v>25875</v>
      </c>
      <c r="AM60" s="51">
        <v>25875</v>
      </c>
      <c r="AN60" s="51">
        <f>SUM(Financials20263[[#This Row],[Jan FC]:[Dec FC]])</f>
        <v>305666.66666666663</v>
      </c>
      <c r="AO60" s="15">
        <f t="shared" si="5"/>
        <v>181125</v>
      </c>
      <c r="AP60" s="61">
        <f>298900/12</f>
        <v>24908.333333333332</v>
      </c>
      <c r="AQ60" s="61">
        <f>298900/12</f>
        <v>24908.333333333332</v>
      </c>
      <c r="AR60" s="61">
        <f>298900/12</f>
        <v>24908.333333333332</v>
      </c>
      <c r="AS60" s="61">
        <f>298900/12</f>
        <v>24908.333333333332</v>
      </c>
      <c r="AT60" s="61">
        <f>298900/12</f>
        <v>24908.333333333332</v>
      </c>
      <c r="AU60" s="60">
        <v>25875</v>
      </c>
      <c r="AV60" s="60">
        <v>25875</v>
      </c>
      <c r="AW60" s="60">
        <v>25875</v>
      </c>
      <c r="AX60" s="60">
        <v>25875</v>
      </c>
      <c r="AY60" s="60">
        <v>25875</v>
      </c>
      <c r="AZ60" s="60">
        <v>25875</v>
      </c>
      <c r="BA60" s="60">
        <v>25875</v>
      </c>
      <c r="BB60" s="79">
        <f>SUM(Financials20263[[#This Row],[Jan AC]:[Dec AC]])</f>
        <v>305666.66666666663</v>
      </c>
      <c r="BC60" s="71">
        <f>Financials20263[[#This Row],[Jan AC]]-Financials20263[[#This Row],[Jan FC]]</f>
        <v>0</v>
      </c>
      <c r="BD60" s="71">
        <f>Financials20263[[#This Row],[Feb AC]]-Financials20263[[#This Row],[Feb FC]]</f>
        <v>0</v>
      </c>
      <c r="BE60" s="71">
        <f>Financials20263[[#This Row],[Mar AC]]-Financials20263[[#This Row],[Mar FC]]</f>
        <v>0</v>
      </c>
      <c r="BF60" s="71">
        <f>Financials20263[[#This Row],[Apr AC]]-Financials20263[[#This Row],[Apr FC]]</f>
        <v>0</v>
      </c>
      <c r="BG60" s="71">
        <f>Financials20263[[#This Row],[May AC]]-Financials20263[[#This Row],[May FC]]</f>
        <v>0</v>
      </c>
      <c r="BH60" s="71">
        <f>Financials20263[[#This Row],[Jun AC]]-Financials20263[[#This Row],[Jun FC]]</f>
        <v>0</v>
      </c>
      <c r="BI60" s="71">
        <f>Financials20263[[#This Row],[Jul AC]]-Financials20263[[#This Row],[Jul FC]]</f>
        <v>0</v>
      </c>
      <c r="BJ60" s="71">
        <f>Financials20263[[#This Row],[Aug AC]]-Financials20263[[#This Row],[Aug FC]]</f>
        <v>0</v>
      </c>
      <c r="BK60" s="71">
        <f>Financials20263[[#This Row],[Sep AC]]-Financials20263[[#This Row],[Sep FC]]</f>
        <v>0</v>
      </c>
      <c r="BL60" s="71">
        <f>Financials20263[[#This Row],[Oct AC]]-Financials20263[[#This Row],[Oct FC]]</f>
        <v>0</v>
      </c>
      <c r="BM60" s="71">
        <f>Financials20263[[#This Row],[Nov AC]]-Financials20263[[#This Row],[Nov FC]]</f>
        <v>0</v>
      </c>
      <c r="BN60" s="71">
        <f>Financials20263[[#This Row],[Dec AC]]-Financials20263[[#This Row],[Dec FC]]</f>
        <v>0</v>
      </c>
      <c r="BO60" s="71">
        <f>SUM(Financials20263[[#This Row],[Jan Opp/Risk]:[Dec Opp./Risk]])</f>
        <v>0</v>
      </c>
      <c r="BP60" s="87" t="s">
        <v>653</v>
      </c>
      <c r="BQ60" s="47">
        <f>SUM(Financials20263[[#This Row],[Jan AC]:[May AC]])</f>
        <v>124541.66666666666</v>
      </c>
      <c r="BR60" s="6">
        <f>Financials20263[[#This Row],[2026 (Actuals + Forecast)]]-Financials20263[[#This Row],[Jan-May Actuals]]-Financials20263[[#This Row],[Jun-Dec FC]]</f>
        <v>0</v>
      </c>
      <c r="BS60" s="6">
        <f>Financials20263[[#This Row],[Jun-Dec FC]]+Financials20263[[#This Row],[Jan-May Forecast ]]</f>
        <v>181125</v>
      </c>
      <c r="BT60" s="6">
        <f>SUM(Financials20263[[#This Row],[Jan FC]:[May FC]])</f>
        <v>124541.66666666666</v>
      </c>
      <c r="BU60" s="6">
        <f>Financials20263[[#This Row],[Jan-May Actuals]]+Financials20263[[#This Row],[Forecast Jun-Dec]]</f>
        <v>305666.66666666663</v>
      </c>
      <c r="BV60" s="6"/>
      <c r="BW60" s="6"/>
      <c r="BX60" s="6"/>
    </row>
    <row r="61" spans="1:76" x14ac:dyDescent="0.3">
      <c r="A61" s="22" t="s">
        <v>101</v>
      </c>
      <c r="B61" s="21" t="s">
        <v>74</v>
      </c>
      <c r="C61" s="21" t="s">
        <v>265</v>
      </c>
      <c r="D61" s="10" t="s">
        <v>17</v>
      </c>
      <c r="E61" s="7" t="s">
        <v>103</v>
      </c>
      <c r="F61" s="3" t="s">
        <v>104</v>
      </c>
      <c r="G61" s="3" t="s">
        <v>49</v>
      </c>
      <c r="H61" s="4">
        <v>46010</v>
      </c>
      <c r="I61" s="4">
        <v>46374</v>
      </c>
      <c r="J61" s="3" t="s">
        <v>266</v>
      </c>
      <c r="K61" s="3" t="str">
        <f t="shared" si="0"/>
        <v>Prj000350-Support - Infrastructure for Tech</v>
      </c>
      <c r="L61" s="21" t="s">
        <v>106</v>
      </c>
      <c r="M61" s="21" t="s">
        <v>7</v>
      </c>
      <c r="N61" s="21" t="s">
        <v>7</v>
      </c>
      <c r="O61" s="21" t="s">
        <v>267</v>
      </c>
      <c r="P61" s="21" t="s">
        <v>107</v>
      </c>
      <c r="Q61" s="21" t="s">
        <v>108</v>
      </c>
      <c r="R61" s="21" t="s">
        <v>108</v>
      </c>
      <c r="S61" s="21" t="s">
        <v>109</v>
      </c>
      <c r="T61" s="5">
        <v>437527.60583333333</v>
      </c>
      <c r="U61" s="15">
        <v>361049</v>
      </c>
      <c r="V61" s="15">
        <v>361049</v>
      </c>
      <c r="W61" s="15">
        <f t="shared" si="1"/>
        <v>461680.95416666666</v>
      </c>
      <c r="X61" s="15">
        <f t="shared" si="7"/>
        <v>0</v>
      </c>
      <c r="Y61" s="15">
        <f t="shared" si="2"/>
        <v>100631.95416666666</v>
      </c>
      <c r="Z61" s="15">
        <f>SUM(Financials20263[[#This Row],[2026 Opportunity]:[2026 Risk]])</f>
        <v>100631.95416666666</v>
      </c>
      <c r="AA61" s="3" t="s">
        <v>438</v>
      </c>
      <c r="AB61" s="52">
        <v>41970.995833333327</v>
      </c>
      <c r="AC61" s="52">
        <v>41970.995833333327</v>
      </c>
      <c r="AD61" s="52">
        <v>41970.995833333327</v>
      </c>
      <c r="AE61" s="52">
        <v>41970.995833333327</v>
      </c>
      <c r="AF61" s="52">
        <v>41970.995833333327</v>
      </c>
      <c r="AG61" s="52">
        <v>41970.995833333327</v>
      </c>
      <c r="AH61" s="52">
        <v>41970.995833333327</v>
      </c>
      <c r="AI61" s="52">
        <v>41970.995833333327</v>
      </c>
      <c r="AJ61" s="52">
        <v>41970.995833333327</v>
      </c>
      <c r="AK61" s="52">
        <v>41970.995833333327</v>
      </c>
      <c r="AL61" s="52">
        <v>41970.995833333327</v>
      </c>
      <c r="AM61" s="51"/>
      <c r="AN61" s="51">
        <f>SUM(Financials20263[[#This Row],[Jan FC]:[Dec FC]])</f>
        <v>461680.95416666666</v>
      </c>
      <c r="AO61" s="15">
        <f t="shared" si="5"/>
        <v>251825.97499999995</v>
      </c>
      <c r="AP61" s="61">
        <f t="shared" ref="AP61:AZ61" si="27">((109780.1+393871.85)/12)</f>
        <v>41970.995833333327</v>
      </c>
      <c r="AQ61" s="61">
        <f t="shared" si="27"/>
        <v>41970.995833333327</v>
      </c>
      <c r="AR61" s="61">
        <f t="shared" si="27"/>
        <v>41970.995833333327</v>
      </c>
      <c r="AS61" s="61">
        <f t="shared" si="27"/>
        <v>41970.995833333327</v>
      </c>
      <c r="AT61" s="61">
        <f t="shared" si="27"/>
        <v>41970.995833333327</v>
      </c>
      <c r="AU61" s="61">
        <f t="shared" si="27"/>
        <v>41970.995833333327</v>
      </c>
      <c r="AV61" s="61">
        <f t="shared" si="27"/>
        <v>41970.995833333327</v>
      </c>
      <c r="AW61" s="61">
        <f t="shared" si="27"/>
        <v>41970.995833333327</v>
      </c>
      <c r="AX61" s="61">
        <f t="shared" si="27"/>
        <v>41970.995833333327</v>
      </c>
      <c r="AY61" s="61">
        <f t="shared" si="27"/>
        <v>41970.995833333327</v>
      </c>
      <c r="AZ61" s="61">
        <f t="shared" si="27"/>
        <v>41970.995833333327</v>
      </c>
      <c r="BA61" s="60"/>
      <c r="BB61" s="79">
        <f>SUM(Financials20263[[#This Row],[Jan AC]:[Dec AC]])</f>
        <v>461680.95416666666</v>
      </c>
      <c r="BC61" s="71">
        <f>Financials20263[[#This Row],[Jan AC]]-Financials20263[[#This Row],[Jan FC]]</f>
        <v>0</v>
      </c>
      <c r="BD61" s="71">
        <f>Financials20263[[#This Row],[Feb AC]]-Financials20263[[#This Row],[Feb FC]]</f>
        <v>0</v>
      </c>
      <c r="BE61" s="71">
        <f>Financials20263[[#This Row],[Mar AC]]-Financials20263[[#This Row],[Mar FC]]</f>
        <v>0</v>
      </c>
      <c r="BF61" s="71">
        <f>Financials20263[[#This Row],[Apr AC]]-Financials20263[[#This Row],[Apr FC]]</f>
        <v>0</v>
      </c>
      <c r="BG61" s="71">
        <f>Financials20263[[#This Row],[May AC]]-Financials20263[[#This Row],[May FC]]</f>
        <v>0</v>
      </c>
      <c r="BH61" s="71">
        <f>Financials20263[[#This Row],[Jun AC]]-Financials20263[[#This Row],[Jun FC]]</f>
        <v>0</v>
      </c>
      <c r="BI61" s="71">
        <f>Financials20263[[#This Row],[Jul AC]]-Financials20263[[#This Row],[Jul FC]]</f>
        <v>0</v>
      </c>
      <c r="BJ61" s="71">
        <f>Financials20263[[#This Row],[Aug AC]]-Financials20263[[#This Row],[Aug FC]]</f>
        <v>0</v>
      </c>
      <c r="BK61" s="71">
        <f>Financials20263[[#This Row],[Sep AC]]-Financials20263[[#This Row],[Sep FC]]</f>
        <v>0</v>
      </c>
      <c r="BL61" s="71">
        <f>Financials20263[[#This Row],[Oct AC]]-Financials20263[[#This Row],[Oct FC]]</f>
        <v>0</v>
      </c>
      <c r="BM61" s="71">
        <f>Financials20263[[#This Row],[Nov AC]]-Financials20263[[#This Row],[Nov FC]]</f>
        <v>0</v>
      </c>
      <c r="BN61" s="71">
        <f>Financials20263[[#This Row],[Dec AC]]-Financials20263[[#This Row],[Dec FC]]</f>
        <v>0</v>
      </c>
      <c r="BO61" s="71">
        <f>SUM(Financials20263[[#This Row],[Jan Opp/Risk]:[Dec Opp./Risk]])</f>
        <v>0</v>
      </c>
      <c r="BP61" s="87" t="s">
        <v>480</v>
      </c>
      <c r="BQ61" s="47">
        <f>SUM(Financials20263[[#This Row],[Jan AC]:[May AC]])</f>
        <v>209854.97916666663</v>
      </c>
      <c r="BR61" s="6">
        <f>Financials20263[[#This Row],[2026 (Actuals + Forecast)]]-Financials20263[[#This Row],[Jan-May Actuals]]-Financials20263[[#This Row],[Jun-Dec FC]]</f>
        <v>0</v>
      </c>
      <c r="BS61" s="6">
        <f>Financials20263[[#This Row],[Jun-Dec FC]]+Financials20263[[#This Row],[Jan-May Forecast ]]</f>
        <v>251825.97499999995</v>
      </c>
      <c r="BT61" s="6">
        <f>SUM(Financials20263[[#This Row],[Jan FC]:[May FC]])</f>
        <v>209854.97916666663</v>
      </c>
      <c r="BU61" s="6">
        <f>Financials20263[[#This Row],[Jan-May Actuals]]+Financials20263[[#This Row],[Forecast Jun-Dec]]</f>
        <v>461680.9541666666</v>
      </c>
      <c r="BV61" s="6"/>
      <c r="BW61" s="6"/>
      <c r="BX61" s="6"/>
    </row>
    <row r="62" spans="1:76" x14ac:dyDescent="0.3">
      <c r="A62" s="22" t="s">
        <v>101</v>
      </c>
      <c r="B62" s="21" t="s">
        <v>74</v>
      </c>
      <c r="C62" s="21" t="s">
        <v>265</v>
      </c>
      <c r="D62" s="10" t="s">
        <v>17</v>
      </c>
      <c r="E62" s="7" t="s">
        <v>103</v>
      </c>
      <c r="F62" s="3" t="s">
        <v>104</v>
      </c>
      <c r="G62" s="3" t="s">
        <v>49</v>
      </c>
      <c r="H62" s="4">
        <v>45645</v>
      </c>
      <c r="I62" s="4">
        <v>46009</v>
      </c>
      <c r="J62" s="3" t="s">
        <v>268</v>
      </c>
      <c r="K62" s="3" t="str">
        <f t="shared" si="0"/>
        <v>Prj000350-Support - Infrastructure for Tech</v>
      </c>
      <c r="L62" s="21" t="s">
        <v>106</v>
      </c>
      <c r="M62" s="21" t="s">
        <v>7</v>
      </c>
      <c r="N62" s="21" t="s">
        <v>7</v>
      </c>
      <c r="O62" s="21" t="s">
        <v>269</v>
      </c>
      <c r="P62" s="21" t="s">
        <v>107</v>
      </c>
      <c r="Q62" s="21" t="s">
        <v>108</v>
      </c>
      <c r="R62" s="21" t="s">
        <v>108</v>
      </c>
      <c r="S62" s="21" t="s">
        <v>132</v>
      </c>
      <c r="T62" s="5">
        <v>0</v>
      </c>
      <c r="U62" s="15">
        <v>34875</v>
      </c>
      <c r="V62" s="15">
        <v>34875</v>
      </c>
      <c r="W62" s="15">
        <f t="shared" si="1"/>
        <v>34875</v>
      </c>
      <c r="X62" s="15">
        <f t="shared" si="7"/>
        <v>0</v>
      </c>
      <c r="Y62" s="15">
        <f t="shared" si="2"/>
        <v>0</v>
      </c>
      <c r="Z62" s="15">
        <f>SUM(Financials20263[[#This Row],[2026 Opportunity]:[2026 Risk]])</f>
        <v>0</v>
      </c>
      <c r="AA62" s="3" t="s">
        <v>439</v>
      </c>
      <c r="AB62" s="52"/>
      <c r="AC62" s="52"/>
      <c r="AD62" s="52">
        <v>34875</v>
      </c>
      <c r="AE62" s="52"/>
      <c r="AF62" s="52"/>
      <c r="AG62" s="51"/>
      <c r="AH62" s="52"/>
      <c r="AI62" s="52"/>
      <c r="AJ62" s="52"/>
      <c r="AK62" s="52"/>
      <c r="AL62" s="51"/>
      <c r="AM62" s="51"/>
      <c r="AN62" s="51">
        <f>SUM(Financials20263[[#This Row],[Jan FC]:[Dec FC]])</f>
        <v>34875</v>
      </c>
      <c r="AO62" s="15">
        <f t="shared" si="5"/>
        <v>0</v>
      </c>
      <c r="AP62" s="61"/>
      <c r="AQ62" s="61"/>
      <c r="AR62" s="61"/>
      <c r="AS62" s="61"/>
      <c r="AT62" s="61"/>
      <c r="AU62" s="60"/>
      <c r="AV62" s="61"/>
      <c r="AW62" s="61"/>
      <c r="AX62" s="61"/>
      <c r="AY62" s="61"/>
      <c r="AZ62" s="60"/>
      <c r="BA62" s="60"/>
      <c r="BB62" s="79">
        <f>SUM(Financials20263[[#This Row],[Jan AC]:[Dec AC]])</f>
        <v>0</v>
      </c>
      <c r="BC62" s="71">
        <f>Financials20263[[#This Row],[Jan AC]]-Financials20263[[#This Row],[Jan FC]]</f>
        <v>0</v>
      </c>
      <c r="BD62" s="71">
        <f>Financials20263[[#This Row],[Feb AC]]-Financials20263[[#This Row],[Feb FC]]</f>
        <v>0</v>
      </c>
      <c r="BE62" s="71">
        <f>Financials20263[[#This Row],[Mar AC]]-Financials20263[[#This Row],[Mar FC]]</f>
        <v>-34875</v>
      </c>
      <c r="BF62" s="71">
        <f>Financials20263[[#This Row],[Apr AC]]-Financials20263[[#This Row],[Apr FC]]</f>
        <v>0</v>
      </c>
      <c r="BG62" s="71">
        <f>Financials20263[[#This Row],[May AC]]-Financials20263[[#This Row],[May FC]]</f>
        <v>0</v>
      </c>
      <c r="BH62" s="71">
        <f>Financials20263[[#This Row],[Jun AC]]-Financials20263[[#This Row],[Jun FC]]</f>
        <v>0</v>
      </c>
      <c r="BI62" s="71">
        <f>Financials20263[[#This Row],[Jul AC]]-Financials20263[[#This Row],[Jul FC]]</f>
        <v>0</v>
      </c>
      <c r="BJ62" s="71">
        <f>Financials20263[[#This Row],[Aug AC]]-Financials20263[[#This Row],[Aug FC]]</f>
        <v>0</v>
      </c>
      <c r="BK62" s="71">
        <f>Financials20263[[#This Row],[Sep AC]]-Financials20263[[#This Row],[Sep FC]]</f>
        <v>0</v>
      </c>
      <c r="BL62" s="71">
        <f>Financials20263[[#This Row],[Oct AC]]-Financials20263[[#This Row],[Oct FC]]</f>
        <v>0</v>
      </c>
      <c r="BM62" s="71">
        <f>Financials20263[[#This Row],[Nov AC]]-Financials20263[[#This Row],[Nov FC]]</f>
        <v>0</v>
      </c>
      <c r="BN62" s="71">
        <f>Financials20263[[#This Row],[Dec AC]]-Financials20263[[#This Row],[Dec FC]]</f>
        <v>0</v>
      </c>
      <c r="BO62" s="71">
        <f>SUM(Financials20263[[#This Row],[Jan Opp/Risk]:[Dec Opp./Risk]])</f>
        <v>-34875</v>
      </c>
      <c r="BP62" s="87"/>
      <c r="BQ62" s="47">
        <f>SUM(Financials20263[[#This Row],[Jan AC]:[May AC]])</f>
        <v>0</v>
      </c>
      <c r="BR62" s="6">
        <f>Financials20263[[#This Row],[2026 (Actuals + Forecast)]]-Financials20263[[#This Row],[Jan-May Actuals]]-Financials20263[[#This Row],[Jun-Dec FC]]</f>
        <v>34875</v>
      </c>
      <c r="BS62" s="6">
        <f>Financials20263[[#This Row],[Jun-Dec FC]]+Financials20263[[#This Row],[Jan-May Forecast ]]</f>
        <v>34875</v>
      </c>
      <c r="BT62" s="6">
        <f>SUM(Financials20263[[#This Row],[Jan FC]:[May FC]])</f>
        <v>34875</v>
      </c>
      <c r="BU62" s="6">
        <f>Financials20263[[#This Row],[Jan-May Actuals]]+Financials20263[[#This Row],[Forecast Jun-Dec]]</f>
        <v>34875</v>
      </c>
      <c r="BV62" s="6"/>
      <c r="BW62" s="6"/>
      <c r="BX62" s="6"/>
    </row>
    <row r="63" spans="1:76" x14ac:dyDescent="0.3">
      <c r="A63" s="22" t="s">
        <v>101</v>
      </c>
      <c r="B63" s="21" t="s">
        <v>74</v>
      </c>
      <c r="C63" s="21" t="s">
        <v>265</v>
      </c>
      <c r="D63" s="10" t="s">
        <v>17</v>
      </c>
      <c r="E63" s="7" t="s">
        <v>103</v>
      </c>
      <c r="F63" s="3" t="s">
        <v>104</v>
      </c>
      <c r="G63" s="3" t="s">
        <v>49</v>
      </c>
      <c r="H63" s="4">
        <v>46010</v>
      </c>
      <c r="I63" s="4">
        <v>46374</v>
      </c>
      <c r="J63" s="3" t="s">
        <v>270</v>
      </c>
      <c r="K63" s="3" t="str">
        <f t="shared" si="0"/>
        <v>Prj000350-Support - Infrastructure for Tech</v>
      </c>
      <c r="L63" s="21" t="s">
        <v>106</v>
      </c>
      <c r="M63" s="21" t="s">
        <v>7</v>
      </c>
      <c r="N63" s="21" t="s">
        <v>7</v>
      </c>
      <c r="O63" s="21" t="s">
        <v>271</v>
      </c>
      <c r="P63" s="21" t="s">
        <v>107</v>
      </c>
      <c r="Q63" s="21" t="s">
        <v>108</v>
      </c>
      <c r="R63" s="21" t="s">
        <v>108</v>
      </c>
      <c r="S63" s="21" t="s">
        <v>132</v>
      </c>
      <c r="T63" s="5">
        <v>54369.49</v>
      </c>
      <c r="U63" s="15">
        <v>57087.964500000002</v>
      </c>
      <c r="V63" s="15">
        <v>57087.964500000002</v>
      </c>
      <c r="W63" s="15">
        <f t="shared" si="1"/>
        <v>57087.964500000002</v>
      </c>
      <c r="X63" s="15">
        <f t="shared" si="7"/>
        <v>0</v>
      </c>
      <c r="Y63" s="15">
        <f t="shared" si="2"/>
        <v>0</v>
      </c>
      <c r="Z63" s="15">
        <f>SUM(Financials20263[[#This Row],[2026 Opportunity]:[2026 Risk]])</f>
        <v>0</v>
      </c>
      <c r="AA63" s="3" t="s">
        <v>440</v>
      </c>
      <c r="AB63" s="52"/>
      <c r="AC63" s="52"/>
      <c r="AD63" s="52"/>
      <c r="AE63" s="52"/>
      <c r="AF63" s="52"/>
      <c r="AG63" s="51"/>
      <c r="AH63" s="52"/>
      <c r="AI63" s="52"/>
      <c r="AJ63" s="52"/>
      <c r="AK63" s="52"/>
      <c r="AL63" s="51"/>
      <c r="AM63" s="111">
        <v>57087.964500000002</v>
      </c>
      <c r="AN63" s="51">
        <f>SUM(Financials20263[[#This Row],[Jan FC]:[Dec FC]])</f>
        <v>57087.964500000002</v>
      </c>
      <c r="AO63" s="15">
        <f t="shared" si="5"/>
        <v>57087.964500000002</v>
      </c>
      <c r="AP63" s="61"/>
      <c r="AQ63" s="61"/>
      <c r="AR63" s="61"/>
      <c r="AS63" s="61"/>
      <c r="AT63" s="61"/>
      <c r="AU63" s="60"/>
      <c r="AV63" s="61"/>
      <c r="AW63" s="61"/>
      <c r="AX63" s="61"/>
      <c r="AY63" s="61"/>
      <c r="AZ63" s="60"/>
      <c r="BA63" s="60"/>
      <c r="BB63" s="79">
        <f>SUM(Financials20263[[#This Row],[Jan AC]:[Dec AC]])</f>
        <v>0</v>
      </c>
      <c r="BC63" s="71">
        <f>Financials20263[[#This Row],[Jan AC]]-Financials20263[[#This Row],[Jan FC]]</f>
        <v>0</v>
      </c>
      <c r="BD63" s="71">
        <f>Financials20263[[#This Row],[Feb AC]]-Financials20263[[#This Row],[Feb FC]]</f>
        <v>0</v>
      </c>
      <c r="BE63" s="71">
        <f>Financials20263[[#This Row],[Mar AC]]-Financials20263[[#This Row],[Mar FC]]</f>
        <v>0</v>
      </c>
      <c r="BF63" s="71">
        <f>Financials20263[[#This Row],[Apr AC]]-Financials20263[[#This Row],[Apr FC]]</f>
        <v>0</v>
      </c>
      <c r="BG63" s="71">
        <f>Financials20263[[#This Row],[May AC]]-Financials20263[[#This Row],[May FC]]</f>
        <v>0</v>
      </c>
      <c r="BH63" s="71">
        <f>Financials20263[[#This Row],[Jun AC]]-Financials20263[[#This Row],[Jun FC]]</f>
        <v>0</v>
      </c>
      <c r="BI63" s="71">
        <f>Financials20263[[#This Row],[Jul AC]]-Financials20263[[#This Row],[Jul FC]]</f>
        <v>0</v>
      </c>
      <c r="BJ63" s="71">
        <f>Financials20263[[#This Row],[Aug AC]]-Financials20263[[#This Row],[Aug FC]]</f>
        <v>0</v>
      </c>
      <c r="BK63" s="71">
        <f>Financials20263[[#This Row],[Sep AC]]-Financials20263[[#This Row],[Sep FC]]</f>
        <v>0</v>
      </c>
      <c r="BL63" s="71">
        <f>Financials20263[[#This Row],[Oct AC]]-Financials20263[[#This Row],[Oct FC]]</f>
        <v>0</v>
      </c>
      <c r="BM63" s="71">
        <f>Financials20263[[#This Row],[Nov AC]]-Financials20263[[#This Row],[Nov FC]]</f>
        <v>0</v>
      </c>
      <c r="BN63" s="71">
        <f>Financials20263[[#This Row],[Dec AC]]-Financials20263[[#This Row],[Dec FC]]</f>
        <v>-57087.964500000002</v>
      </c>
      <c r="BO63" s="71">
        <f>SUM(Financials20263[[#This Row],[Jan Opp/Risk]:[Dec Opp./Risk]])</f>
        <v>-57087.964500000002</v>
      </c>
      <c r="BP63" s="87" t="s">
        <v>519</v>
      </c>
      <c r="BQ63" s="47">
        <f>SUM(Financials20263[[#This Row],[Jan AC]:[May AC]])</f>
        <v>0</v>
      </c>
      <c r="BR63" s="6">
        <f>Financials20263[[#This Row],[2026 (Actuals + Forecast)]]-Financials20263[[#This Row],[Jan-May Actuals]]-Financials20263[[#This Row],[Jun-Dec FC]]</f>
        <v>0</v>
      </c>
      <c r="BS63" s="6">
        <f>Financials20263[[#This Row],[Jun-Dec FC]]+Financials20263[[#This Row],[Jan-May Forecast ]]</f>
        <v>57087.964500000002</v>
      </c>
      <c r="BT63" s="6">
        <f>SUM(Financials20263[[#This Row],[Jan FC]:[May FC]])</f>
        <v>0</v>
      </c>
      <c r="BU63" s="6">
        <f>Financials20263[[#This Row],[Jan-May Actuals]]+Financials20263[[#This Row],[Forecast Jun-Dec]]</f>
        <v>57087.964500000002</v>
      </c>
      <c r="BV63" s="6"/>
      <c r="BW63" s="6"/>
      <c r="BX63" s="6"/>
    </row>
    <row r="64" spans="1:76" x14ac:dyDescent="0.3">
      <c r="A64" s="22" t="s">
        <v>101</v>
      </c>
      <c r="B64" s="21" t="s">
        <v>272</v>
      </c>
      <c r="C64" s="21" t="s">
        <v>273</v>
      </c>
      <c r="D64" s="10" t="s">
        <v>31</v>
      </c>
      <c r="E64" s="7" t="s">
        <v>204</v>
      </c>
      <c r="F64" s="3" t="s">
        <v>205</v>
      </c>
      <c r="G64" s="3" t="s">
        <v>50</v>
      </c>
      <c r="H64" s="4">
        <v>45362</v>
      </c>
      <c r="I64" s="4">
        <v>45726</v>
      </c>
      <c r="J64" s="3" t="s">
        <v>274</v>
      </c>
      <c r="K64" s="3" t="str">
        <f t="shared" si="0"/>
        <v>Prj000469-Support - Prod Support for Ops Apps</v>
      </c>
      <c r="L64" s="21" t="s">
        <v>106</v>
      </c>
      <c r="M64" s="21" t="s">
        <v>7</v>
      </c>
      <c r="N64" s="21" t="s">
        <v>7</v>
      </c>
      <c r="O64" s="21"/>
      <c r="P64" s="21" t="s">
        <v>107</v>
      </c>
      <c r="Q64" s="21" t="s">
        <v>108</v>
      </c>
      <c r="R64" s="21" t="s">
        <v>108</v>
      </c>
      <c r="S64" s="21" t="s">
        <v>132</v>
      </c>
      <c r="T64" s="5">
        <v>8034</v>
      </c>
      <c r="U64" s="15">
        <v>8435.7000000000007</v>
      </c>
      <c r="V64" s="15">
        <v>8435.7000000000007</v>
      </c>
      <c r="W64" s="15">
        <f t="shared" si="1"/>
        <v>8436</v>
      </c>
      <c r="X64" s="15">
        <f t="shared" si="7"/>
        <v>0</v>
      </c>
      <c r="Y64" s="15">
        <f t="shared" si="2"/>
        <v>0.2999999999992724</v>
      </c>
      <c r="Z64" s="15">
        <f>SUM(Financials20263[[#This Row],[2026 Opportunity]:[2026 Risk]])</f>
        <v>0.2999999999992724</v>
      </c>
      <c r="AA64" s="3" t="s">
        <v>275</v>
      </c>
      <c r="AB64" s="52"/>
      <c r="AC64" s="52"/>
      <c r="AD64" s="52"/>
      <c r="AE64" s="52"/>
      <c r="AF64" s="52"/>
      <c r="AG64" s="51"/>
      <c r="AH64" s="52"/>
      <c r="AI64" s="52">
        <v>8436</v>
      </c>
      <c r="AJ64" s="52"/>
      <c r="AK64" s="52"/>
      <c r="AL64" s="52"/>
      <c r="AM64" s="52"/>
      <c r="AN64" s="52">
        <f>SUM(Financials20263[[#This Row],[Jan FC]:[Dec FC]])</f>
        <v>8436</v>
      </c>
      <c r="AO64" s="15">
        <f t="shared" si="5"/>
        <v>8436</v>
      </c>
      <c r="AP64" s="61"/>
      <c r="AQ64" s="61"/>
      <c r="AR64" s="61"/>
      <c r="AS64" s="61"/>
      <c r="AT64" s="61"/>
      <c r="AU64" s="60"/>
      <c r="AV64" s="61"/>
      <c r="AW64" s="61"/>
      <c r="AX64" s="61"/>
      <c r="AY64" s="61"/>
      <c r="AZ64" s="61"/>
      <c r="BA64" s="61"/>
      <c r="BB64" s="80">
        <f>SUM(Financials20263[[#This Row],[Jan AC]:[Dec AC]])</f>
        <v>0</v>
      </c>
      <c r="BC64" s="71">
        <f>Financials20263[[#This Row],[Jan AC]]-Financials20263[[#This Row],[Jan FC]]</f>
        <v>0</v>
      </c>
      <c r="BD64" s="71">
        <f>Financials20263[[#This Row],[Feb AC]]-Financials20263[[#This Row],[Feb FC]]</f>
        <v>0</v>
      </c>
      <c r="BE64" s="71">
        <f>Financials20263[[#This Row],[Mar AC]]-Financials20263[[#This Row],[Mar FC]]</f>
        <v>0</v>
      </c>
      <c r="BF64" s="71">
        <f>Financials20263[[#This Row],[Apr AC]]-Financials20263[[#This Row],[Apr FC]]</f>
        <v>0</v>
      </c>
      <c r="BG64" s="71">
        <f>Financials20263[[#This Row],[May AC]]-Financials20263[[#This Row],[May FC]]</f>
        <v>0</v>
      </c>
      <c r="BH64" s="71">
        <f>Financials20263[[#This Row],[Jun AC]]-Financials20263[[#This Row],[Jun FC]]</f>
        <v>0</v>
      </c>
      <c r="BI64" s="71">
        <f>Financials20263[[#This Row],[Jul AC]]-Financials20263[[#This Row],[Jul FC]]</f>
        <v>0</v>
      </c>
      <c r="BJ64" s="71">
        <f>Financials20263[[#This Row],[Aug AC]]-Financials20263[[#This Row],[Aug FC]]</f>
        <v>-8436</v>
      </c>
      <c r="BK64" s="71">
        <f>Financials20263[[#This Row],[Sep AC]]-Financials20263[[#This Row],[Sep FC]]</f>
        <v>0</v>
      </c>
      <c r="BL64" s="71">
        <f>Financials20263[[#This Row],[Oct AC]]-Financials20263[[#This Row],[Oct FC]]</f>
        <v>0</v>
      </c>
      <c r="BM64" s="71">
        <f>Financials20263[[#This Row],[Nov AC]]-Financials20263[[#This Row],[Nov FC]]</f>
        <v>0</v>
      </c>
      <c r="BN64" s="71">
        <f>Financials20263[[#This Row],[Dec AC]]-Financials20263[[#This Row],[Dec FC]]</f>
        <v>0</v>
      </c>
      <c r="BO64" s="71">
        <f>SUM(Financials20263[[#This Row],[Jan Opp/Risk]:[Dec Opp./Risk]])</f>
        <v>-8436</v>
      </c>
      <c r="BP64" s="87"/>
      <c r="BQ64" s="47">
        <f>SUM(Financials20263[[#This Row],[Jan AC]:[May AC]])</f>
        <v>0</v>
      </c>
      <c r="BR64" s="6">
        <f>Financials20263[[#This Row],[2026 (Actuals + Forecast)]]-Financials20263[[#This Row],[Jan-May Actuals]]-Financials20263[[#This Row],[Jun-Dec FC]]</f>
        <v>0</v>
      </c>
      <c r="BS64" s="6">
        <f>Financials20263[[#This Row],[Jun-Dec FC]]+Financials20263[[#This Row],[Jan-May Forecast ]]</f>
        <v>8436</v>
      </c>
      <c r="BT64" s="6">
        <f>SUM(Financials20263[[#This Row],[Jan FC]:[May FC]])</f>
        <v>0</v>
      </c>
      <c r="BU64" s="6">
        <f>Financials20263[[#This Row],[Jan-May Actuals]]+Financials20263[[#This Row],[Forecast Jun-Dec]]</f>
        <v>8436</v>
      </c>
      <c r="BV64" s="6"/>
      <c r="BW64" s="6"/>
      <c r="BX64" s="6"/>
    </row>
    <row r="65" spans="1:76" x14ac:dyDescent="0.3">
      <c r="A65" s="22" t="s">
        <v>101</v>
      </c>
      <c r="B65" s="21" t="s">
        <v>276</v>
      </c>
      <c r="C65" s="21" t="s">
        <v>277</v>
      </c>
      <c r="D65" s="10" t="s">
        <v>27</v>
      </c>
      <c r="E65" s="7" t="s">
        <v>216</v>
      </c>
      <c r="F65" s="3" t="s">
        <v>114</v>
      </c>
      <c r="G65" s="3" t="s">
        <v>53</v>
      </c>
      <c r="H65" s="4">
        <v>46110</v>
      </c>
      <c r="I65" s="4">
        <v>46474</v>
      </c>
      <c r="J65" s="3"/>
      <c r="K65" s="3" t="str">
        <f t="shared" si="0"/>
        <v>Prj000446-Implement - Minor Enhancements for Enterprise Apps</v>
      </c>
      <c r="L65" s="21" t="s">
        <v>106</v>
      </c>
      <c r="M65" s="21" t="s">
        <v>7</v>
      </c>
      <c r="N65" s="21" t="s">
        <v>7</v>
      </c>
      <c r="O65" s="21"/>
      <c r="P65" s="21" t="s">
        <v>107</v>
      </c>
      <c r="Q65" s="21" t="s">
        <v>108</v>
      </c>
      <c r="R65" s="21" t="s">
        <v>108</v>
      </c>
      <c r="S65" s="21" t="s">
        <v>132</v>
      </c>
      <c r="T65" s="5">
        <v>69417.919999999998</v>
      </c>
      <c r="U65" s="15">
        <v>72888.816000000006</v>
      </c>
      <c r="V65" s="15">
        <v>72888.816000000006</v>
      </c>
      <c r="W65" s="15">
        <f t="shared" si="1"/>
        <v>69417.919999999998</v>
      </c>
      <c r="X65" s="15">
        <f t="shared" si="7"/>
        <v>-3470.8960000000079</v>
      </c>
      <c r="Y65" s="15">
        <f t="shared" si="2"/>
        <v>0</v>
      </c>
      <c r="Z65" s="15">
        <f>SUM(Financials20263[[#This Row],[2026 Opportunity]:[2026 Risk]])</f>
        <v>-3470.8960000000079</v>
      </c>
      <c r="AA65" s="3" t="s">
        <v>120</v>
      </c>
      <c r="AB65" s="52"/>
      <c r="AC65" s="52"/>
      <c r="AD65" s="52">
        <v>72888.816000000006</v>
      </c>
      <c r="AE65" s="52"/>
      <c r="AF65" s="52"/>
      <c r="AG65" s="51"/>
      <c r="AH65" s="52"/>
      <c r="AI65" s="52"/>
      <c r="AJ65" s="52"/>
      <c r="AK65" s="52"/>
      <c r="AL65" s="52"/>
      <c r="AM65" s="52"/>
      <c r="AN65" s="52">
        <f>SUM(Financials20263[[#This Row],[Jan FC]:[Dec FC]])</f>
        <v>72888.816000000006</v>
      </c>
      <c r="AO65" s="15">
        <f t="shared" si="5"/>
        <v>0</v>
      </c>
      <c r="AP65" s="61"/>
      <c r="AQ65" s="61"/>
      <c r="AR65" s="61">
        <v>69417.919999999998</v>
      </c>
      <c r="AS65" s="61"/>
      <c r="AT65" s="61"/>
      <c r="AU65" s="60"/>
      <c r="AV65" s="61"/>
      <c r="AW65" s="61"/>
      <c r="AX65" s="61"/>
      <c r="AY65" s="61"/>
      <c r="AZ65" s="61"/>
      <c r="BA65" s="61"/>
      <c r="BB65" s="80">
        <f>SUM(Financials20263[[#This Row],[Jan AC]:[Dec AC]])</f>
        <v>69417.919999999998</v>
      </c>
      <c r="BC65" s="71">
        <f>Financials20263[[#This Row],[Jan AC]]-Financials20263[[#This Row],[Jan FC]]</f>
        <v>0</v>
      </c>
      <c r="BD65" s="71">
        <f>Financials20263[[#This Row],[Feb AC]]-Financials20263[[#This Row],[Feb FC]]</f>
        <v>0</v>
      </c>
      <c r="BE65" s="71">
        <f>Financials20263[[#This Row],[Mar AC]]-Financials20263[[#This Row],[Mar FC]]</f>
        <v>-3470.8960000000079</v>
      </c>
      <c r="BF65" s="71">
        <f>Financials20263[[#This Row],[Apr AC]]-Financials20263[[#This Row],[Apr FC]]</f>
        <v>0</v>
      </c>
      <c r="BG65" s="71">
        <f>Financials20263[[#This Row],[May AC]]-Financials20263[[#This Row],[May FC]]</f>
        <v>0</v>
      </c>
      <c r="BH65" s="71">
        <f>Financials20263[[#This Row],[Jun AC]]-Financials20263[[#This Row],[Jun FC]]</f>
        <v>0</v>
      </c>
      <c r="BI65" s="71">
        <f>Financials20263[[#This Row],[Jul AC]]-Financials20263[[#This Row],[Jul FC]]</f>
        <v>0</v>
      </c>
      <c r="BJ65" s="71">
        <f>Financials20263[[#This Row],[Aug AC]]-Financials20263[[#This Row],[Aug FC]]</f>
        <v>0</v>
      </c>
      <c r="BK65" s="71">
        <f>Financials20263[[#This Row],[Sep AC]]-Financials20263[[#This Row],[Sep FC]]</f>
        <v>0</v>
      </c>
      <c r="BL65" s="71">
        <f>Financials20263[[#This Row],[Oct AC]]-Financials20263[[#This Row],[Oct FC]]</f>
        <v>0</v>
      </c>
      <c r="BM65" s="71">
        <f>Financials20263[[#This Row],[Nov AC]]-Financials20263[[#This Row],[Nov FC]]</f>
        <v>0</v>
      </c>
      <c r="BN65" s="71">
        <f>Financials20263[[#This Row],[Dec AC]]-Financials20263[[#This Row],[Dec FC]]</f>
        <v>0</v>
      </c>
      <c r="BO65" s="71">
        <f>SUM(Financials20263[[#This Row],[Jan Opp/Risk]:[Dec Opp./Risk]])</f>
        <v>-3470.8960000000079</v>
      </c>
      <c r="BP65" s="87" t="s">
        <v>519</v>
      </c>
      <c r="BQ65" s="47">
        <f>SUM(Financials20263[[#This Row],[Jan AC]:[May AC]])</f>
        <v>69417.919999999998</v>
      </c>
      <c r="BR65" s="6">
        <f>Financials20263[[#This Row],[2026 (Actuals + Forecast)]]-Financials20263[[#This Row],[Jan-May Actuals]]-Financials20263[[#This Row],[Jun-Dec FC]]</f>
        <v>0</v>
      </c>
      <c r="BS65" s="6">
        <f>Financials20263[[#This Row],[Jun-Dec FC]]+Financials20263[[#This Row],[Jan-May Forecast ]]</f>
        <v>0</v>
      </c>
      <c r="BT65" s="6">
        <f>SUM(Financials20263[[#This Row],[Jan FC]:[May FC]])</f>
        <v>72888.816000000006</v>
      </c>
      <c r="BU65" s="6">
        <f>Financials20263[[#This Row],[Jan-May Actuals]]+Financials20263[[#This Row],[Forecast Jun-Dec]]</f>
        <v>69417.919999999998</v>
      </c>
      <c r="BV65" s="6"/>
      <c r="BW65" s="6"/>
      <c r="BX65" s="6"/>
    </row>
    <row r="66" spans="1:76" x14ac:dyDescent="0.3">
      <c r="A66" s="22" t="s">
        <v>101</v>
      </c>
      <c r="B66" s="21" t="s">
        <v>278</v>
      </c>
      <c r="C66" s="21" t="s">
        <v>279</v>
      </c>
      <c r="D66" s="10" t="s">
        <v>29</v>
      </c>
      <c r="E66" s="7" t="s">
        <v>210</v>
      </c>
      <c r="F66" s="3" t="s">
        <v>211</v>
      </c>
      <c r="G66" s="3" t="s">
        <v>48</v>
      </c>
      <c r="H66" s="4">
        <v>45745</v>
      </c>
      <c r="I66" s="4">
        <v>46109</v>
      </c>
      <c r="J66" s="3" t="s">
        <v>280</v>
      </c>
      <c r="K66" s="3" t="str">
        <f t="shared" ref="K66:K129" si="28">D66 &amp; "-" &amp;E66</f>
        <v>Prj000458-Support - Data Analytics Office</v>
      </c>
      <c r="L66" s="21" t="s">
        <v>106</v>
      </c>
      <c r="M66" s="21" t="s">
        <v>7</v>
      </c>
      <c r="N66" s="21" t="s">
        <v>7</v>
      </c>
      <c r="O66" s="21" t="s">
        <v>281</v>
      </c>
      <c r="P66" s="21" t="s">
        <v>107</v>
      </c>
      <c r="Q66" s="21" t="s">
        <v>108</v>
      </c>
      <c r="R66" s="21" t="s">
        <v>108</v>
      </c>
      <c r="S66" s="21" t="s">
        <v>132</v>
      </c>
      <c r="T66" s="5">
        <v>42342.67</v>
      </c>
      <c r="U66" s="15">
        <v>44460.15</v>
      </c>
      <c r="V66" s="15">
        <v>44460.15</v>
      </c>
      <c r="W66" s="15">
        <f t="shared" ref="W66:W129" si="29">AO66+IF(ISBLANK(AP66),AB66,AP66)+IF(ISBLANK(AQ66),AC66,AQ66)+IF(ISBLANK(AR66),AD66,AR66)+IF(ISBLANK(AS66),AE66,AS66)+IF(ISBLANK(AT66),AF66,AT66)</f>
        <v>46713</v>
      </c>
      <c r="X66" s="15">
        <f t="shared" si="7"/>
        <v>0</v>
      </c>
      <c r="Y66" s="15">
        <f t="shared" ref="Y66:Y129" si="30">IF(W66 &gt; V66, W66 - V66, 0)</f>
        <v>2252.8499999999985</v>
      </c>
      <c r="Z66" s="15">
        <f>SUM(Financials20263[[#This Row],[2026 Opportunity]:[2026 Risk]])</f>
        <v>2252.8499999999985</v>
      </c>
      <c r="AA66" s="3"/>
      <c r="AB66" s="52"/>
      <c r="AC66" s="52"/>
      <c r="AD66" s="52">
        <v>44460.15</v>
      </c>
      <c r="AE66" s="52"/>
      <c r="AF66" s="52"/>
      <c r="AG66" s="51"/>
      <c r="AH66" s="52"/>
      <c r="AI66" s="52"/>
      <c r="AJ66" s="52"/>
      <c r="AK66" s="52"/>
      <c r="AL66" s="52"/>
      <c r="AM66" s="52"/>
      <c r="AN66" s="52">
        <f>SUM(Financials20263[[#This Row],[Jan FC]:[Dec FC]])</f>
        <v>44460.15</v>
      </c>
      <c r="AO66" s="15">
        <f t="shared" ref="AO66:AO130" si="31">SUM(AG66:AM66)</f>
        <v>0</v>
      </c>
      <c r="AP66" s="61"/>
      <c r="AQ66" s="61"/>
      <c r="AR66" s="61">
        <v>46713</v>
      </c>
      <c r="AS66" s="61"/>
      <c r="AT66" s="61"/>
      <c r="AU66" s="60"/>
      <c r="AV66" s="61"/>
      <c r="AW66" s="61"/>
      <c r="AX66" s="61"/>
      <c r="AY66" s="61"/>
      <c r="AZ66" s="61"/>
      <c r="BA66" s="61"/>
      <c r="BB66" s="80">
        <f>SUM(Financials20263[[#This Row],[Jan AC]:[Dec AC]])</f>
        <v>46713</v>
      </c>
      <c r="BC66" s="71">
        <f>Financials20263[[#This Row],[Jan AC]]-Financials20263[[#This Row],[Jan FC]]</f>
        <v>0</v>
      </c>
      <c r="BD66" s="71">
        <f>Financials20263[[#This Row],[Feb AC]]-Financials20263[[#This Row],[Feb FC]]</f>
        <v>0</v>
      </c>
      <c r="BE66" s="71">
        <f>Financials20263[[#This Row],[Mar AC]]-Financials20263[[#This Row],[Mar FC]]</f>
        <v>2252.8499999999985</v>
      </c>
      <c r="BF66" s="71">
        <f>Financials20263[[#This Row],[Apr AC]]-Financials20263[[#This Row],[Apr FC]]</f>
        <v>0</v>
      </c>
      <c r="BG66" s="71">
        <f>Financials20263[[#This Row],[May AC]]-Financials20263[[#This Row],[May FC]]</f>
        <v>0</v>
      </c>
      <c r="BH66" s="71">
        <f>Financials20263[[#This Row],[Jun AC]]-Financials20263[[#This Row],[Jun FC]]</f>
        <v>0</v>
      </c>
      <c r="BI66" s="71">
        <f>Financials20263[[#This Row],[Jul AC]]-Financials20263[[#This Row],[Jul FC]]</f>
        <v>0</v>
      </c>
      <c r="BJ66" s="71">
        <f>Financials20263[[#This Row],[Aug AC]]-Financials20263[[#This Row],[Aug FC]]</f>
        <v>0</v>
      </c>
      <c r="BK66" s="71">
        <f>Financials20263[[#This Row],[Sep AC]]-Financials20263[[#This Row],[Sep FC]]</f>
        <v>0</v>
      </c>
      <c r="BL66" s="71">
        <f>Financials20263[[#This Row],[Oct AC]]-Financials20263[[#This Row],[Oct FC]]</f>
        <v>0</v>
      </c>
      <c r="BM66" s="71">
        <f>Financials20263[[#This Row],[Nov AC]]-Financials20263[[#This Row],[Nov FC]]</f>
        <v>0</v>
      </c>
      <c r="BN66" s="71">
        <f>Financials20263[[#This Row],[Dec AC]]-Financials20263[[#This Row],[Dec FC]]</f>
        <v>0</v>
      </c>
      <c r="BO66" s="71">
        <f>SUM(Financials20263[[#This Row],[Jan Opp/Risk]:[Dec Opp./Risk]])</f>
        <v>2252.8499999999985</v>
      </c>
      <c r="BP66" s="87" t="s">
        <v>41</v>
      </c>
      <c r="BQ66" s="47">
        <f>SUM(Financials20263[[#This Row],[Jan AC]:[May AC]])</f>
        <v>46713</v>
      </c>
      <c r="BR66" s="6">
        <f>Financials20263[[#This Row],[2026 (Actuals + Forecast)]]-Financials20263[[#This Row],[Jan-May Actuals]]-Financials20263[[#This Row],[Jun-Dec FC]]</f>
        <v>0</v>
      </c>
      <c r="BS66" s="6">
        <f>Financials20263[[#This Row],[Jun-Dec FC]]+Financials20263[[#This Row],[Jan-May Forecast ]]</f>
        <v>0</v>
      </c>
      <c r="BT66" s="6">
        <f>SUM(Financials20263[[#This Row],[Jan FC]:[May FC]])</f>
        <v>44460.15</v>
      </c>
      <c r="BU66" s="6">
        <f>Financials20263[[#This Row],[Jan-May Actuals]]+Financials20263[[#This Row],[Forecast Jun-Dec]]</f>
        <v>46713</v>
      </c>
      <c r="BV66" s="6"/>
      <c r="BW66" s="6"/>
      <c r="BX66" s="6"/>
    </row>
    <row r="67" spans="1:76" x14ac:dyDescent="0.3">
      <c r="A67" s="22" t="s">
        <v>101</v>
      </c>
      <c r="B67" s="21" t="s">
        <v>282</v>
      </c>
      <c r="C67" s="21" t="s">
        <v>283</v>
      </c>
      <c r="D67" s="10" t="s">
        <v>25</v>
      </c>
      <c r="E67" s="7" t="s">
        <v>167</v>
      </c>
      <c r="F67" s="3" t="s">
        <v>168</v>
      </c>
      <c r="G67" s="3" t="s">
        <v>51</v>
      </c>
      <c r="H67" s="4">
        <v>45962</v>
      </c>
      <c r="I67" s="4">
        <v>46326</v>
      </c>
      <c r="J67" s="3"/>
      <c r="K67" s="3" t="str">
        <f t="shared" si="28"/>
        <v>Prj000426-Implement - Minor Enhancements for Sales</v>
      </c>
      <c r="L67" s="21" t="s">
        <v>106</v>
      </c>
      <c r="M67" s="21" t="s">
        <v>7</v>
      </c>
      <c r="N67" s="21" t="s">
        <v>7</v>
      </c>
      <c r="O67" s="21"/>
      <c r="P67" s="21" t="s">
        <v>107</v>
      </c>
      <c r="Q67" s="21" t="s">
        <v>108</v>
      </c>
      <c r="R67" s="21" t="s">
        <v>108</v>
      </c>
      <c r="S67" s="21" t="s">
        <v>132</v>
      </c>
      <c r="T67" s="5">
        <v>81053.040000000008</v>
      </c>
      <c r="U67" s="15">
        <v>39305.700000000004</v>
      </c>
      <c r="V67" s="15">
        <v>39305.700000000004</v>
      </c>
      <c r="W67" s="15">
        <f t="shared" si="29"/>
        <v>39306</v>
      </c>
      <c r="X67" s="15">
        <f t="shared" si="7"/>
        <v>0</v>
      </c>
      <c r="Y67" s="15">
        <f t="shared" si="30"/>
        <v>0.29999999999563443</v>
      </c>
      <c r="Z67" s="15">
        <f>SUM(Financials20263[[#This Row],[2026 Opportunity]:[2026 Risk]])</f>
        <v>0.29999999999563443</v>
      </c>
      <c r="AA67" s="3" t="s">
        <v>120</v>
      </c>
      <c r="AB67" s="52"/>
      <c r="AC67" s="52"/>
      <c r="AD67" s="52">
        <v>2028</v>
      </c>
      <c r="AE67" s="52">
        <v>780</v>
      </c>
      <c r="AF67" s="52"/>
      <c r="AG67" s="51"/>
      <c r="AH67" s="52"/>
      <c r="AI67" s="52"/>
      <c r="AJ67" s="52"/>
      <c r="AK67" s="52"/>
      <c r="AL67" s="52">
        <f>39306-2028-780</f>
        <v>36498</v>
      </c>
      <c r="AM67" s="52"/>
      <c r="AN67" s="52">
        <f>SUM(Financials20263[[#This Row],[Jan FC]:[Dec FC]])</f>
        <v>39306</v>
      </c>
      <c r="AO67" s="15">
        <f t="shared" si="31"/>
        <v>36498</v>
      </c>
      <c r="AP67" s="61"/>
      <c r="AQ67" s="61"/>
      <c r="AR67" s="61">
        <v>2028</v>
      </c>
      <c r="AS67" s="61">
        <v>780</v>
      </c>
      <c r="AT67" s="61"/>
      <c r="AU67" s="60"/>
      <c r="AV67" s="61"/>
      <c r="AW67" s="61"/>
      <c r="AX67" s="61"/>
      <c r="AY67" s="61"/>
      <c r="AZ67" s="61"/>
      <c r="BA67" s="61"/>
      <c r="BB67" s="80">
        <f>SUM(Financials20263[[#This Row],[Jan AC]:[Dec AC]])</f>
        <v>2808</v>
      </c>
      <c r="BC67" s="71">
        <f>Financials20263[[#This Row],[Jan AC]]-Financials20263[[#This Row],[Jan FC]]</f>
        <v>0</v>
      </c>
      <c r="BD67" s="71">
        <f>Financials20263[[#This Row],[Feb AC]]-Financials20263[[#This Row],[Feb FC]]</f>
        <v>0</v>
      </c>
      <c r="BE67" s="71">
        <f>Financials20263[[#This Row],[Mar AC]]-Financials20263[[#This Row],[Mar FC]]</f>
        <v>0</v>
      </c>
      <c r="BF67" s="71">
        <f>Financials20263[[#This Row],[Apr AC]]-Financials20263[[#This Row],[Apr FC]]</f>
        <v>0</v>
      </c>
      <c r="BG67" s="71">
        <f>Financials20263[[#This Row],[May AC]]-Financials20263[[#This Row],[May FC]]</f>
        <v>0</v>
      </c>
      <c r="BH67" s="71">
        <f>Financials20263[[#This Row],[Jun AC]]-Financials20263[[#This Row],[Jun FC]]</f>
        <v>0</v>
      </c>
      <c r="BI67" s="71">
        <f>Financials20263[[#This Row],[Jul AC]]-Financials20263[[#This Row],[Jul FC]]</f>
        <v>0</v>
      </c>
      <c r="BJ67" s="71">
        <f>Financials20263[[#This Row],[Aug AC]]-Financials20263[[#This Row],[Aug FC]]</f>
        <v>0</v>
      </c>
      <c r="BK67" s="71">
        <f>Financials20263[[#This Row],[Sep AC]]-Financials20263[[#This Row],[Sep FC]]</f>
        <v>0</v>
      </c>
      <c r="BL67" s="71">
        <f>Financials20263[[#This Row],[Oct AC]]-Financials20263[[#This Row],[Oct FC]]</f>
        <v>0</v>
      </c>
      <c r="BM67" s="71">
        <f>Financials20263[[#This Row],[Nov AC]]-Financials20263[[#This Row],[Nov FC]]</f>
        <v>-36498</v>
      </c>
      <c r="BN67" s="71">
        <f>Financials20263[[#This Row],[Dec AC]]-Financials20263[[#This Row],[Dec FC]]</f>
        <v>0</v>
      </c>
      <c r="BO67" s="71">
        <f>SUM(Financials20263[[#This Row],[Jan Opp/Risk]:[Dec Opp./Risk]])</f>
        <v>-36498</v>
      </c>
      <c r="BP67" s="87"/>
      <c r="BQ67" s="47">
        <f>SUM(Financials20263[[#This Row],[Jan AC]:[May AC]])</f>
        <v>2808</v>
      </c>
      <c r="BR67" s="6">
        <f>Financials20263[[#This Row],[2026 (Actuals + Forecast)]]-Financials20263[[#This Row],[Jan-May Actuals]]-Financials20263[[#This Row],[Jun-Dec FC]]</f>
        <v>0</v>
      </c>
      <c r="BS67" s="6">
        <f>Financials20263[[#This Row],[Jun-Dec FC]]+Financials20263[[#This Row],[Jan-May Forecast ]]</f>
        <v>36498</v>
      </c>
      <c r="BT67" s="6">
        <f>SUM(Financials20263[[#This Row],[Jan FC]:[May FC]])</f>
        <v>2808</v>
      </c>
      <c r="BU67" s="6">
        <f>Financials20263[[#This Row],[Jan-May Actuals]]+Financials20263[[#This Row],[Forecast Jun-Dec]]</f>
        <v>39306</v>
      </c>
      <c r="BV67" s="6"/>
      <c r="BW67" s="6"/>
      <c r="BX67" s="6"/>
    </row>
    <row r="68" spans="1:76" x14ac:dyDescent="0.3">
      <c r="A68" s="22" t="s">
        <v>101</v>
      </c>
      <c r="B68" s="21" t="s">
        <v>284</v>
      </c>
      <c r="C68" s="21" t="s">
        <v>285</v>
      </c>
      <c r="D68" s="10" t="s">
        <v>25</v>
      </c>
      <c r="E68" s="7" t="s">
        <v>167</v>
      </c>
      <c r="F68" s="3" t="s">
        <v>168</v>
      </c>
      <c r="G68" s="3" t="s">
        <v>51</v>
      </c>
      <c r="H68" s="4">
        <v>45904</v>
      </c>
      <c r="I68" s="4">
        <v>46268</v>
      </c>
      <c r="J68" s="3" t="s">
        <v>286</v>
      </c>
      <c r="K68" s="3" t="str">
        <f t="shared" si="28"/>
        <v>Prj000426-Implement - Minor Enhancements for Sales</v>
      </c>
      <c r="L68" s="21" t="s">
        <v>106</v>
      </c>
      <c r="M68" s="21" t="s">
        <v>7</v>
      </c>
      <c r="N68" s="21" t="s">
        <v>7</v>
      </c>
      <c r="O68" s="21"/>
      <c r="P68" s="21" t="s">
        <v>107</v>
      </c>
      <c r="Q68" s="21" t="s">
        <v>108</v>
      </c>
      <c r="R68" s="21" t="s">
        <v>108</v>
      </c>
      <c r="S68" s="21" t="s">
        <v>109</v>
      </c>
      <c r="T68" s="5">
        <v>43706</v>
      </c>
      <c r="U68" s="15">
        <v>174825</v>
      </c>
      <c r="V68" s="15">
        <v>174825</v>
      </c>
      <c r="W68" s="15">
        <f t="shared" si="29"/>
        <v>174825</v>
      </c>
      <c r="X68" s="15">
        <f t="shared" si="7"/>
        <v>0</v>
      </c>
      <c r="Y68" s="15">
        <f t="shared" si="30"/>
        <v>0</v>
      </c>
      <c r="Z68" s="15">
        <f>SUM(Financials20263[[#This Row],[2026 Opportunity]:[2026 Risk]])</f>
        <v>0</v>
      </c>
      <c r="AA68" s="3" t="s">
        <v>441</v>
      </c>
      <c r="AB68" s="52">
        <f t="shared" ref="AB68:AX68" si="32">174825/12</f>
        <v>14568.75</v>
      </c>
      <c r="AC68" s="52">
        <f t="shared" si="32"/>
        <v>14568.75</v>
      </c>
      <c r="AD68" s="52">
        <f t="shared" si="32"/>
        <v>14568.75</v>
      </c>
      <c r="AE68" s="52">
        <f t="shared" si="32"/>
        <v>14568.75</v>
      </c>
      <c r="AF68" s="52">
        <f t="shared" si="32"/>
        <v>14568.75</v>
      </c>
      <c r="AG68" s="52">
        <f t="shared" si="32"/>
        <v>14568.75</v>
      </c>
      <c r="AH68" s="52">
        <f t="shared" si="32"/>
        <v>14568.75</v>
      </c>
      <c r="AI68" s="52">
        <f t="shared" si="32"/>
        <v>14568.75</v>
      </c>
      <c r="AJ68" s="52">
        <f t="shared" si="32"/>
        <v>14568.75</v>
      </c>
      <c r="AK68" s="52">
        <f t="shared" si="32"/>
        <v>14568.75</v>
      </c>
      <c r="AL68" s="52">
        <f t="shared" si="32"/>
        <v>14568.75</v>
      </c>
      <c r="AM68" s="52">
        <f t="shared" si="32"/>
        <v>14568.75</v>
      </c>
      <c r="AN68" s="52">
        <f>SUM(Financials20263[[#This Row],[Jan FC]:[Dec FC]])</f>
        <v>174825</v>
      </c>
      <c r="AO68" s="15">
        <f t="shared" si="31"/>
        <v>101981.25</v>
      </c>
      <c r="AP68" s="61">
        <f t="shared" si="32"/>
        <v>14568.75</v>
      </c>
      <c r="AQ68" s="61">
        <f t="shared" si="32"/>
        <v>14568.75</v>
      </c>
      <c r="AR68" s="61">
        <f t="shared" si="32"/>
        <v>14568.75</v>
      </c>
      <c r="AS68" s="61">
        <f t="shared" si="32"/>
        <v>14568.75</v>
      </c>
      <c r="AT68" s="61">
        <f t="shared" si="32"/>
        <v>14568.75</v>
      </c>
      <c r="AU68" s="61">
        <f t="shared" si="32"/>
        <v>14568.75</v>
      </c>
      <c r="AV68" s="61">
        <f t="shared" si="32"/>
        <v>14568.75</v>
      </c>
      <c r="AW68" s="61">
        <f t="shared" si="32"/>
        <v>14568.75</v>
      </c>
      <c r="AX68" s="61">
        <f t="shared" si="32"/>
        <v>14568.75</v>
      </c>
      <c r="AY68" s="61"/>
      <c r="AZ68" s="61"/>
      <c r="BA68" s="61"/>
      <c r="BB68" s="80">
        <f>SUM(Financials20263[[#This Row],[Jan AC]:[Dec AC]])</f>
        <v>131118.75</v>
      </c>
      <c r="BC68" s="71">
        <f>Financials20263[[#This Row],[Jan AC]]-Financials20263[[#This Row],[Jan FC]]</f>
        <v>0</v>
      </c>
      <c r="BD68" s="71">
        <f>Financials20263[[#This Row],[Feb AC]]-Financials20263[[#This Row],[Feb FC]]</f>
        <v>0</v>
      </c>
      <c r="BE68" s="71">
        <f>Financials20263[[#This Row],[Mar AC]]-Financials20263[[#This Row],[Mar FC]]</f>
        <v>0</v>
      </c>
      <c r="BF68" s="71">
        <f>Financials20263[[#This Row],[Apr AC]]-Financials20263[[#This Row],[Apr FC]]</f>
        <v>0</v>
      </c>
      <c r="BG68" s="71">
        <f>Financials20263[[#This Row],[May AC]]-Financials20263[[#This Row],[May FC]]</f>
        <v>0</v>
      </c>
      <c r="BH68" s="71">
        <f>Financials20263[[#This Row],[Jun AC]]-Financials20263[[#This Row],[Jun FC]]</f>
        <v>0</v>
      </c>
      <c r="BI68" s="71">
        <f>Financials20263[[#This Row],[Jul AC]]-Financials20263[[#This Row],[Jul FC]]</f>
        <v>0</v>
      </c>
      <c r="BJ68" s="71">
        <f>Financials20263[[#This Row],[Aug AC]]-Financials20263[[#This Row],[Aug FC]]</f>
        <v>0</v>
      </c>
      <c r="BK68" s="71">
        <f>Financials20263[[#This Row],[Sep AC]]-Financials20263[[#This Row],[Sep FC]]</f>
        <v>0</v>
      </c>
      <c r="BL68" s="71">
        <f>Financials20263[[#This Row],[Oct AC]]-Financials20263[[#This Row],[Oct FC]]</f>
        <v>-14568.75</v>
      </c>
      <c r="BM68" s="71">
        <f>Financials20263[[#This Row],[Nov AC]]-Financials20263[[#This Row],[Nov FC]]</f>
        <v>-14568.75</v>
      </c>
      <c r="BN68" s="71">
        <f>Financials20263[[#This Row],[Dec AC]]-Financials20263[[#This Row],[Dec FC]]</f>
        <v>-14568.75</v>
      </c>
      <c r="BO68" s="71">
        <f>SUM(Financials20263[[#This Row],[Jan Opp/Risk]:[Dec Opp./Risk]])</f>
        <v>-43706.25</v>
      </c>
      <c r="BP68" s="87"/>
      <c r="BQ68" s="47">
        <f>SUM(Financials20263[[#This Row],[Jan AC]:[May AC]])</f>
        <v>72843.75</v>
      </c>
      <c r="BR68" s="6">
        <f>Financials20263[[#This Row],[2026 (Actuals + Forecast)]]-Financials20263[[#This Row],[Jan-May Actuals]]-Financials20263[[#This Row],[Jun-Dec FC]]</f>
        <v>0</v>
      </c>
      <c r="BS68" s="6">
        <f>Financials20263[[#This Row],[Jun-Dec FC]]+Financials20263[[#This Row],[Jan-May Forecast ]]</f>
        <v>101981.25</v>
      </c>
      <c r="BT68" s="6">
        <f>SUM(Financials20263[[#This Row],[Jan FC]:[May FC]])</f>
        <v>72843.75</v>
      </c>
      <c r="BU68" s="6">
        <f>Financials20263[[#This Row],[Jan-May Actuals]]+Financials20263[[#This Row],[Forecast Jun-Dec]]</f>
        <v>174825</v>
      </c>
      <c r="BV68" s="6"/>
      <c r="BW68" s="6"/>
      <c r="BX68" s="6"/>
    </row>
    <row r="69" spans="1:76" x14ac:dyDescent="0.3">
      <c r="A69" s="22" t="s">
        <v>101</v>
      </c>
      <c r="B69" s="21" t="s">
        <v>78</v>
      </c>
      <c r="C69" s="21" t="s">
        <v>287</v>
      </c>
      <c r="D69" s="10" t="s">
        <v>15</v>
      </c>
      <c r="E69" s="7" t="s">
        <v>219</v>
      </c>
      <c r="F69" s="3" t="s">
        <v>104</v>
      </c>
      <c r="G69" s="3" t="s">
        <v>49</v>
      </c>
      <c r="H69" s="4">
        <v>45983</v>
      </c>
      <c r="I69" s="4">
        <v>46347</v>
      </c>
      <c r="J69" s="3"/>
      <c r="K69" s="3" t="str">
        <f t="shared" si="28"/>
        <v>Prj000342-Support - Site Reliability Engineering for Tech</v>
      </c>
      <c r="L69" s="21" t="s">
        <v>106</v>
      </c>
      <c r="M69" s="21" t="s">
        <v>7</v>
      </c>
      <c r="N69" s="21" t="s">
        <v>7</v>
      </c>
      <c r="O69" s="21"/>
      <c r="P69" s="21" t="s">
        <v>107</v>
      </c>
      <c r="Q69" s="21" t="s">
        <v>108</v>
      </c>
      <c r="R69" s="21" t="s">
        <v>108</v>
      </c>
      <c r="S69" s="21" t="s">
        <v>132</v>
      </c>
      <c r="T69" s="5">
        <v>4895</v>
      </c>
      <c r="U69" s="15">
        <v>5407.5</v>
      </c>
      <c r="V69" s="15">
        <v>5407.5</v>
      </c>
      <c r="W69" s="15">
        <f t="shared" si="29"/>
        <v>5407.5</v>
      </c>
      <c r="X69" s="15">
        <f t="shared" si="7"/>
        <v>0</v>
      </c>
      <c r="Y69" s="15">
        <f t="shared" si="30"/>
        <v>0</v>
      </c>
      <c r="Z69" s="15">
        <f>SUM(Financials20263[[#This Row],[2026 Opportunity]:[2026 Risk]])</f>
        <v>0</v>
      </c>
      <c r="AA69" s="3" t="s">
        <v>120</v>
      </c>
      <c r="AB69" s="52"/>
      <c r="AC69" s="52"/>
      <c r="AD69" s="52"/>
      <c r="AE69" s="52"/>
      <c r="AF69" s="52"/>
      <c r="AG69" s="52"/>
      <c r="AH69" s="52"/>
      <c r="AI69" s="52"/>
      <c r="AJ69" s="52"/>
      <c r="AK69" s="52"/>
      <c r="AL69" s="52"/>
      <c r="AM69" s="52">
        <v>5407.5</v>
      </c>
      <c r="AN69" s="52">
        <f>SUM(Financials20263[[#This Row],[Jan FC]:[Dec FC]])</f>
        <v>5407.5</v>
      </c>
      <c r="AO69" s="15">
        <f t="shared" si="31"/>
        <v>5407.5</v>
      </c>
      <c r="AP69" s="61"/>
      <c r="AQ69" s="61"/>
      <c r="AR69" s="61"/>
      <c r="AS69" s="61"/>
      <c r="AT69" s="61"/>
      <c r="AU69" s="61"/>
      <c r="AV69" s="61"/>
      <c r="AW69" s="61"/>
      <c r="AX69" s="61"/>
      <c r="AY69" s="61"/>
      <c r="AZ69" s="61"/>
      <c r="BA69" s="61"/>
      <c r="BB69" s="80">
        <f>SUM(Financials20263[[#This Row],[Jan AC]:[Dec AC]])</f>
        <v>0</v>
      </c>
      <c r="BC69" s="71">
        <f>Financials20263[[#This Row],[Jan AC]]-Financials20263[[#This Row],[Jan FC]]</f>
        <v>0</v>
      </c>
      <c r="BD69" s="71">
        <f>Financials20263[[#This Row],[Feb AC]]-Financials20263[[#This Row],[Feb FC]]</f>
        <v>0</v>
      </c>
      <c r="BE69" s="71">
        <f>Financials20263[[#This Row],[Mar AC]]-Financials20263[[#This Row],[Mar FC]]</f>
        <v>0</v>
      </c>
      <c r="BF69" s="71">
        <f>Financials20263[[#This Row],[Apr AC]]-Financials20263[[#This Row],[Apr FC]]</f>
        <v>0</v>
      </c>
      <c r="BG69" s="71">
        <f>Financials20263[[#This Row],[May AC]]-Financials20263[[#This Row],[May FC]]</f>
        <v>0</v>
      </c>
      <c r="BH69" s="71">
        <f>Financials20263[[#This Row],[Jun AC]]-Financials20263[[#This Row],[Jun FC]]</f>
        <v>0</v>
      </c>
      <c r="BI69" s="71">
        <f>Financials20263[[#This Row],[Jul AC]]-Financials20263[[#This Row],[Jul FC]]</f>
        <v>0</v>
      </c>
      <c r="BJ69" s="71">
        <f>Financials20263[[#This Row],[Aug AC]]-Financials20263[[#This Row],[Aug FC]]</f>
        <v>0</v>
      </c>
      <c r="BK69" s="71">
        <f>Financials20263[[#This Row],[Sep AC]]-Financials20263[[#This Row],[Sep FC]]</f>
        <v>0</v>
      </c>
      <c r="BL69" s="71">
        <f>Financials20263[[#This Row],[Oct AC]]-Financials20263[[#This Row],[Oct FC]]</f>
        <v>0</v>
      </c>
      <c r="BM69" s="71">
        <f>Financials20263[[#This Row],[Nov AC]]-Financials20263[[#This Row],[Nov FC]]</f>
        <v>0</v>
      </c>
      <c r="BN69" s="71">
        <f>Financials20263[[#This Row],[Dec AC]]-Financials20263[[#This Row],[Dec FC]]</f>
        <v>-5407.5</v>
      </c>
      <c r="BO69" s="71">
        <f>SUM(Financials20263[[#This Row],[Jan Opp/Risk]:[Dec Opp./Risk]])</f>
        <v>-5407.5</v>
      </c>
      <c r="BP69" s="87"/>
      <c r="BQ69" s="47">
        <f>SUM(Financials20263[[#This Row],[Jan AC]:[May AC]])</f>
        <v>0</v>
      </c>
      <c r="BR69" s="6">
        <f>Financials20263[[#This Row],[2026 (Actuals + Forecast)]]-Financials20263[[#This Row],[Jan-May Actuals]]-Financials20263[[#This Row],[Jun-Dec FC]]</f>
        <v>0</v>
      </c>
      <c r="BS69" s="6">
        <f>Financials20263[[#This Row],[Jun-Dec FC]]+Financials20263[[#This Row],[Jan-May Forecast ]]</f>
        <v>5407.5</v>
      </c>
      <c r="BT69" s="6">
        <f>SUM(Financials20263[[#This Row],[Jan FC]:[May FC]])</f>
        <v>0</v>
      </c>
      <c r="BU69" s="6">
        <f>Financials20263[[#This Row],[Jan-May Actuals]]+Financials20263[[#This Row],[Forecast Jun-Dec]]</f>
        <v>5407.5</v>
      </c>
      <c r="BV69" s="6"/>
      <c r="BW69" s="6"/>
      <c r="BX69" s="6"/>
    </row>
    <row r="70" spans="1:76" x14ac:dyDescent="0.3">
      <c r="A70" s="22" t="s">
        <v>101</v>
      </c>
      <c r="B70" s="21" t="s">
        <v>70</v>
      </c>
      <c r="C70" s="21" t="s">
        <v>288</v>
      </c>
      <c r="D70" s="10" t="s">
        <v>17</v>
      </c>
      <c r="E70" s="7" t="s">
        <v>103</v>
      </c>
      <c r="F70" s="3" t="s">
        <v>104</v>
      </c>
      <c r="G70" s="3" t="s">
        <v>49</v>
      </c>
      <c r="H70" s="4">
        <v>45947</v>
      </c>
      <c r="I70" s="4">
        <v>46676</v>
      </c>
      <c r="J70" s="3" t="s">
        <v>289</v>
      </c>
      <c r="K70" s="3" t="str">
        <f t="shared" si="28"/>
        <v>Prj000350-Support - Infrastructure for Tech</v>
      </c>
      <c r="L70" s="21" t="s">
        <v>106</v>
      </c>
      <c r="M70" s="21" t="s">
        <v>7</v>
      </c>
      <c r="N70" s="21" t="s">
        <v>7</v>
      </c>
      <c r="O70" s="21" t="s">
        <v>7</v>
      </c>
      <c r="P70" s="21" t="s">
        <v>107</v>
      </c>
      <c r="Q70" s="21" t="s">
        <v>108</v>
      </c>
      <c r="R70" s="21" t="s">
        <v>108</v>
      </c>
      <c r="S70" s="21" t="s">
        <v>115</v>
      </c>
      <c r="T70" s="5">
        <v>48135.15</v>
      </c>
      <c r="U70" s="15"/>
      <c r="V70" s="15"/>
      <c r="W70" s="15">
        <f t="shared" si="29"/>
        <v>0</v>
      </c>
      <c r="X70" s="15">
        <f t="shared" si="7"/>
        <v>0</v>
      </c>
      <c r="Y70" s="15">
        <f t="shared" si="30"/>
        <v>0</v>
      </c>
      <c r="Z70" s="15">
        <f>SUM(Financials20263[[#This Row],[2026 Opportunity]:[2026 Risk]])</f>
        <v>0</v>
      </c>
      <c r="AA70" s="3" t="s">
        <v>442</v>
      </c>
      <c r="AB70" s="52"/>
      <c r="AC70" s="52"/>
      <c r="AD70" s="52"/>
      <c r="AE70" s="52"/>
      <c r="AF70" s="52"/>
      <c r="AG70" s="51"/>
      <c r="AH70" s="52"/>
      <c r="AI70" s="52"/>
      <c r="AJ70" s="52"/>
      <c r="AK70" s="52"/>
      <c r="AL70" s="52"/>
      <c r="AM70" s="52"/>
      <c r="AN70" s="52">
        <f>SUM(Financials20263[[#This Row],[Jan FC]:[Dec FC]])</f>
        <v>0</v>
      </c>
      <c r="AO70" s="15">
        <f t="shared" si="31"/>
        <v>0</v>
      </c>
      <c r="AP70" s="61"/>
      <c r="AQ70" s="61"/>
      <c r="AR70" s="61"/>
      <c r="AS70" s="61"/>
      <c r="AT70" s="61"/>
      <c r="AU70" s="60"/>
      <c r="AV70" s="61"/>
      <c r="AW70" s="61"/>
      <c r="AX70" s="61"/>
      <c r="AY70" s="61"/>
      <c r="AZ70" s="61"/>
      <c r="BA70" s="61"/>
      <c r="BB70" s="80">
        <f>SUM(Financials20263[[#This Row],[Jan AC]:[Dec AC]])</f>
        <v>0</v>
      </c>
      <c r="BC70" s="71">
        <f>Financials20263[[#This Row],[Jan AC]]-Financials20263[[#This Row],[Jan FC]]</f>
        <v>0</v>
      </c>
      <c r="BD70" s="71">
        <f>Financials20263[[#This Row],[Feb AC]]-Financials20263[[#This Row],[Feb FC]]</f>
        <v>0</v>
      </c>
      <c r="BE70" s="71">
        <f>Financials20263[[#This Row],[Mar AC]]-Financials20263[[#This Row],[Mar FC]]</f>
        <v>0</v>
      </c>
      <c r="BF70" s="71">
        <f>Financials20263[[#This Row],[Apr AC]]-Financials20263[[#This Row],[Apr FC]]</f>
        <v>0</v>
      </c>
      <c r="BG70" s="71">
        <f>Financials20263[[#This Row],[May AC]]-Financials20263[[#This Row],[May FC]]</f>
        <v>0</v>
      </c>
      <c r="BH70" s="71">
        <f>Financials20263[[#This Row],[Jun AC]]-Financials20263[[#This Row],[Jun FC]]</f>
        <v>0</v>
      </c>
      <c r="BI70" s="71">
        <f>Financials20263[[#This Row],[Jul AC]]-Financials20263[[#This Row],[Jul FC]]</f>
        <v>0</v>
      </c>
      <c r="BJ70" s="71">
        <f>Financials20263[[#This Row],[Aug AC]]-Financials20263[[#This Row],[Aug FC]]</f>
        <v>0</v>
      </c>
      <c r="BK70" s="71">
        <f>Financials20263[[#This Row],[Sep AC]]-Financials20263[[#This Row],[Sep FC]]</f>
        <v>0</v>
      </c>
      <c r="BL70" s="71">
        <f>Financials20263[[#This Row],[Oct AC]]-Financials20263[[#This Row],[Oct FC]]</f>
        <v>0</v>
      </c>
      <c r="BM70" s="71">
        <f>Financials20263[[#This Row],[Nov AC]]-Financials20263[[#This Row],[Nov FC]]</f>
        <v>0</v>
      </c>
      <c r="BN70" s="71">
        <f>Financials20263[[#This Row],[Dec AC]]-Financials20263[[#This Row],[Dec FC]]</f>
        <v>0</v>
      </c>
      <c r="BO70" s="71">
        <f>SUM(Financials20263[[#This Row],[Jan Opp/Risk]:[Dec Opp./Risk]])</f>
        <v>0</v>
      </c>
      <c r="BP70" s="87"/>
      <c r="BQ70" s="47">
        <f>SUM(Financials20263[[#This Row],[Jan AC]:[May AC]])</f>
        <v>0</v>
      </c>
      <c r="BR70" s="6">
        <f>Financials20263[[#This Row],[2026 (Actuals + Forecast)]]-Financials20263[[#This Row],[Jan-May Actuals]]-Financials20263[[#This Row],[Jun-Dec FC]]</f>
        <v>0</v>
      </c>
      <c r="BS70" s="6">
        <f>Financials20263[[#This Row],[Jun-Dec FC]]+Financials20263[[#This Row],[Jan-May Forecast ]]</f>
        <v>0</v>
      </c>
      <c r="BT70" s="6">
        <f>SUM(Financials20263[[#This Row],[Jan FC]:[May FC]])</f>
        <v>0</v>
      </c>
      <c r="BU70" s="6">
        <f>Financials20263[[#This Row],[Jan-May Actuals]]+Financials20263[[#This Row],[Forecast Jun-Dec]]</f>
        <v>0</v>
      </c>
      <c r="BV70" s="6"/>
      <c r="BW70" s="6"/>
      <c r="BX70" s="6"/>
    </row>
    <row r="71" spans="1:76" x14ac:dyDescent="0.3">
      <c r="A71" s="22" t="s">
        <v>101</v>
      </c>
      <c r="B71" s="21" t="s">
        <v>70</v>
      </c>
      <c r="C71" s="21" t="s">
        <v>288</v>
      </c>
      <c r="D71" s="10" t="s">
        <v>30</v>
      </c>
      <c r="E71" s="7" t="s">
        <v>193</v>
      </c>
      <c r="F71" s="3" t="s">
        <v>183</v>
      </c>
      <c r="G71" s="3" t="s">
        <v>48</v>
      </c>
      <c r="H71" s="4">
        <v>45960</v>
      </c>
      <c r="I71" s="4">
        <v>46324</v>
      </c>
      <c r="J71" s="3" t="s">
        <v>290</v>
      </c>
      <c r="K71" s="3" t="str">
        <f t="shared" si="28"/>
        <v>Prj000467-Support - Enterprise Tech Helpdesk</v>
      </c>
      <c r="L71" s="21" t="s">
        <v>106</v>
      </c>
      <c r="M71" s="21" t="s">
        <v>7</v>
      </c>
      <c r="N71" s="21" t="s">
        <v>7</v>
      </c>
      <c r="O71" s="21" t="s">
        <v>7</v>
      </c>
      <c r="P71" s="21" t="s">
        <v>107</v>
      </c>
      <c r="Q71" s="21" t="s">
        <v>108</v>
      </c>
      <c r="R71" s="21" t="s">
        <v>108</v>
      </c>
      <c r="S71" s="21" t="s">
        <v>132</v>
      </c>
      <c r="T71" s="5">
        <v>94231.349999999991</v>
      </c>
      <c r="U71" s="15">
        <v>98942.917499999996</v>
      </c>
      <c r="V71" s="15">
        <v>98942.917499999996</v>
      </c>
      <c r="W71" s="15">
        <f t="shared" si="29"/>
        <v>98943.23</v>
      </c>
      <c r="X71" s="15">
        <f t="shared" ref="X71:X136" si="33">IF(V71 &gt;= W71, V71 - W71, 0)*-1</f>
        <v>0</v>
      </c>
      <c r="Y71" s="15">
        <f t="shared" si="30"/>
        <v>0.3125</v>
      </c>
      <c r="Z71" s="15">
        <f>SUM(Financials20263[[#This Row],[2026 Opportunity]:[2026 Risk]])</f>
        <v>0.3125</v>
      </c>
      <c r="AA71" s="3" t="s">
        <v>290</v>
      </c>
      <c r="AB71" s="52">
        <v>957</v>
      </c>
      <c r="AC71" s="52"/>
      <c r="AD71" s="52"/>
      <c r="AE71" s="52"/>
      <c r="AF71" s="52"/>
      <c r="AG71" s="51"/>
      <c r="AH71" s="52"/>
      <c r="AI71" s="52"/>
      <c r="AJ71" s="52"/>
      <c r="AK71" s="52">
        <f>98943-957</f>
        <v>97986</v>
      </c>
      <c r="AL71" s="52"/>
      <c r="AM71" s="52"/>
      <c r="AN71" s="52">
        <f>SUM(Financials20263[[#This Row],[Jan FC]:[Dec FC]])</f>
        <v>98943</v>
      </c>
      <c r="AO71" s="15">
        <f t="shared" si="31"/>
        <v>97986</v>
      </c>
      <c r="AP71" s="61">
        <v>957.23</v>
      </c>
      <c r="AQ71" s="61"/>
      <c r="AR71" s="61"/>
      <c r="AS71" s="61"/>
      <c r="AT71" s="61"/>
      <c r="AU71" s="60"/>
      <c r="AV71" s="61"/>
      <c r="AW71" s="61"/>
      <c r="AX71" s="61"/>
      <c r="AY71" s="61"/>
      <c r="AZ71" s="61"/>
      <c r="BA71" s="61"/>
      <c r="BB71" s="80">
        <f>SUM(Financials20263[[#This Row],[Jan AC]:[Dec AC]])</f>
        <v>957.23</v>
      </c>
      <c r="BC71" s="71">
        <f>Financials20263[[#This Row],[Jan AC]]-Financials20263[[#This Row],[Jan FC]]</f>
        <v>0.23000000000001819</v>
      </c>
      <c r="BD71" s="71">
        <f>Financials20263[[#This Row],[Feb AC]]-Financials20263[[#This Row],[Feb FC]]</f>
        <v>0</v>
      </c>
      <c r="BE71" s="71">
        <f>Financials20263[[#This Row],[Mar AC]]-Financials20263[[#This Row],[Mar FC]]</f>
        <v>0</v>
      </c>
      <c r="BF71" s="71">
        <f>Financials20263[[#This Row],[Apr AC]]-Financials20263[[#This Row],[Apr FC]]</f>
        <v>0</v>
      </c>
      <c r="BG71" s="71">
        <f>Financials20263[[#This Row],[May AC]]-Financials20263[[#This Row],[May FC]]</f>
        <v>0</v>
      </c>
      <c r="BH71" s="71">
        <f>Financials20263[[#This Row],[Jun AC]]-Financials20263[[#This Row],[Jun FC]]</f>
        <v>0</v>
      </c>
      <c r="BI71" s="71">
        <f>Financials20263[[#This Row],[Jul AC]]-Financials20263[[#This Row],[Jul FC]]</f>
        <v>0</v>
      </c>
      <c r="BJ71" s="71">
        <f>Financials20263[[#This Row],[Aug AC]]-Financials20263[[#This Row],[Aug FC]]</f>
        <v>0</v>
      </c>
      <c r="BK71" s="71">
        <f>Financials20263[[#This Row],[Sep AC]]-Financials20263[[#This Row],[Sep FC]]</f>
        <v>0</v>
      </c>
      <c r="BL71" s="71">
        <f>Financials20263[[#This Row],[Oct AC]]-Financials20263[[#This Row],[Oct FC]]</f>
        <v>-97986</v>
      </c>
      <c r="BM71" s="71">
        <f>Financials20263[[#This Row],[Nov AC]]-Financials20263[[#This Row],[Nov FC]]</f>
        <v>0</v>
      </c>
      <c r="BN71" s="71">
        <f>Financials20263[[#This Row],[Dec AC]]-Financials20263[[#This Row],[Dec FC]]</f>
        <v>0</v>
      </c>
      <c r="BO71" s="71">
        <f>SUM(Financials20263[[#This Row],[Jan Opp/Risk]:[Dec Opp./Risk]])</f>
        <v>-97985.77</v>
      </c>
      <c r="BP71" s="87"/>
      <c r="BQ71" s="47">
        <f>SUM(Financials20263[[#This Row],[Jan AC]:[May AC]])</f>
        <v>957.23</v>
      </c>
      <c r="BR71" s="6">
        <f>Financials20263[[#This Row],[2026 (Actuals + Forecast)]]-Financials20263[[#This Row],[Jan-May Actuals]]-Financials20263[[#This Row],[Jun-Dec FC]]</f>
        <v>0</v>
      </c>
      <c r="BS71" s="6">
        <f>Financials20263[[#This Row],[Jun-Dec FC]]+Financials20263[[#This Row],[Jan-May Forecast ]]</f>
        <v>97986</v>
      </c>
      <c r="BT71" s="6">
        <f>SUM(Financials20263[[#This Row],[Jan FC]:[May FC]])</f>
        <v>957</v>
      </c>
      <c r="BU71" s="6">
        <f>Financials20263[[#This Row],[Jan-May Actuals]]+Financials20263[[#This Row],[Forecast Jun-Dec]]</f>
        <v>98943.23</v>
      </c>
      <c r="BV71" s="6"/>
      <c r="BW71" s="6"/>
      <c r="BX71" s="6"/>
    </row>
    <row r="72" spans="1:76" x14ac:dyDescent="0.3">
      <c r="A72" s="22" t="s">
        <v>101</v>
      </c>
      <c r="B72" s="21" t="s">
        <v>70</v>
      </c>
      <c r="C72" s="21" t="s">
        <v>288</v>
      </c>
      <c r="D72" s="10" t="s">
        <v>37</v>
      </c>
      <c r="E72" s="7" t="s">
        <v>213</v>
      </c>
      <c r="F72" s="3" t="s">
        <v>211</v>
      </c>
      <c r="G72" s="3" t="s">
        <v>48</v>
      </c>
      <c r="H72" s="4">
        <v>45870</v>
      </c>
      <c r="I72" s="4">
        <v>46234</v>
      </c>
      <c r="J72" s="3" t="s">
        <v>291</v>
      </c>
      <c r="K72" s="3" t="str">
        <f t="shared" si="28"/>
        <v>Prj000548-Implement - Reporting for Internal Audit</v>
      </c>
      <c r="L72" s="21" t="s">
        <v>106</v>
      </c>
      <c r="M72" s="21" t="s">
        <v>7</v>
      </c>
      <c r="N72" s="21" t="s">
        <v>7</v>
      </c>
      <c r="O72" s="21" t="s">
        <v>7</v>
      </c>
      <c r="P72" s="21" t="s">
        <v>107</v>
      </c>
      <c r="Q72" s="21" t="s">
        <v>108</v>
      </c>
      <c r="R72" s="21" t="s">
        <v>108</v>
      </c>
      <c r="S72" s="21" t="s">
        <v>132</v>
      </c>
      <c r="T72" s="5">
        <v>8804.2099999999991</v>
      </c>
      <c r="U72" s="15">
        <v>48667.5</v>
      </c>
      <c r="V72" s="15">
        <v>48667.5</v>
      </c>
      <c r="W72" s="15">
        <f t="shared" si="29"/>
        <v>48667.5</v>
      </c>
      <c r="X72" s="15">
        <f t="shared" si="33"/>
        <v>0</v>
      </c>
      <c r="Y72" s="15">
        <f t="shared" si="30"/>
        <v>0</v>
      </c>
      <c r="Z72" s="15">
        <f>SUM(Financials20263[[#This Row],[2026 Opportunity]:[2026 Risk]])</f>
        <v>0</v>
      </c>
      <c r="AA72" s="3" t="s">
        <v>292</v>
      </c>
      <c r="AB72" s="52"/>
      <c r="AC72" s="52"/>
      <c r="AD72" s="52"/>
      <c r="AE72" s="52"/>
      <c r="AF72" s="52"/>
      <c r="AG72" s="51"/>
      <c r="AH72" s="52"/>
      <c r="AI72" s="52"/>
      <c r="AJ72" s="52"/>
      <c r="AK72" s="52">
        <v>48667.5</v>
      </c>
      <c r="AL72" s="52"/>
      <c r="AM72" s="52"/>
      <c r="AN72" s="52">
        <f>SUM(Financials20263[[#This Row],[Jan FC]:[Dec FC]])</f>
        <v>48667.5</v>
      </c>
      <c r="AO72" s="15">
        <f t="shared" si="31"/>
        <v>48667.5</v>
      </c>
      <c r="AP72" s="61"/>
      <c r="AQ72" s="61"/>
      <c r="AR72" s="61"/>
      <c r="AS72" s="61"/>
      <c r="AT72" s="61"/>
      <c r="AU72" s="60"/>
      <c r="AV72" s="61"/>
      <c r="AW72" s="61"/>
      <c r="AX72" s="61"/>
      <c r="AY72" s="61"/>
      <c r="AZ72" s="61"/>
      <c r="BA72" s="61"/>
      <c r="BB72" s="80">
        <f>SUM(Financials20263[[#This Row],[Jan AC]:[Dec AC]])</f>
        <v>0</v>
      </c>
      <c r="BC72" s="71">
        <f>Financials20263[[#This Row],[Jan AC]]-Financials20263[[#This Row],[Jan FC]]</f>
        <v>0</v>
      </c>
      <c r="BD72" s="71">
        <f>Financials20263[[#This Row],[Feb AC]]-Financials20263[[#This Row],[Feb FC]]</f>
        <v>0</v>
      </c>
      <c r="BE72" s="71">
        <f>Financials20263[[#This Row],[Mar AC]]-Financials20263[[#This Row],[Mar FC]]</f>
        <v>0</v>
      </c>
      <c r="BF72" s="71">
        <f>Financials20263[[#This Row],[Apr AC]]-Financials20263[[#This Row],[Apr FC]]</f>
        <v>0</v>
      </c>
      <c r="BG72" s="71">
        <f>Financials20263[[#This Row],[May AC]]-Financials20263[[#This Row],[May FC]]</f>
        <v>0</v>
      </c>
      <c r="BH72" s="71">
        <f>Financials20263[[#This Row],[Jun AC]]-Financials20263[[#This Row],[Jun FC]]</f>
        <v>0</v>
      </c>
      <c r="BI72" s="71">
        <f>Financials20263[[#This Row],[Jul AC]]-Financials20263[[#This Row],[Jul FC]]</f>
        <v>0</v>
      </c>
      <c r="BJ72" s="71">
        <f>Financials20263[[#This Row],[Aug AC]]-Financials20263[[#This Row],[Aug FC]]</f>
        <v>0</v>
      </c>
      <c r="BK72" s="71">
        <f>Financials20263[[#This Row],[Sep AC]]-Financials20263[[#This Row],[Sep FC]]</f>
        <v>0</v>
      </c>
      <c r="BL72" s="71">
        <f>Financials20263[[#This Row],[Oct AC]]-Financials20263[[#This Row],[Oct FC]]</f>
        <v>-48667.5</v>
      </c>
      <c r="BM72" s="71">
        <f>Financials20263[[#This Row],[Nov AC]]-Financials20263[[#This Row],[Nov FC]]</f>
        <v>0</v>
      </c>
      <c r="BN72" s="71">
        <f>Financials20263[[#This Row],[Dec AC]]-Financials20263[[#This Row],[Dec FC]]</f>
        <v>0</v>
      </c>
      <c r="BO72" s="71">
        <f>SUM(Financials20263[[#This Row],[Jan Opp/Risk]:[Dec Opp./Risk]])</f>
        <v>-48667.5</v>
      </c>
      <c r="BP72" s="87"/>
      <c r="BQ72" s="47">
        <f>SUM(Financials20263[[#This Row],[Jan AC]:[May AC]])</f>
        <v>0</v>
      </c>
      <c r="BR72" s="6">
        <f>Financials20263[[#This Row],[2026 (Actuals + Forecast)]]-Financials20263[[#This Row],[Jan-May Actuals]]-Financials20263[[#This Row],[Jun-Dec FC]]</f>
        <v>0</v>
      </c>
      <c r="BS72" s="6">
        <f>Financials20263[[#This Row],[Jun-Dec FC]]+Financials20263[[#This Row],[Jan-May Forecast ]]</f>
        <v>48667.5</v>
      </c>
      <c r="BT72" s="6">
        <f>SUM(Financials20263[[#This Row],[Jan FC]:[May FC]])</f>
        <v>0</v>
      </c>
      <c r="BU72" s="6">
        <f>Financials20263[[#This Row],[Jan-May Actuals]]+Financials20263[[#This Row],[Forecast Jun-Dec]]</f>
        <v>48667.5</v>
      </c>
      <c r="BV72" s="6"/>
      <c r="BW72" s="6"/>
      <c r="BX72" s="6"/>
    </row>
    <row r="73" spans="1:76" x14ac:dyDescent="0.3">
      <c r="A73" s="22" t="s">
        <v>101</v>
      </c>
      <c r="B73" s="21" t="s">
        <v>70</v>
      </c>
      <c r="C73" s="21" t="s">
        <v>288</v>
      </c>
      <c r="D73" s="10" t="s">
        <v>29</v>
      </c>
      <c r="E73" s="7" t="s">
        <v>210</v>
      </c>
      <c r="F73" s="3" t="s">
        <v>211</v>
      </c>
      <c r="G73" s="3" t="s">
        <v>48</v>
      </c>
      <c r="H73" s="4">
        <v>45896</v>
      </c>
      <c r="I73" s="4">
        <v>46260</v>
      </c>
      <c r="J73" s="3" t="s">
        <v>293</v>
      </c>
      <c r="K73" s="3" t="str">
        <f t="shared" si="28"/>
        <v>Prj000458-Support - Data Analytics Office</v>
      </c>
      <c r="L73" s="21" t="s">
        <v>106</v>
      </c>
      <c r="M73" s="21" t="s">
        <v>7</v>
      </c>
      <c r="N73" s="21" t="s">
        <v>7</v>
      </c>
      <c r="O73" s="21" t="s">
        <v>294</v>
      </c>
      <c r="P73" s="21" t="s">
        <v>107</v>
      </c>
      <c r="Q73" s="21" t="s">
        <v>108</v>
      </c>
      <c r="R73" s="21" t="s">
        <v>108</v>
      </c>
      <c r="S73" s="21" t="s">
        <v>132</v>
      </c>
      <c r="T73" s="5">
        <v>837.46</v>
      </c>
      <c r="U73" s="15">
        <v>68250</v>
      </c>
      <c r="V73" s="15">
        <v>68250</v>
      </c>
      <c r="W73" s="15">
        <f t="shared" si="29"/>
        <v>68250</v>
      </c>
      <c r="X73" s="15">
        <f t="shared" si="33"/>
        <v>0</v>
      </c>
      <c r="Y73" s="15">
        <f t="shared" si="30"/>
        <v>0</v>
      </c>
      <c r="Z73" s="15">
        <f>SUM(Financials20263[[#This Row],[2026 Opportunity]:[2026 Risk]])</f>
        <v>0</v>
      </c>
      <c r="AA73" s="3" t="s">
        <v>295</v>
      </c>
      <c r="AB73" s="52"/>
      <c r="AC73" s="52"/>
      <c r="AD73" s="52"/>
      <c r="AE73" s="52"/>
      <c r="AF73" s="52"/>
      <c r="AG73" s="51"/>
      <c r="AH73" s="52"/>
      <c r="AI73" s="52">
        <v>68250</v>
      </c>
      <c r="AJ73" s="52"/>
      <c r="AK73" s="52"/>
      <c r="AL73" s="52"/>
      <c r="AM73" s="52"/>
      <c r="AN73" s="52">
        <f>SUM(Financials20263[[#This Row],[Jan FC]:[Dec FC]])</f>
        <v>68250</v>
      </c>
      <c r="AO73" s="15">
        <f t="shared" si="31"/>
        <v>68250</v>
      </c>
      <c r="AP73" s="61"/>
      <c r="AQ73" s="61"/>
      <c r="AR73" s="61"/>
      <c r="AS73" s="61"/>
      <c r="AT73" s="61"/>
      <c r="AU73" s="60"/>
      <c r="AV73" s="61"/>
      <c r="AW73" s="61"/>
      <c r="AX73" s="61"/>
      <c r="AY73" s="61"/>
      <c r="AZ73" s="61"/>
      <c r="BA73" s="61"/>
      <c r="BB73" s="80">
        <f>SUM(Financials20263[[#This Row],[Jan AC]:[Dec AC]])</f>
        <v>0</v>
      </c>
      <c r="BC73" s="71">
        <f>Financials20263[[#This Row],[Jan AC]]-Financials20263[[#This Row],[Jan FC]]</f>
        <v>0</v>
      </c>
      <c r="BD73" s="71">
        <f>Financials20263[[#This Row],[Feb AC]]-Financials20263[[#This Row],[Feb FC]]</f>
        <v>0</v>
      </c>
      <c r="BE73" s="71">
        <f>Financials20263[[#This Row],[Mar AC]]-Financials20263[[#This Row],[Mar FC]]</f>
        <v>0</v>
      </c>
      <c r="BF73" s="71">
        <f>Financials20263[[#This Row],[Apr AC]]-Financials20263[[#This Row],[Apr FC]]</f>
        <v>0</v>
      </c>
      <c r="BG73" s="71">
        <f>Financials20263[[#This Row],[May AC]]-Financials20263[[#This Row],[May FC]]</f>
        <v>0</v>
      </c>
      <c r="BH73" s="71">
        <f>Financials20263[[#This Row],[Jun AC]]-Financials20263[[#This Row],[Jun FC]]</f>
        <v>0</v>
      </c>
      <c r="BI73" s="71">
        <f>Financials20263[[#This Row],[Jul AC]]-Financials20263[[#This Row],[Jul FC]]</f>
        <v>0</v>
      </c>
      <c r="BJ73" s="71">
        <f>Financials20263[[#This Row],[Aug AC]]-Financials20263[[#This Row],[Aug FC]]</f>
        <v>-68250</v>
      </c>
      <c r="BK73" s="71">
        <f>Financials20263[[#This Row],[Sep AC]]-Financials20263[[#This Row],[Sep FC]]</f>
        <v>0</v>
      </c>
      <c r="BL73" s="71">
        <f>Financials20263[[#This Row],[Oct AC]]-Financials20263[[#This Row],[Oct FC]]</f>
        <v>0</v>
      </c>
      <c r="BM73" s="71">
        <f>Financials20263[[#This Row],[Nov AC]]-Financials20263[[#This Row],[Nov FC]]</f>
        <v>0</v>
      </c>
      <c r="BN73" s="71">
        <f>Financials20263[[#This Row],[Dec AC]]-Financials20263[[#This Row],[Dec FC]]</f>
        <v>0</v>
      </c>
      <c r="BO73" s="71">
        <f>SUM(Financials20263[[#This Row],[Jan Opp/Risk]:[Dec Opp./Risk]])</f>
        <v>-68250</v>
      </c>
      <c r="BP73" s="87"/>
      <c r="BQ73" s="47">
        <f>SUM(Financials20263[[#This Row],[Jan AC]:[May AC]])</f>
        <v>0</v>
      </c>
      <c r="BR73" s="6">
        <f>Financials20263[[#This Row],[2026 (Actuals + Forecast)]]-Financials20263[[#This Row],[Jan-May Actuals]]-Financials20263[[#This Row],[Jun-Dec FC]]</f>
        <v>0</v>
      </c>
      <c r="BS73" s="6">
        <f>Financials20263[[#This Row],[Jun-Dec FC]]+Financials20263[[#This Row],[Jan-May Forecast ]]</f>
        <v>68250</v>
      </c>
      <c r="BT73" s="6">
        <f>SUM(Financials20263[[#This Row],[Jan FC]:[May FC]])</f>
        <v>0</v>
      </c>
      <c r="BU73" s="6">
        <f>Financials20263[[#This Row],[Jan-May Actuals]]+Financials20263[[#This Row],[Forecast Jun-Dec]]</f>
        <v>68250</v>
      </c>
      <c r="BV73" s="6"/>
      <c r="BW73" s="6"/>
      <c r="BX73" s="6"/>
    </row>
    <row r="74" spans="1:76" x14ac:dyDescent="0.3">
      <c r="A74" s="22" t="s">
        <v>101</v>
      </c>
      <c r="B74" s="21" t="s">
        <v>181</v>
      </c>
      <c r="C74" s="21" t="s">
        <v>296</v>
      </c>
      <c r="D74" s="10" t="s">
        <v>22</v>
      </c>
      <c r="E74" s="7" t="s">
        <v>182</v>
      </c>
      <c r="F74" s="3" t="s">
        <v>183</v>
      </c>
      <c r="G74" s="3" t="s">
        <v>48</v>
      </c>
      <c r="H74" s="4">
        <v>46022</v>
      </c>
      <c r="I74" s="4">
        <v>46386</v>
      </c>
      <c r="J74" s="3" t="s">
        <v>297</v>
      </c>
      <c r="K74" s="3" t="str">
        <f t="shared" si="28"/>
        <v>Prj000403-Support - L2 CoE Management for Tech Horizontals</v>
      </c>
      <c r="L74" s="21" t="s">
        <v>106</v>
      </c>
      <c r="M74" s="21" t="s">
        <v>7</v>
      </c>
      <c r="N74" s="21" t="s">
        <v>7</v>
      </c>
      <c r="O74" s="21" t="s">
        <v>200</v>
      </c>
      <c r="P74" s="21" t="s">
        <v>107</v>
      </c>
      <c r="Q74" s="21" t="s">
        <v>108</v>
      </c>
      <c r="R74" s="21" t="s">
        <v>108</v>
      </c>
      <c r="S74" s="21" t="s">
        <v>132</v>
      </c>
      <c r="T74" s="5">
        <v>96041.64</v>
      </c>
      <c r="U74" s="15">
        <v>100844.1</v>
      </c>
      <c r="V74" s="15">
        <v>100844.1</v>
      </c>
      <c r="W74" s="15">
        <f t="shared" si="29"/>
        <v>96041.64</v>
      </c>
      <c r="X74" s="15">
        <f t="shared" si="33"/>
        <v>-4802.4600000000064</v>
      </c>
      <c r="Y74" s="15">
        <f t="shared" si="30"/>
        <v>0</v>
      </c>
      <c r="Z74" s="15">
        <f>SUM(Financials20263[[#This Row],[2026 Opportunity]:[2026 Risk]])</f>
        <v>-4802.4600000000064</v>
      </c>
      <c r="AA74" s="3" t="s">
        <v>443</v>
      </c>
      <c r="AB74" s="52"/>
      <c r="AC74" s="52">
        <v>100844.1</v>
      </c>
      <c r="AD74" s="52"/>
      <c r="AE74" s="52"/>
      <c r="AF74" s="52"/>
      <c r="AG74" s="52"/>
      <c r="AH74" s="52"/>
      <c r="AI74" s="52"/>
      <c r="AJ74" s="52"/>
      <c r="AK74" s="52"/>
      <c r="AL74" s="52"/>
      <c r="AM74" s="52"/>
      <c r="AN74" s="52">
        <f>SUM(Financials20263[[#This Row],[Jan FC]:[Dec FC]])</f>
        <v>100844.1</v>
      </c>
      <c r="AO74" s="15">
        <f t="shared" si="31"/>
        <v>0</v>
      </c>
      <c r="AP74" s="61"/>
      <c r="AQ74" s="61">
        <v>96041.64</v>
      </c>
      <c r="AR74" s="61"/>
      <c r="AS74" s="61"/>
      <c r="AT74" s="61"/>
      <c r="AU74" s="61"/>
      <c r="AV74" s="61"/>
      <c r="AW74" s="61"/>
      <c r="AX74" s="61"/>
      <c r="AY74" s="61"/>
      <c r="AZ74" s="61"/>
      <c r="BA74" s="61"/>
      <c r="BB74" s="80">
        <f>SUM(Financials20263[[#This Row],[Jan AC]:[Dec AC]])</f>
        <v>96041.64</v>
      </c>
      <c r="BC74" s="71">
        <f>Financials20263[[#This Row],[Jan AC]]-Financials20263[[#This Row],[Jan FC]]</f>
        <v>0</v>
      </c>
      <c r="BD74" s="71">
        <f>Financials20263[[#This Row],[Feb AC]]-Financials20263[[#This Row],[Feb FC]]</f>
        <v>-4802.4600000000064</v>
      </c>
      <c r="BE74" s="71">
        <f>Financials20263[[#This Row],[Mar AC]]-Financials20263[[#This Row],[Mar FC]]</f>
        <v>0</v>
      </c>
      <c r="BF74" s="71">
        <f>Financials20263[[#This Row],[Apr AC]]-Financials20263[[#This Row],[Apr FC]]</f>
        <v>0</v>
      </c>
      <c r="BG74" s="71">
        <f>Financials20263[[#This Row],[May AC]]-Financials20263[[#This Row],[May FC]]</f>
        <v>0</v>
      </c>
      <c r="BH74" s="71">
        <f>Financials20263[[#This Row],[Jun AC]]-Financials20263[[#This Row],[Jun FC]]</f>
        <v>0</v>
      </c>
      <c r="BI74" s="71">
        <f>Financials20263[[#This Row],[Jul AC]]-Financials20263[[#This Row],[Jul FC]]</f>
        <v>0</v>
      </c>
      <c r="BJ74" s="71">
        <f>Financials20263[[#This Row],[Aug AC]]-Financials20263[[#This Row],[Aug FC]]</f>
        <v>0</v>
      </c>
      <c r="BK74" s="71">
        <f>Financials20263[[#This Row],[Sep AC]]-Financials20263[[#This Row],[Sep FC]]</f>
        <v>0</v>
      </c>
      <c r="BL74" s="71">
        <f>Financials20263[[#This Row],[Oct AC]]-Financials20263[[#This Row],[Oct FC]]</f>
        <v>0</v>
      </c>
      <c r="BM74" s="71">
        <f>Financials20263[[#This Row],[Nov AC]]-Financials20263[[#This Row],[Nov FC]]</f>
        <v>0</v>
      </c>
      <c r="BN74" s="71">
        <f>Financials20263[[#This Row],[Dec AC]]-Financials20263[[#This Row],[Dec FC]]</f>
        <v>0</v>
      </c>
      <c r="BO74" s="71">
        <f>SUM(Financials20263[[#This Row],[Jan Opp/Risk]:[Dec Opp./Risk]])</f>
        <v>-4802.4600000000064</v>
      </c>
      <c r="BP74" s="87" t="s">
        <v>519</v>
      </c>
      <c r="BQ74" s="47">
        <f>SUM(Financials20263[[#This Row],[Jan AC]:[May AC]])</f>
        <v>96041.64</v>
      </c>
      <c r="BR74" s="6">
        <f>Financials20263[[#This Row],[2026 (Actuals + Forecast)]]-Financials20263[[#This Row],[Jan-May Actuals]]-Financials20263[[#This Row],[Jun-Dec FC]]</f>
        <v>0</v>
      </c>
      <c r="BS74" s="6">
        <f>Financials20263[[#This Row],[Jun-Dec FC]]+Financials20263[[#This Row],[Jan-May Forecast ]]</f>
        <v>0</v>
      </c>
      <c r="BT74" s="6">
        <f>SUM(Financials20263[[#This Row],[Jan FC]:[May FC]])</f>
        <v>100844.1</v>
      </c>
      <c r="BU74" s="6">
        <f>Financials20263[[#This Row],[Jan-May Actuals]]+Financials20263[[#This Row],[Forecast Jun-Dec]]</f>
        <v>96041.64</v>
      </c>
      <c r="BV74" s="6"/>
      <c r="BW74" s="6"/>
      <c r="BX74" s="6"/>
    </row>
    <row r="75" spans="1:76" x14ac:dyDescent="0.3">
      <c r="A75" s="22" t="s">
        <v>101</v>
      </c>
      <c r="B75" s="21" t="s">
        <v>298</v>
      </c>
      <c r="C75" s="21" t="s">
        <v>299</v>
      </c>
      <c r="D75" s="10" t="s">
        <v>27</v>
      </c>
      <c r="E75" s="7" t="s">
        <v>216</v>
      </c>
      <c r="F75" s="3" t="s">
        <v>114</v>
      </c>
      <c r="G75" s="3" t="s">
        <v>53</v>
      </c>
      <c r="H75" s="4">
        <v>46017</v>
      </c>
      <c r="I75" s="4">
        <v>46381</v>
      </c>
      <c r="J75" s="3" t="s">
        <v>165</v>
      </c>
      <c r="K75" s="3" t="str">
        <f t="shared" si="28"/>
        <v>Prj000446-Implement - Minor Enhancements for Enterprise Apps</v>
      </c>
      <c r="L75" s="21" t="s">
        <v>106</v>
      </c>
      <c r="M75" s="21" t="s">
        <v>7</v>
      </c>
      <c r="N75" s="21" t="s">
        <v>7</v>
      </c>
      <c r="O75" s="21"/>
      <c r="P75" s="21" t="s">
        <v>107</v>
      </c>
      <c r="Q75" s="21" t="s">
        <v>108</v>
      </c>
      <c r="R75" s="21" t="s">
        <v>108</v>
      </c>
      <c r="S75" s="21" t="s">
        <v>132</v>
      </c>
      <c r="T75" s="5">
        <v>71433.45</v>
      </c>
      <c r="U75" s="15">
        <v>70432.698000000004</v>
      </c>
      <c r="V75" s="15">
        <v>70432.698000000004</v>
      </c>
      <c r="W75" s="15">
        <f t="shared" si="29"/>
        <v>70310.907999999996</v>
      </c>
      <c r="X75" s="15">
        <f t="shared" si="33"/>
        <v>-121.79000000000815</v>
      </c>
      <c r="Y75" s="15">
        <f t="shared" si="30"/>
        <v>0</v>
      </c>
      <c r="Z75" s="15">
        <f>SUM(Financials20263[[#This Row],[2026 Opportunity]:[2026 Risk]])</f>
        <v>-121.79000000000815</v>
      </c>
      <c r="AA75" s="3"/>
      <c r="AB75" s="52">
        <v>200</v>
      </c>
      <c r="AC75" s="52">
        <v>200</v>
      </c>
      <c r="AD75" s="52">
        <v>200</v>
      </c>
      <c r="AE75" s="52">
        <v>200</v>
      </c>
      <c r="AF75" s="52">
        <v>200</v>
      </c>
      <c r="AG75" s="52">
        <v>200</v>
      </c>
      <c r="AH75" s="52">
        <v>200</v>
      </c>
      <c r="AI75" s="52">
        <v>200</v>
      </c>
      <c r="AJ75" s="52">
        <v>200</v>
      </c>
      <c r="AK75" s="52">
        <v>200</v>
      </c>
      <c r="AL75" s="52">
        <v>200</v>
      </c>
      <c r="AM75" s="52">
        <v>68232.698000000004</v>
      </c>
      <c r="AN75" s="52">
        <f>SUM(Financials20263[[#This Row],[Jan FC]:[Dec FC]])</f>
        <v>70432.698000000004</v>
      </c>
      <c r="AO75" s="15">
        <f t="shared" si="31"/>
        <v>69432.698000000004</v>
      </c>
      <c r="AP75" s="61">
        <v>161.13999999999999</v>
      </c>
      <c r="AQ75" s="61">
        <v>161.13999999999999</v>
      </c>
      <c r="AR75" s="61">
        <v>185.31</v>
      </c>
      <c r="AS75" s="61">
        <v>185.31</v>
      </c>
      <c r="AT75" s="61">
        <v>185.31</v>
      </c>
      <c r="AU75" s="61"/>
      <c r="AV75" s="61"/>
      <c r="AW75" s="61"/>
      <c r="AX75" s="61"/>
      <c r="AY75" s="61"/>
      <c r="AZ75" s="61"/>
      <c r="BA75" s="61"/>
      <c r="BB75" s="80">
        <f>SUM(Financials20263[[#This Row],[Jan AC]:[Dec AC]])</f>
        <v>878.21</v>
      </c>
      <c r="BC75" s="71">
        <f>Financials20263[[#This Row],[Jan AC]]-Financials20263[[#This Row],[Jan FC]]</f>
        <v>-38.860000000000014</v>
      </c>
      <c r="BD75" s="71">
        <f>Financials20263[[#This Row],[Feb AC]]-Financials20263[[#This Row],[Feb FC]]</f>
        <v>-38.860000000000014</v>
      </c>
      <c r="BE75" s="71">
        <f>Financials20263[[#This Row],[Mar AC]]-Financials20263[[#This Row],[Mar FC]]</f>
        <v>-14.689999999999998</v>
      </c>
      <c r="BF75" s="71">
        <f>Financials20263[[#This Row],[Apr AC]]-Financials20263[[#This Row],[Apr FC]]</f>
        <v>-14.689999999999998</v>
      </c>
      <c r="BG75" s="71">
        <f>Financials20263[[#This Row],[May AC]]-Financials20263[[#This Row],[May FC]]</f>
        <v>-14.689999999999998</v>
      </c>
      <c r="BH75" s="71">
        <f>Financials20263[[#This Row],[Jun AC]]-Financials20263[[#This Row],[Jun FC]]</f>
        <v>-200</v>
      </c>
      <c r="BI75" s="71">
        <f>Financials20263[[#This Row],[Jul AC]]-Financials20263[[#This Row],[Jul FC]]</f>
        <v>-200</v>
      </c>
      <c r="BJ75" s="71">
        <f>Financials20263[[#This Row],[Aug AC]]-Financials20263[[#This Row],[Aug FC]]</f>
        <v>-200</v>
      </c>
      <c r="BK75" s="71">
        <f>Financials20263[[#This Row],[Sep AC]]-Financials20263[[#This Row],[Sep FC]]</f>
        <v>-200</v>
      </c>
      <c r="BL75" s="71">
        <f>Financials20263[[#This Row],[Oct AC]]-Financials20263[[#This Row],[Oct FC]]</f>
        <v>-200</v>
      </c>
      <c r="BM75" s="71">
        <f>Financials20263[[#This Row],[Nov AC]]-Financials20263[[#This Row],[Nov FC]]</f>
        <v>-200</v>
      </c>
      <c r="BN75" s="71">
        <f>Financials20263[[#This Row],[Dec AC]]-Financials20263[[#This Row],[Dec FC]]</f>
        <v>-68232.698000000004</v>
      </c>
      <c r="BO75" s="71">
        <f>SUM(Financials20263[[#This Row],[Jan Opp/Risk]:[Dec Opp./Risk]])</f>
        <v>-69554.487999999998</v>
      </c>
      <c r="BP75" s="87"/>
      <c r="BQ75" s="47">
        <f>SUM(Financials20263[[#This Row],[Jan AC]:[May AC]])</f>
        <v>878.21</v>
      </c>
      <c r="BR75" s="6">
        <f>Financials20263[[#This Row],[2026 (Actuals + Forecast)]]-Financials20263[[#This Row],[Jan-May Actuals]]-Financials20263[[#This Row],[Jun-Dec FC]]</f>
        <v>0</v>
      </c>
      <c r="BS75" s="6">
        <f>Financials20263[[#This Row],[Jun-Dec FC]]+Financials20263[[#This Row],[Jan-May Forecast ]]</f>
        <v>69432.698000000004</v>
      </c>
      <c r="BT75" s="6">
        <f>SUM(Financials20263[[#This Row],[Jan FC]:[May FC]])</f>
        <v>1000</v>
      </c>
      <c r="BU75" s="6">
        <f>Financials20263[[#This Row],[Jan-May Actuals]]+Financials20263[[#This Row],[Forecast Jun-Dec]]</f>
        <v>70310.90800000001</v>
      </c>
      <c r="BV75" s="6"/>
      <c r="BW75" s="6"/>
      <c r="BX75" s="6"/>
    </row>
    <row r="76" spans="1:76" x14ac:dyDescent="0.3">
      <c r="A76" s="22" t="s">
        <v>101</v>
      </c>
      <c r="B76" s="21" t="s">
        <v>138</v>
      </c>
      <c r="C76" s="21" t="s">
        <v>139</v>
      </c>
      <c r="D76" s="10" t="s">
        <v>13</v>
      </c>
      <c r="E76" s="7" t="s">
        <v>140</v>
      </c>
      <c r="F76" s="3" t="s">
        <v>141</v>
      </c>
      <c r="G76" s="3" t="s">
        <v>52</v>
      </c>
      <c r="H76" s="4">
        <v>45831</v>
      </c>
      <c r="I76" s="4">
        <v>46196</v>
      </c>
      <c r="J76" s="3" t="s">
        <v>300</v>
      </c>
      <c r="K76" s="3" t="str">
        <f t="shared" si="28"/>
        <v>Prj000290-Support - Asset Management Applications</v>
      </c>
      <c r="L76" s="21" t="s">
        <v>106</v>
      </c>
      <c r="M76" s="21" t="s">
        <v>7</v>
      </c>
      <c r="N76" s="21" t="s">
        <v>7</v>
      </c>
      <c r="O76" s="21" t="s">
        <v>301</v>
      </c>
      <c r="P76" s="21" t="s">
        <v>107</v>
      </c>
      <c r="Q76" s="21" t="s">
        <v>108</v>
      </c>
      <c r="R76" s="21" t="s">
        <v>108</v>
      </c>
      <c r="S76" s="21" t="s">
        <v>109</v>
      </c>
      <c r="T76" s="5">
        <v>75833</v>
      </c>
      <c r="U76" s="15">
        <v>133245.90000000002</v>
      </c>
      <c r="V76" s="15">
        <v>133245.90000000002</v>
      </c>
      <c r="W76" s="15">
        <f t="shared" si="29"/>
        <v>133246.31666666665</v>
      </c>
      <c r="X76" s="15">
        <f t="shared" si="33"/>
        <v>0</v>
      </c>
      <c r="Y76" s="15">
        <f t="shared" si="30"/>
        <v>0.41666666662786156</v>
      </c>
      <c r="Z76" s="15">
        <f>SUM(Financials20263[[#This Row],[2026 Opportunity]:[2026 Risk]])</f>
        <v>0.41666666662786156</v>
      </c>
      <c r="AA76" s="3" t="s">
        <v>302</v>
      </c>
      <c r="AB76" s="52">
        <v>10832.650000000003</v>
      </c>
      <c r="AC76" s="52">
        <v>10832.650000000003</v>
      </c>
      <c r="AD76" s="52">
        <v>10832.650000000003</v>
      </c>
      <c r="AE76" s="52">
        <v>10832.650000000003</v>
      </c>
      <c r="AF76" s="52">
        <v>10832.650000000003</v>
      </c>
      <c r="AG76" s="52">
        <v>10832.650000000003</v>
      </c>
      <c r="AH76" s="52">
        <v>11375</v>
      </c>
      <c r="AI76" s="52">
        <v>11375</v>
      </c>
      <c r="AJ76" s="52">
        <v>11375</v>
      </c>
      <c r="AK76" s="52">
        <v>11375</v>
      </c>
      <c r="AL76" s="52">
        <v>11375</v>
      </c>
      <c r="AM76" s="52">
        <f>11375-3</f>
        <v>11372</v>
      </c>
      <c r="AN76" s="77">
        <f>SUM(Financials20263[[#This Row],[Jan FC]:[Dec FC]])</f>
        <v>133242.90000000002</v>
      </c>
      <c r="AO76" s="15">
        <f t="shared" si="31"/>
        <v>79079.649999999994</v>
      </c>
      <c r="AP76" s="61">
        <f t="shared" ref="AP76:AU76" si="34">130000/12</f>
        <v>10833.333333333334</v>
      </c>
      <c r="AQ76" s="61">
        <f t="shared" si="34"/>
        <v>10833.333333333334</v>
      </c>
      <c r="AR76" s="61">
        <f t="shared" si="34"/>
        <v>10833.333333333334</v>
      </c>
      <c r="AS76" s="61">
        <f t="shared" si="34"/>
        <v>10833.333333333334</v>
      </c>
      <c r="AT76" s="61">
        <f t="shared" si="34"/>
        <v>10833.333333333334</v>
      </c>
      <c r="AU76" s="61">
        <f t="shared" si="34"/>
        <v>10833.333333333334</v>
      </c>
      <c r="AV76" s="60"/>
      <c r="AW76" s="60"/>
      <c r="AX76" s="60"/>
      <c r="AY76" s="60"/>
      <c r="AZ76" s="60"/>
      <c r="BA76" s="60"/>
      <c r="BB76" s="79">
        <f>SUM(Financials20263[[#This Row],[Jan AC]:[Dec AC]])</f>
        <v>65000.000000000007</v>
      </c>
      <c r="BC76" s="71">
        <f>Financials20263[[#This Row],[Jan AC]]-Financials20263[[#This Row],[Jan FC]]</f>
        <v>0.68333333333066548</v>
      </c>
      <c r="BD76" s="71">
        <f>Financials20263[[#This Row],[Feb AC]]-Financials20263[[#This Row],[Feb FC]]</f>
        <v>0.68333333333066548</v>
      </c>
      <c r="BE76" s="71">
        <f>Financials20263[[#This Row],[Mar AC]]-Financials20263[[#This Row],[Mar FC]]</f>
        <v>0.68333333333066548</v>
      </c>
      <c r="BF76" s="71">
        <f>Financials20263[[#This Row],[Apr AC]]-Financials20263[[#This Row],[Apr FC]]</f>
        <v>0.68333333333066548</v>
      </c>
      <c r="BG76" s="71">
        <f>Financials20263[[#This Row],[May AC]]-Financials20263[[#This Row],[May FC]]</f>
        <v>0.68333333333066548</v>
      </c>
      <c r="BH76" s="71">
        <f>Financials20263[[#This Row],[Jun AC]]-Financials20263[[#This Row],[Jun FC]]</f>
        <v>0.68333333333066548</v>
      </c>
      <c r="BI76" s="71">
        <f>Financials20263[[#This Row],[Jul AC]]-Financials20263[[#This Row],[Jul FC]]</f>
        <v>-11375</v>
      </c>
      <c r="BJ76" s="71">
        <f>Financials20263[[#This Row],[Aug AC]]-Financials20263[[#This Row],[Aug FC]]</f>
        <v>-11375</v>
      </c>
      <c r="BK76" s="71">
        <f>Financials20263[[#This Row],[Sep AC]]-Financials20263[[#This Row],[Sep FC]]</f>
        <v>-11375</v>
      </c>
      <c r="BL76" s="71">
        <f>Financials20263[[#This Row],[Oct AC]]-Financials20263[[#This Row],[Oct FC]]</f>
        <v>-11375</v>
      </c>
      <c r="BM76" s="71">
        <f>Financials20263[[#This Row],[Nov AC]]-Financials20263[[#This Row],[Nov FC]]</f>
        <v>-11375</v>
      </c>
      <c r="BN76" s="71">
        <f>Financials20263[[#This Row],[Dec AC]]-Financials20263[[#This Row],[Dec FC]]</f>
        <v>-11372</v>
      </c>
      <c r="BO76" s="71">
        <f>SUM(Financials20263[[#This Row],[Jan Opp/Risk]:[Dec Opp./Risk]])</f>
        <v>-68242.900000000023</v>
      </c>
      <c r="BP76" s="87"/>
      <c r="BQ76" s="47">
        <f>SUM(Financials20263[[#This Row],[Jan AC]:[May AC]])</f>
        <v>54166.666666666672</v>
      </c>
      <c r="BR76" s="6">
        <f>Financials20263[[#This Row],[2026 (Actuals + Forecast)]]-Financials20263[[#This Row],[Jan-May Actuals]]-Financials20263[[#This Row],[Jun-Dec FC]]</f>
        <v>0</v>
      </c>
      <c r="BS76" s="6">
        <f>Financials20263[[#This Row],[Jun-Dec FC]]+Financials20263[[#This Row],[Jan-May Forecast ]]</f>
        <v>79079.649999999994</v>
      </c>
      <c r="BT76" s="6">
        <f>SUM(Financials20263[[#This Row],[Jan FC]:[May FC]])</f>
        <v>54163.250000000015</v>
      </c>
      <c r="BU76" s="6">
        <f>Financials20263[[#This Row],[Jan-May Actuals]]+Financials20263[[#This Row],[Forecast Jun-Dec]]</f>
        <v>133246.31666666665</v>
      </c>
      <c r="BV76" s="6"/>
      <c r="BW76" s="6"/>
      <c r="BX76" s="6"/>
    </row>
    <row r="77" spans="1:76" x14ac:dyDescent="0.3">
      <c r="A77" s="22" t="s">
        <v>101</v>
      </c>
      <c r="B77" s="21" t="s">
        <v>75</v>
      </c>
      <c r="C77" s="21" t="s">
        <v>303</v>
      </c>
      <c r="D77" s="10" t="s">
        <v>17</v>
      </c>
      <c r="E77" s="7" t="s">
        <v>103</v>
      </c>
      <c r="F77" s="3" t="s">
        <v>104</v>
      </c>
      <c r="G77" s="3" t="s">
        <v>49</v>
      </c>
      <c r="H77" s="4">
        <v>45719</v>
      </c>
      <c r="I77" s="4">
        <v>45719</v>
      </c>
      <c r="J77" s="3"/>
      <c r="K77" s="3" t="str">
        <f t="shared" si="28"/>
        <v>Prj000350-Support - Infrastructure for Tech</v>
      </c>
      <c r="L77" s="21" t="s">
        <v>106</v>
      </c>
      <c r="M77" s="21" t="s">
        <v>7</v>
      </c>
      <c r="N77" s="21" t="s">
        <v>7</v>
      </c>
      <c r="O77" s="21"/>
      <c r="P77" s="21" t="s">
        <v>107</v>
      </c>
      <c r="Q77" s="21" t="s">
        <v>108</v>
      </c>
      <c r="R77" s="21" t="s">
        <v>108</v>
      </c>
      <c r="S77" s="21" t="s">
        <v>132</v>
      </c>
      <c r="T77" s="5">
        <v>5000</v>
      </c>
      <c r="U77" s="15">
        <v>5250</v>
      </c>
      <c r="V77" s="15">
        <v>5250</v>
      </c>
      <c r="W77" s="15">
        <f t="shared" si="29"/>
        <v>5250</v>
      </c>
      <c r="X77" s="15">
        <f t="shared" si="33"/>
        <v>0</v>
      </c>
      <c r="Y77" s="15">
        <f t="shared" si="30"/>
        <v>0</v>
      </c>
      <c r="Z77" s="15">
        <f>SUM(Financials20263[[#This Row],[2026 Opportunity]:[2026 Risk]])</f>
        <v>0</v>
      </c>
      <c r="AA77" s="3"/>
      <c r="AB77" s="52"/>
      <c r="AC77" s="52"/>
      <c r="AD77" s="52">
        <v>5250</v>
      </c>
      <c r="AE77" s="52"/>
      <c r="AF77" s="52"/>
      <c r="AG77" s="52"/>
      <c r="AH77" s="52"/>
      <c r="AI77" s="52"/>
      <c r="AJ77" s="52"/>
      <c r="AK77" s="52"/>
      <c r="AL77" s="52"/>
      <c r="AM77" s="52"/>
      <c r="AN77" s="52">
        <f>SUM(Financials20263[[#This Row],[Jan FC]:[Dec FC]])</f>
        <v>5250</v>
      </c>
      <c r="AO77" s="15">
        <f t="shared" si="31"/>
        <v>0</v>
      </c>
      <c r="AP77" s="61"/>
      <c r="AQ77" s="61"/>
      <c r="AR77" s="61"/>
      <c r="AS77" s="61"/>
      <c r="AT77" s="61"/>
      <c r="AU77" s="61"/>
      <c r="AV77" s="61"/>
      <c r="AW77" s="61"/>
      <c r="AX77" s="61"/>
      <c r="AY77" s="61"/>
      <c r="AZ77" s="61"/>
      <c r="BA77" s="61"/>
      <c r="BB77" s="80">
        <f>SUM(Financials20263[[#This Row],[Jan AC]:[Dec AC]])</f>
        <v>0</v>
      </c>
      <c r="BC77" s="71">
        <f>Financials20263[[#This Row],[Jan AC]]-Financials20263[[#This Row],[Jan FC]]</f>
        <v>0</v>
      </c>
      <c r="BD77" s="71">
        <f>Financials20263[[#This Row],[Feb AC]]-Financials20263[[#This Row],[Feb FC]]</f>
        <v>0</v>
      </c>
      <c r="BE77" s="71">
        <f>Financials20263[[#This Row],[Mar AC]]-Financials20263[[#This Row],[Mar FC]]</f>
        <v>-5250</v>
      </c>
      <c r="BF77" s="71">
        <f>Financials20263[[#This Row],[Apr AC]]-Financials20263[[#This Row],[Apr FC]]</f>
        <v>0</v>
      </c>
      <c r="BG77" s="71">
        <f>Financials20263[[#This Row],[May AC]]-Financials20263[[#This Row],[May FC]]</f>
        <v>0</v>
      </c>
      <c r="BH77" s="71">
        <f>Financials20263[[#This Row],[Jun AC]]-Financials20263[[#This Row],[Jun FC]]</f>
        <v>0</v>
      </c>
      <c r="BI77" s="71">
        <f>Financials20263[[#This Row],[Jul AC]]-Financials20263[[#This Row],[Jul FC]]</f>
        <v>0</v>
      </c>
      <c r="BJ77" s="71">
        <f>Financials20263[[#This Row],[Aug AC]]-Financials20263[[#This Row],[Aug FC]]</f>
        <v>0</v>
      </c>
      <c r="BK77" s="71">
        <f>Financials20263[[#This Row],[Sep AC]]-Financials20263[[#This Row],[Sep FC]]</f>
        <v>0</v>
      </c>
      <c r="BL77" s="71">
        <f>Financials20263[[#This Row],[Oct AC]]-Financials20263[[#This Row],[Oct FC]]</f>
        <v>0</v>
      </c>
      <c r="BM77" s="71">
        <f>Financials20263[[#This Row],[Nov AC]]-Financials20263[[#This Row],[Nov FC]]</f>
        <v>0</v>
      </c>
      <c r="BN77" s="71">
        <f>Financials20263[[#This Row],[Dec AC]]-Financials20263[[#This Row],[Dec FC]]</f>
        <v>0</v>
      </c>
      <c r="BO77" s="71">
        <f>SUM(Financials20263[[#This Row],[Jan Opp/Risk]:[Dec Opp./Risk]])</f>
        <v>-5250</v>
      </c>
      <c r="BP77" s="88"/>
      <c r="BQ77" s="47">
        <f>SUM(Financials20263[[#This Row],[Jan AC]:[May AC]])</f>
        <v>0</v>
      </c>
      <c r="BR77" s="6">
        <f>Financials20263[[#This Row],[2026 (Actuals + Forecast)]]-Financials20263[[#This Row],[Jan-May Actuals]]-Financials20263[[#This Row],[Jun-Dec FC]]</f>
        <v>5250</v>
      </c>
      <c r="BS77" s="6">
        <f>Financials20263[[#This Row],[Jun-Dec FC]]+Financials20263[[#This Row],[Jan-May Forecast ]]</f>
        <v>5250</v>
      </c>
      <c r="BT77" s="6">
        <f>SUM(Financials20263[[#This Row],[Jan FC]:[May FC]])</f>
        <v>5250</v>
      </c>
      <c r="BU77" s="6">
        <f>Financials20263[[#This Row],[Jan-May Actuals]]+Financials20263[[#This Row],[Forecast Jun-Dec]]</f>
        <v>5250</v>
      </c>
      <c r="BV77" s="6"/>
      <c r="BW77" s="6"/>
      <c r="BX77" s="6"/>
    </row>
    <row r="78" spans="1:76" x14ac:dyDescent="0.3">
      <c r="A78" s="22" t="s">
        <v>101</v>
      </c>
      <c r="B78" s="21" t="s">
        <v>304</v>
      </c>
      <c r="C78" s="21" t="s">
        <v>305</v>
      </c>
      <c r="D78" s="10" t="s">
        <v>22</v>
      </c>
      <c r="E78" s="7" t="s">
        <v>182</v>
      </c>
      <c r="F78" s="3" t="s">
        <v>183</v>
      </c>
      <c r="G78" s="3" t="s">
        <v>48</v>
      </c>
      <c r="H78" s="2" t="s">
        <v>142</v>
      </c>
      <c r="I78" s="2" t="s">
        <v>142</v>
      </c>
      <c r="J78" s="3"/>
      <c r="K78" s="3" t="str">
        <f t="shared" si="28"/>
        <v>Prj000403-Support - L2 CoE Management for Tech Horizontals</v>
      </c>
      <c r="L78" s="21" t="s">
        <v>106</v>
      </c>
      <c r="M78" s="21" t="s">
        <v>7</v>
      </c>
      <c r="N78" s="21" t="s">
        <v>7</v>
      </c>
      <c r="O78" s="21" t="s">
        <v>7</v>
      </c>
      <c r="P78" s="21" t="s">
        <v>107</v>
      </c>
      <c r="Q78" s="21" t="s">
        <v>108</v>
      </c>
      <c r="R78" s="21" t="s">
        <v>108</v>
      </c>
      <c r="S78" s="21" t="s">
        <v>129</v>
      </c>
      <c r="T78" s="5">
        <v>23410</v>
      </c>
      <c r="U78" s="15">
        <v>26288.755499999999</v>
      </c>
      <c r="V78" s="15">
        <v>26288.755499999999</v>
      </c>
      <c r="W78" s="15">
        <f t="shared" si="29"/>
        <v>26312.240000000002</v>
      </c>
      <c r="X78" s="15">
        <f t="shared" si="33"/>
        <v>0</v>
      </c>
      <c r="Y78" s="15">
        <f t="shared" si="30"/>
        <v>23.484500000002299</v>
      </c>
      <c r="Z78" s="15">
        <f>SUM(Financials20263[[#This Row],[2026 Opportunity]:[2026 Risk]])</f>
        <v>23.484500000002299</v>
      </c>
      <c r="AA78" s="3" t="s">
        <v>306</v>
      </c>
      <c r="AB78" s="52">
        <v>8984.74</v>
      </c>
      <c r="AC78" s="52">
        <v>2271.65</v>
      </c>
      <c r="AD78" s="52">
        <v>1000</v>
      </c>
      <c r="AE78" s="52">
        <v>1000</v>
      </c>
      <c r="AF78" s="52">
        <v>1000</v>
      </c>
      <c r="AG78" s="52">
        <v>1000</v>
      </c>
      <c r="AH78" s="52">
        <v>1000</v>
      </c>
      <c r="AI78" s="52">
        <v>2190.75</v>
      </c>
      <c r="AJ78" s="52">
        <v>2190.75</v>
      </c>
      <c r="AK78" s="52">
        <v>2190.75</v>
      </c>
      <c r="AL78" s="52">
        <v>2190.75</v>
      </c>
      <c r="AM78" s="52">
        <f>1269.75+254</f>
        <v>1523.75</v>
      </c>
      <c r="AN78" s="52">
        <f>SUM(Financials20263[[#This Row],[Jan FC]:[Dec FC]])</f>
        <v>26543.14</v>
      </c>
      <c r="AO78" s="15">
        <f t="shared" si="31"/>
        <v>12286.75</v>
      </c>
      <c r="AP78" s="61">
        <v>8984.74</v>
      </c>
      <c r="AQ78" s="61">
        <v>2271.65</v>
      </c>
      <c r="AR78" s="61">
        <v>745.2</v>
      </c>
      <c r="AS78" s="61">
        <v>763.08999999999992</v>
      </c>
      <c r="AT78" s="61">
        <v>1260.81</v>
      </c>
      <c r="AU78" s="61"/>
      <c r="AV78" s="61"/>
      <c r="AW78" s="61"/>
      <c r="AX78" s="61"/>
      <c r="AY78" s="61"/>
      <c r="AZ78" s="61"/>
      <c r="BA78" s="61"/>
      <c r="BB78" s="80">
        <f>SUM(Financials20263[[#This Row],[Jan AC]:[Dec AC]])</f>
        <v>14025.49</v>
      </c>
      <c r="BC78" s="71">
        <f>Financials20263[[#This Row],[Jan AC]]-Financials20263[[#This Row],[Jan FC]]</f>
        <v>0</v>
      </c>
      <c r="BD78" s="71">
        <f>Financials20263[[#This Row],[Feb AC]]-Financials20263[[#This Row],[Feb FC]]</f>
        <v>0</v>
      </c>
      <c r="BE78" s="71">
        <f>Financials20263[[#This Row],[Mar AC]]-Financials20263[[#This Row],[Mar FC]]</f>
        <v>-254.79999999999995</v>
      </c>
      <c r="BF78" s="71">
        <f>Financials20263[[#This Row],[Apr AC]]-Financials20263[[#This Row],[Apr FC]]</f>
        <v>-236.91000000000008</v>
      </c>
      <c r="BG78" s="71">
        <f>Financials20263[[#This Row],[May AC]]-Financials20263[[#This Row],[May FC]]</f>
        <v>260.80999999999995</v>
      </c>
      <c r="BH78" s="71">
        <f>Financials20263[[#This Row],[Jun AC]]-Financials20263[[#This Row],[Jun FC]]</f>
        <v>-1000</v>
      </c>
      <c r="BI78" s="71">
        <f>Financials20263[[#This Row],[Jul AC]]-Financials20263[[#This Row],[Jul FC]]</f>
        <v>-1000</v>
      </c>
      <c r="BJ78" s="71">
        <f>Financials20263[[#This Row],[Aug AC]]-Financials20263[[#This Row],[Aug FC]]</f>
        <v>-2190.75</v>
      </c>
      <c r="BK78" s="71">
        <f>Financials20263[[#This Row],[Sep AC]]-Financials20263[[#This Row],[Sep FC]]</f>
        <v>-2190.75</v>
      </c>
      <c r="BL78" s="71">
        <f>Financials20263[[#This Row],[Oct AC]]-Financials20263[[#This Row],[Oct FC]]</f>
        <v>-2190.75</v>
      </c>
      <c r="BM78" s="71">
        <f>Financials20263[[#This Row],[Nov AC]]-Financials20263[[#This Row],[Nov FC]]</f>
        <v>-2190.75</v>
      </c>
      <c r="BN78" s="71">
        <f>Financials20263[[#This Row],[Dec AC]]-Financials20263[[#This Row],[Dec FC]]</f>
        <v>-1523.75</v>
      </c>
      <c r="BO78" s="83">
        <f>SUM(Financials20263[[#This Row],[Jan Opp/Risk]:[Dec Opp./Risk]])</f>
        <v>-12517.65</v>
      </c>
      <c r="BP78" s="91" t="s">
        <v>574</v>
      </c>
      <c r="BQ78" s="47">
        <f>SUM(Financials20263[[#This Row],[Jan AC]:[May AC]])</f>
        <v>14025.49</v>
      </c>
      <c r="BR78" s="6">
        <f>Financials20263[[#This Row],[2026 (Actuals + Forecast)]]-Financials20263[[#This Row],[Jan-May Actuals]]-Financials20263[[#This Row],[Jun-Dec FC]]</f>
        <v>0</v>
      </c>
      <c r="BS78" s="6">
        <f>Financials20263[[#This Row],[Jun-Dec FC]]+Financials20263[[#This Row],[Jan-May Forecast ]]</f>
        <v>12286.75</v>
      </c>
      <c r="BT78" s="6">
        <f>SUM(Financials20263[[#This Row],[Jan FC]:[May FC]])</f>
        <v>14256.39</v>
      </c>
      <c r="BU78" s="6">
        <f>Financials20263[[#This Row],[Jan-May Actuals]]+Financials20263[[#This Row],[Forecast Jun-Dec]]</f>
        <v>26312.239999999998</v>
      </c>
      <c r="BV78" s="6"/>
      <c r="BW78" s="6"/>
      <c r="BX78" s="6"/>
    </row>
    <row r="79" spans="1:76" x14ac:dyDescent="0.3">
      <c r="A79" s="22" t="s">
        <v>101</v>
      </c>
      <c r="B79" s="21" t="s">
        <v>304</v>
      </c>
      <c r="C79" s="21" t="s">
        <v>305</v>
      </c>
      <c r="D79" s="10" t="s">
        <v>22</v>
      </c>
      <c r="E79" s="7" t="s">
        <v>182</v>
      </c>
      <c r="F79" s="3" t="s">
        <v>183</v>
      </c>
      <c r="G79" s="3" t="s">
        <v>48</v>
      </c>
      <c r="H79" s="4">
        <v>45869</v>
      </c>
      <c r="I79" s="4">
        <v>46233</v>
      </c>
      <c r="J79" s="3"/>
      <c r="K79" s="3" t="str">
        <f t="shared" si="28"/>
        <v>Prj000403-Support - L2 CoE Management for Tech Horizontals</v>
      </c>
      <c r="L79" s="21" t="s">
        <v>106</v>
      </c>
      <c r="M79" s="21" t="s">
        <v>7</v>
      </c>
      <c r="N79" s="21" t="s">
        <v>7</v>
      </c>
      <c r="O79" s="21" t="s">
        <v>7</v>
      </c>
      <c r="P79" s="21" t="s">
        <v>107</v>
      </c>
      <c r="Q79" s="21" t="s">
        <v>108</v>
      </c>
      <c r="R79" s="21" t="s">
        <v>108</v>
      </c>
      <c r="S79" s="21" t="s">
        <v>132</v>
      </c>
      <c r="T79" s="5">
        <v>208572.58</v>
      </c>
      <c r="U79" s="15">
        <v>91250.25</v>
      </c>
      <c r="V79" s="15">
        <v>91250.25</v>
      </c>
      <c r="W79" s="15">
        <f t="shared" si="29"/>
        <v>91250</v>
      </c>
      <c r="X79" s="15">
        <f t="shared" si="33"/>
        <v>-0.25</v>
      </c>
      <c r="Y79" s="15">
        <f t="shared" si="30"/>
        <v>0</v>
      </c>
      <c r="Z79" s="15">
        <f>SUM(Financials20263[[#This Row],[2026 Opportunity]:[2026 Risk]])</f>
        <v>-0.25</v>
      </c>
      <c r="AA79" s="3" t="s">
        <v>307</v>
      </c>
      <c r="AB79" s="52"/>
      <c r="AC79" s="52"/>
      <c r="AD79" s="52"/>
      <c r="AE79" s="52"/>
      <c r="AF79" s="51"/>
      <c r="AG79" s="51"/>
      <c r="AH79" s="52"/>
      <c r="AI79" s="52">
        <v>91250</v>
      </c>
      <c r="AJ79" s="52"/>
      <c r="AK79" s="52"/>
      <c r="AL79" s="52"/>
      <c r="AM79" s="52"/>
      <c r="AN79" s="52">
        <f>SUM(Financials20263[[#This Row],[Jan FC]:[Dec FC]])</f>
        <v>91250</v>
      </c>
      <c r="AO79" s="15">
        <f t="shared" si="31"/>
        <v>91250</v>
      </c>
      <c r="AP79" s="61"/>
      <c r="AQ79" s="61"/>
      <c r="AR79" s="61"/>
      <c r="AS79" s="61"/>
      <c r="AT79" s="60"/>
      <c r="AU79" s="60"/>
      <c r="AV79" s="61"/>
      <c r="AW79" s="61"/>
      <c r="AX79" s="61"/>
      <c r="AY79" s="61"/>
      <c r="AZ79" s="61"/>
      <c r="BA79" s="61"/>
      <c r="BB79" s="80">
        <f>SUM(Financials20263[[#This Row],[Jan AC]:[Dec AC]])</f>
        <v>0</v>
      </c>
      <c r="BC79" s="71">
        <f>Financials20263[[#This Row],[Jan AC]]-Financials20263[[#This Row],[Jan FC]]</f>
        <v>0</v>
      </c>
      <c r="BD79" s="71">
        <f>Financials20263[[#This Row],[Feb AC]]-Financials20263[[#This Row],[Feb FC]]</f>
        <v>0</v>
      </c>
      <c r="BE79" s="71">
        <f>Financials20263[[#This Row],[Mar AC]]-Financials20263[[#This Row],[Mar FC]]</f>
        <v>0</v>
      </c>
      <c r="BF79" s="71">
        <f>Financials20263[[#This Row],[Apr AC]]-Financials20263[[#This Row],[Apr FC]]</f>
        <v>0</v>
      </c>
      <c r="BG79" s="71">
        <f>Financials20263[[#This Row],[May AC]]-Financials20263[[#This Row],[May FC]]</f>
        <v>0</v>
      </c>
      <c r="BH79" s="71">
        <f>Financials20263[[#This Row],[Jun AC]]-Financials20263[[#This Row],[Jun FC]]</f>
        <v>0</v>
      </c>
      <c r="BI79" s="71">
        <f>Financials20263[[#This Row],[Jul AC]]-Financials20263[[#This Row],[Jul FC]]</f>
        <v>0</v>
      </c>
      <c r="BJ79" s="71">
        <f>Financials20263[[#This Row],[Aug AC]]-Financials20263[[#This Row],[Aug FC]]</f>
        <v>-91250</v>
      </c>
      <c r="BK79" s="71">
        <f>Financials20263[[#This Row],[Sep AC]]-Financials20263[[#This Row],[Sep FC]]</f>
        <v>0</v>
      </c>
      <c r="BL79" s="71">
        <f>Financials20263[[#This Row],[Oct AC]]-Financials20263[[#This Row],[Oct FC]]</f>
        <v>0</v>
      </c>
      <c r="BM79" s="71">
        <f>Financials20263[[#This Row],[Nov AC]]-Financials20263[[#This Row],[Nov FC]]</f>
        <v>0</v>
      </c>
      <c r="BN79" s="71">
        <f>Financials20263[[#This Row],[Dec AC]]-Financials20263[[#This Row],[Dec FC]]</f>
        <v>0</v>
      </c>
      <c r="BO79" s="71">
        <f>SUM(Financials20263[[#This Row],[Jan Opp/Risk]:[Dec Opp./Risk]])</f>
        <v>-91250</v>
      </c>
      <c r="BP79" s="87"/>
      <c r="BQ79" s="47">
        <f>SUM(Financials20263[[#This Row],[Jan AC]:[May AC]])</f>
        <v>0</v>
      </c>
      <c r="BR79" s="6">
        <f>Financials20263[[#This Row],[2026 (Actuals + Forecast)]]-Financials20263[[#This Row],[Jan-May Actuals]]-Financials20263[[#This Row],[Jun-Dec FC]]</f>
        <v>0</v>
      </c>
      <c r="BS79" s="6">
        <f>Financials20263[[#This Row],[Jun-Dec FC]]+Financials20263[[#This Row],[Jan-May Forecast ]]</f>
        <v>91250</v>
      </c>
      <c r="BT79" s="6">
        <f>SUM(Financials20263[[#This Row],[Jan FC]:[May FC]])</f>
        <v>0</v>
      </c>
      <c r="BU79" s="6">
        <f>Financials20263[[#This Row],[Jan-May Actuals]]+Financials20263[[#This Row],[Forecast Jun-Dec]]</f>
        <v>91250</v>
      </c>
      <c r="BV79" s="6"/>
      <c r="BW79" s="6"/>
      <c r="BX79" s="6"/>
    </row>
    <row r="80" spans="1:76" x14ac:dyDescent="0.3">
      <c r="A80" s="22" t="s">
        <v>101</v>
      </c>
      <c r="B80" s="21" t="s">
        <v>308</v>
      </c>
      <c r="C80" s="21" t="s">
        <v>309</v>
      </c>
      <c r="D80" s="10" t="s">
        <v>11</v>
      </c>
      <c r="E80" s="7" t="s">
        <v>113</v>
      </c>
      <c r="F80" s="3" t="s">
        <v>114</v>
      </c>
      <c r="G80" s="3" t="s">
        <v>53</v>
      </c>
      <c r="H80" s="4">
        <v>45992</v>
      </c>
      <c r="I80" s="4">
        <v>46356</v>
      </c>
      <c r="J80" s="3" t="s">
        <v>309</v>
      </c>
      <c r="K80" s="3" t="str">
        <f t="shared" si="28"/>
        <v>Prj000266-Support - Internal Tech Workforce Activities</v>
      </c>
      <c r="L80" s="21" t="s">
        <v>106</v>
      </c>
      <c r="M80" s="21" t="s">
        <v>7</v>
      </c>
      <c r="N80" s="21" t="s">
        <v>7</v>
      </c>
      <c r="O80" s="21" t="s">
        <v>7</v>
      </c>
      <c r="P80" s="21" t="s">
        <v>107</v>
      </c>
      <c r="Q80" s="21" t="s">
        <v>108</v>
      </c>
      <c r="R80" s="21" t="s">
        <v>108</v>
      </c>
      <c r="S80" s="21" t="s">
        <v>132</v>
      </c>
      <c r="T80" s="5">
        <v>37664</v>
      </c>
      <c r="U80" s="15">
        <v>32760</v>
      </c>
      <c r="V80" s="15">
        <v>32760</v>
      </c>
      <c r="W80" s="15">
        <f t="shared" si="29"/>
        <v>32760</v>
      </c>
      <c r="X80" s="15">
        <f t="shared" si="33"/>
        <v>0</v>
      </c>
      <c r="Y80" s="15">
        <f t="shared" si="30"/>
        <v>0</v>
      </c>
      <c r="Z80" s="15">
        <f>SUM(Financials20263[[#This Row],[2026 Opportunity]:[2026 Risk]])</f>
        <v>0</v>
      </c>
      <c r="AA80" s="3" t="s">
        <v>444</v>
      </c>
      <c r="AB80" s="52"/>
      <c r="AC80" s="52"/>
      <c r="AD80" s="52"/>
      <c r="AE80" s="52"/>
      <c r="AF80" s="52"/>
      <c r="AG80" s="51"/>
      <c r="AH80" s="52"/>
      <c r="AI80" s="52"/>
      <c r="AJ80" s="52"/>
      <c r="AK80" s="52"/>
      <c r="AL80" s="52"/>
      <c r="AM80" s="52">
        <v>32760</v>
      </c>
      <c r="AN80" s="52">
        <f>SUM(Financials20263[[#This Row],[Jan FC]:[Dec FC]])</f>
        <v>32760</v>
      </c>
      <c r="AO80" s="15">
        <f t="shared" si="31"/>
        <v>32760</v>
      </c>
      <c r="AP80" s="61"/>
      <c r="AQ80" s="61"/>
      <c r="AR80" s="61"/>
      <c r="AS80" s="61"/>
      <c r="AT80" s="61"/>
      <c r="AU80" s="60"/>
      <c r="AV80" s="61"/>
      <c r="AW80" s="61"/>
      <c r="AX80" s="61"/>
      <c r="AY80" s="61"/>
      <c r="AZ80" s="61"/>
      <c r="BA80" s="61"/>
      <c r="BB80" s="80">
        <f>SUM(Financials20263[[#This Row],[Jan AC]:[Dec AC]])</f>
        <v>0</v>
      </c>
      <c r="BC80" s="71">
        <f>Financials20263[[#This Row],[Jan AC]]-Financials20263[[#This Row],[Jan FC]]</f>
        <v>0</v>
      </c>
      <c r="BD80" s="71">
        <f>Financials20263[[#This Row],[Feb AC]]-Financials20263[[#This Row],[Feb FC]]</f>
        <v>0</v>
      </c>
      <c r="BE80" s="71">
        <f>Financials20263[[#This Row],[Mar AC]]-Financials20263[[#This Row],[Mar FC]]</f>
        <v>0</v>
      </c>
      <c r="BF80" s="71">
        <f>Financials20263[[#This Row],[Apr AC]]-Financials20263[[#This Row],[Apr FC]]</f>
        <v>0</v>
      </c>
      <c r="BG80" s="71">
        <f>Financials20263[[#This Row],[May AC]]-Financials20263[[#This Row],[May FC]]</f>
        <v>0</v>
      </c>
      <c r="BH80" s="71">
        <f>Financials20263[[#This Row],[Jun AC]]-Financials20263[[#This Row],[Jun FC]]</f>
        <v>0</v>
      </c>
      <c r="BI80" s="71">
        <f>Financials20263[[#This Row],[Jul AC]]-Financials20263[[#This Row],[Jul FC]]</f>
        <v>0</v>
      </c>
      <c r="BJ80" s="71">
        <f>Financials20263[[#This Row],[Aug AC]]-Financials20263[[#This Row],[Aug FC]]</f>
        <v>0</v>
      </c>
      <c r="BK80" s="71">
        <f>Financials20263[[#This Row],[Sep AC]]-Financials20263[[#This Row],[Sep FC]]</f>
        <v>0</v>
      </c>
      <c r="BL80" s="71">
        <f>Financials20263[[#This Row],[Oct AC]]-Financials20263[[#This Row],[Oct FC]]</f>
        <v>0</v>
      </c>
      <c r="BM80" s="71">
        <f>Financials20263[[#This Row],[Nov AC]]-Financials20263[[#This Row],[Nov FC]]</f>
        <v>0</v>
      </c>
      <c r="BN80" s="71">
        <f>Financials20263[[#This Row],[Dec AC]]-Financials20263[[#This Row],[Dec FC]]</f>
        <v>-32760</v>
      </c>
      <c r="BO80" s="71">
        <f>SUM(Financials20263[[#This Row],[Jan Opp/Risk]:[Dec Opp./Risk]])</f>
        <v>-32760</v>
      </c>
      <c r="BP80" s="87" t="s">
        <v>512</v>
      </c>
      <c r="BQ80" s="47">
        <f>SUM(Financials20263[[#This Row],[Jan AC]:[May AC]])</f>
        <v>0</v>
      </c>
      <c r="BR80" s="6">
        <f>Financials20263[[#This Row],[2026 (Actuals + Forecast)]]-Financials20263[[#This Row],[Jan-May Actuals]]-Financials20263[[#This Row],[Jun-Dec FC]]</f>
        <v>0</v>
      </c>
      <c r="BS80" s="6">
        <f>Financials20263[[#This Row],[Jun-Dec FC]]+Financials20263[[#This Row],[Jan-May Forecast ]]</f>
        <v>32760</v>
      </c>
      <c r="BT80" s="6">
        <f>SUM(Financials20263[[#This Row],[Jan FC]:[May FC]])</f>
        <v>0</v>
      </c>
      <c r="BU80" s="6">
        <f>Financials20263[[#This Row],[Jan-May Actuals]]+Financials20263[[#This Row],[Forecast Jun-Dec]]</f>
        <v>32760</v>
      </c>
      <c r="BV80" s="6"/>
      <c r="BW80" s="6"/>
      <c r="BX80" s="6"/>
    </row>
    <row r="81" spans="1:76" x14ac:dyDescent="0.3">
      <c r="A81" s="22" t="s">
        <v>101</v>
      </c>
      <c r="B81" s="21" t="s">
        <v>57</v>
      </c>
      <c r="C81" s="21" t="s">
        <v>310</v>
      </c>
      <c r="D81" s="10" t="s">
        <v>11</v>
      </c>
      <c r="E81" s="7" t="s">
        <v>113</v>
      </c>
      <c r="F81" s="3" t="s">
        <v>114</v>
      </c>
      <c r="G81" s="3" t="s">
        <v>53</v>
      </c>
      <c r="H81" s="4">
        <v>45763</v>
      </c>
      <c r="I81" s="4">
        <v>46096</v>
      </c>
      <c r="J81" s="3" t="s">
        <v>311</v>
      </c>
      <c r="K81" s="3" t="str">
        <f t="shared" si="28"/>
        <v>Prj000266-Support - Internal Tech Workforce Activities</v>
      </c>
      <c r="L81" s="21" t="s">
        <v>106</v>
      </c>
      <c r="M81" s="21" t="s">
        <v>7</v>
      </c>
      <c r="N81" s="21" t="s">
        <v>7</v>
      </c>
      <c r="O81" s="21"/>
      <c r="P81" s="21" t="s">
        <v>107</v>
      </c>
      <c r="Q81" s="21" t="s">
        <v>108</v>
      </c>
      <c r="R81" s="21" t="s">
        <v>108</v>
      </c>
      <c r="S81" s="21" t="s">
        <v>132</v>
      </c>
      <c r="T81" s="5">
        <v>2393</v>
      </c>
      <c r="U81" s="15">
        <v>2512</v>
      </c>
      <c r="V81" s="15">
        <v>2512</v>
      </c>
      <c r="W81" s="15">
        <f t="shared" si="29"/>
        <v>8136.97</v>
      </c>
      <c r="X81" s="15">
        <f t="shared" si="33"/>
        <v>0</v>
      </c>
      <c r="Y81" s="15">
        <f t="shared" si="30"/>
        <v>5624.97</v>
      </c>
      <c r="Z81" s="15">
        <f>SUM(Financials20263[[#This Row],[2026 Opportunity]:[2026 Risk]])</f>
        <v>5624.97</v>
      </c>
      <c r="AA81" s="3" t="s">
        <v>312</v>
      </c>
      <c r="AB81" s="52"/>
      <c r="AC81" s="52"/>
      <c r="AD81" s="52"/>
      <c r="AE81" s="52">
        <v>2512</v>
      </c>
      <c r="AF81" s="52"/>
      <c r="AG81" s="51"/>
      <c r="AH81" s="52"/>
      <c r="AI81" s="52"/>
      <c r="AJ81" s="52"/>
      <c r="AK81" s="52"/>
      <c r="AL81" s="52"/>
      <c r="AM81" s="52"/>
      <c r="AN81" s="52">
        <f>SUM(Financials20263[[#This Row],[Jan FC]:[Dec FC]])</f>
        <v>2512</v>
      </c>
      <c r="AO81" s="15">
        <f t="shared" si="31"/>
        <v>0</v>
      </c>
      <c r="AP81" s="61"/>
      <c r="AQ81" s="61"/>
      <c r="AR81" s="61"/>
      <c r="AS81" s="61">
        <v>8136.97</v>
      </c>
      <c r="AT81" s="61"/>
      <c r="AU81" s="60"/>
      <c r="AV81" s="61"/>
      <c r="AW81" s="61"/>
      <c r="AX81" s="61"/>
      <c r="AY81" s="61"/>
      <c r="AZ81" s="61"/>
      <c r="BA81" s="61"/>
      <c r="BB81" s="80">
        <f>SUM(Financials20263[[#This Row],[Jan AC]:[Dec AC]])</f>
        <v>8136.97</v>
      </c>
      <c r="BC81" s="71">
        <f>Financials20263[[#This Row],[Jan AC]]-Financials20263[[#This Row],[Jan FC]]</f>
        <v>0</v>
      </c>
      <c r="BD81" s="71">
        <f>Financials20263[[#This Row],[Feb AC]]-Financials20263[[#This Row],[Feb FC]]</f>
        <v>0</v>
      </c>
      <c r="BE81" s="71">
        <f>Financials20263[[#This Row],[Mar AC]]-Financials20263[[#This Row],[Mar FC]]</f>
        <v>0</v>
      </c>
      <c r="BF81" s="71">
        <f>Financials20263[[#This Row],[Apr AC]]-Financials20263[[#This Row],[Apr FC]]</f>
        <v>5624.97</v>
      </c>
      <c r="BG81" s="71">
        <f>Financials20263[[#This Row],[May AC]]-Financials20263[[#This Row],[May FC]]</f>
        <v>0</v>
      </c>
      <c r="BH81" s="71">
        <f>Financials20263[[#This Row],[Jun AC]]-Financials20263[[#This Row],[Jun FC]]</f>
        <v>0</v>
      </c>
      <c r="BI81" s="71">
        <f>Financials20263[[#This Row],[Jul AC]]-Financials20263[[#This Row],[Jul FC]]</f>
        <v>0</v>
      </c>
      <c r="BJ81" s="71">
        <f>Financials20263[[#This Row],[Aug AC]]-Financials20263[[#This Row],[Aug FC]]</f>
        <v>0</v>
      </c>
      <c r="BK81" s="71">
        <f>Financials20263[[#This Row],[Sep AC]]-Financials20263[[#This Row],[Sep FC]]</f>
        <v>0</v>
      </c>
      <c r="BL81" s="71">
        <f>Financials20263[[#This Row],[Oct AC]]-Financials20263[[#This Row],[Oct FC]]</f>
        <v>0</v>
      </c>
      <c r="BM81" s="71">
        <f>Financials20263[[#This Row],[Nov AC]]-Financials20263[[#This Row],[Nov FC]]</f>
        <v>0</v>
      </c>
      <c r="BN81" s="71">
        <f>Financials20263[[#This Row],[Dec AC]]-Financials20263[[#This Row],[Dec FC]]</f>
        <v>0</v>
      </c>
      <c r="BO81" s="71">
        <f>SUM(Financials20263[[#This Row],[Jan Opp/Risk]:[Dec Opp./Risk]])</f>
        <v>5624.97</v>
      </c>
      <c r="BP81" s="87" t="s">
        <v>572</v>
      </c>
      <c r="BQ81" s="47">
        <f>SUM(Financials20263[[#This Row],[Jan AC]:[May AC]])</f>
        <v>8136.97</v>
      </c>
      <c r="BR81" s="6">
        <f>Financials20263[[#This Row],[2026 (Actuals + Forecast)]]-Financials20263[[#This Row],[Jan-May Actuals]]-Financials20263[[#This Row],[Jun-Dec FC]]</f>
        <v>0</v>
      </c>
      <c r="BS81" s="6">
        <f>Financials20263[[#This Row],[Jun-Dec FC]]+Financials20263[[#This Row],[Jan-May Forecast ]]</f>
        <v>0</v>
      </c>
      <c r="BT81" s="6">
        <f>SUM(Financials20263[[#This Row],[Jan FC]:[May FC]])</f>
        <v>2512</v>
      </c>
      <c r="BU81" s="6">
        <f>Financials20263[[#This Row],[Jan-May Actuals]]+Financials20263[[#This Row],[Forecast Jun-Dec]]</f>
        <v>8136.97</v>
      </c>
      <c r="BV81" s="6"/>
      <c r="BW81" s="6"/>
      <c r="BX81" s="6"/>
    </row>
    <row r="82" spans="1:76" x14ac:dyDescent="0.3">
      <c r="A82" s="22" t="s">
        <v>101</v>
      </c>
      <c r="B82" s="21" t="s">
        <v>313</v>
      </c>
      <c r="C82" s="21" t="s">
        <v>314</v>
      </c>
      <c r="D82" s="10" t="s">
        <v>29</v>
      </c>
      <c r="E82" s="7" t="s">
        <v>210</v>
      </c>
      <c r="F82" s="3" t="s">
        <v>211</v>
      </c>
      <c r="G82" s="3" t="s">
        <v>48</v>
      </c>
      <c r="H82" s="4">
        <v>45900</v>
      </c>
      <c r="I82" s="4">
        <v>46264</v>
      </c>
      <c r="J82" s="3" t="s">
        <v>315</v>
      </c>
      <c r="K82" s="3" t="str">
        <f t="shared" si="28"/>
        <v>Prj000458-Support - Data Analytics Office</v>
      </c>
      <c r="L82" s="21" t="s">
        <v>106</v>
      </c>
      <c r="M82" s="21" t="s">
        <v>7</v>
      </c>
      <c r="N82" s="21" t="s">
        <v>7</v>
      </c>
      <c r="O82" s="21" t="s">
        <v>316</v>
      </c>
      <c r="P82" s="21" t="s">
        <v>107</v>
      </c>
      <c r="Q82" s="21" t="s">
        <v>108</v>
      </c>
      <c r="R82" s="21" t="s">
        <v>108</v>
      </c>
      <c r="S82" s="21" t="s">
        <v>109</v>
      </c>
      <c r="T82" s="5">
        <v>139684</v>
      </c>
      <c r="U82" s="15">
        <v>139684</v>
      </c>
      <c r="V82" s="15">
        <v>139684</v>
      </c>
      <c r="W82" s="15">
        <f t="shared" si="29"/>
        <v>139683.99999999997</v>
      </c>
      <c r="X82" s="15">
        <f t="shared" si="33"/>
        <v>-2.9103830456733704E-11</v>
      </c>
      <c r="Y82" s="15">
        <f t="shared" si="30"/>
        <v>0</v>
      </c>
      <c r="Z82" s="15">
        <f>SUM(Financials20263[[#This Row],[2026 Opportunity]:[2026 Risk]])</f>
        <v>-2.9103830456733704E-11</v>
      </c>
      <c r="AA82" s="3" t="s">
        <v>317</v>
      </c>
      <c r="AB82" s="52">
        <f t="shared" ref="AB82:AW82" si="35">139684/12</f>
        <v>11640.333333333334</v>
      </c>
      <c r="AC82" s="52">
        <f t="shared" si="35"/>
        <v>11640.333333333334</v>
      </c>
      <c r="AD82" s="52">
        <f t="shared" si="35"/>
        <v>11640.333333333334</v>
      </c>
      <c r="AE82" s="52">
        <f t="shared" si="35"/>
        <v>11640.333333333334</v>
      </c>
      <c r="AF82" s="52">
        <f t="shared" si="35"/>
        <v>11640.333333333334</v>
      </c>
      <c r="AG82" s="52">
        <f t="shared" si="35"/>
        <v>11640.333333333334</v>
      </c>
      <c r="AH82" s="52">
        <f t="shared" si="35"/>
        <v>11640.333333333334</v>
      </c>
      <c r="AI82" s="52">
        <f t="shared" si="35"/>
        <v>11640.333333333334</v>
      </c>
      <c r="AJ82" s="52">
        <f t="shared" si="35"/>
        <v>11640.333333333334</v>
      </c>
      <c r="AK82" s="52">
        <f t="shared" si="35"/>
        <v>11640.333333333334</v>
      </c>
      <c r="AL82" s="52">
        <f t="shared" si="35"/>
        <v>11640.333333333334</v>
      </c>
      <c r="AM82" s="52">
        <f t="shared" si="35"/>
        <v>11640.333333333334</v>
      </c>
      <c r="AN82" s="52">
        <f>SUM(Financials20263[[#This Row],[Jan FC]:[Dec FC]])</f>
        <v>139683.99999999997</v>
      </c>
      <c r="AO82" s="15">
        <f t="shared" si="31"/>
        <v>81482.333333333328</v>
      </c>
      <c r="AP82" s="61">
        <f t="shared" si="35"/>
        <v>11640.333333333334</v>
      </c>
      <c r="AQ82" s="61">
        <f t="shared" si="35"/>
        <v>11640.333333333334</v>
      </c>
      <c r="AR82" s="61">
        <f t="shared" si="35"/>
        <v>11640.333333333334</v>
      </c>
      <c r="AS82" s="61">
        <f t="shared" si="35"/>
        <v>11640.333333333334</v>
      </c>
      <c r="AT82" s="61">
        <f t="shared" si="35"/>
        <v>11640.333333333334</v>
      </c>
      <c r="AU82" s="61">
        <f t="shared" si="35"/>
        <v>11640.333333333334</v>
      </c>
      <c r="AV82" s="61">
        <f t="shared" si="35"/>
        <v>11640.333333333334</v>
      </c>
      <c r="AW82" s="61">
        <f t="shared" si="35"/>
        <v>11640.333333333334</v>
      </c>
      <c r="AX82" s="61"/>
      <c r="AY82" s="61"/>
      <c r="AZ82" s="61"/>
      <c r="BA82" s="61"/>
      <c r="BB82" s="80">
        <f>SUM(Financials20263[[#This Row],[Jan AC]:[Dec AC]])</f>
        <v>93122.666666666657</v>
      </c>
      <c r="BC82" s="71">
        <f>Financials20263[[#This Row],[Jan AC]]-Financials20263[[#This Row],[Jan FC]]</f>
        <v>0</v>
      </c>
      <c r="BD82" s="71">
        <f>Financials20263[[#This Row],[Feb AC]]-Financials20263[[#This Row],[Feb FC]]</f>
        <v>0</v>
      </c>
      <c r="BE82" s="71">
        <f>Financials20263[[#This Row],[Mar AC]]-Financials20263[[#This Row],[Mar FC]]</f>
        <v>0</v>
      </c>
      <c r="BF82" s="71">
        <f>Financials20263[[#This Row],[Apr AC]]-Financials20263[[#This Row],[Apr FC]]</f>
        <v>0</v>
      </c>
      <c r="BG82" s="71">
        <f>Financials20263[[#This Row],[May AC]]-Financials20263[[#This Row],[May FC]]</f>
        <v>0</v>
      </c>
      <c r="BH82" s="71">
        <f>Financials20263[[#This Row],[Jun AC]]-Financials20263[[#This Row],[Jun FC]]</f>
        <v>0</v>
      </c>
      <c r="BI82" s="71">
        <f>Financials20263[[#This Row],[Jul AC]]-Financials20263[[#This Row],[Jul FC]]</f>
        <v>0</v>
      </c>
      <c r="BJ82" s="71">
        <f>Financials20263[[#This Row],[Aug AC]]-Financials20263[[#This Row],[Aug FC]]</f>
        <v>0</v>
      </c>
      <c r="BK82" s="71">
        <f>Financials20263[[#This Row],[Sep AC]]-Financials20263[[#This Row],[Sep FC]]</f>
        <v>-11640.333333333334</v>
      </c>
      <c r="BL82" s="71">
        <f>Financials20263[[#This Row],[Oct AC]]-Financials20263[[#This Row],[Oct FC]]</f>
        <v>-11640.333333333334</v>
      </c>
      <c r="BM82" s="71">
        <f>Financials20263[[#This Row],[Nov AC]]-Financials20263[[#This Row],[Nov FC]]</f>
        <v>-11640.333333333334</v>
      </c>
      <c r="BN82" s="71">
        <f>Financials20263[[#This Row],[Dec AC]]-Financials20263[[#This Row],[Dec FC]]</f>
        <v>-11640.333333333334</v>
      </c>
      <c r="BO82" s="71">
        <f>SUM(Financials20263[[#This Row],[Jan Opp/Risk]:[Dec Opp./Risk]])</f>
        <v>-46561.333333333336</v>
      </c>
      <c r="BP82" s="87"/>
      <c r="BQ82" s="47">
        <f>SUM(Financials20263[[#This Row],[Jan AC]:[May AC]])</f>
        <v>58201.666666666672</v>
      </c>
      <c r="BR82" s="6">
        <f>Financials20263[[#This Row],[2026 (Actuals + Forecast)]]-Financials20263[[#This Row],[Jan-May Actuals]]-Financials20263[[#This Row],[Jun-Dec FC]]</f>
        <v>0</v>
      </c>
      <c r="BS82" s="6">
        <f>Financials20263[[#This Row],[Jun-Dec FC]]+Financials20263[[#This Row],[Jan-May Forecast ]]</f>
        <v>81482.333333333328</v>
      </c>
      <c r="BT82" s="6">
        <f>SUM(Financials20263[[#This Row],[Jan FC]:[May FC]])</f>
        <v>58201.666666666672</v>
      </c>
      <c r="BU82" s="6">
        <f>Financials20263[[#This Row],[Jan-May Actuals]]+Financials20263[[#This Row],[Forecast Jun-Dec]]</f>
        <v>139684</v>
      </c>
      <c r="BV82" s="6"/>
      <c r="BW82" s="6"/>
      <c r="BX82" s="6"/>
    </row>
    <row r="83" spans="1:76" x14ac:dyDescent="0.3">
      <c r="A83" s="22" t="s">
        <v>101</v>
      </c>
      <c r="B83" s="21" t="s">
        <v>318</v>
      </c>
      <c r="C83" s="21" t="s">
        <v>318</v>
      </c>
      <c r="D83" s="10" t="s">
        <v>27</v>
      </c>
      <c r="E83" s="7" t="s">
        <v>216</v>
      </c>
      <c r="F83" s="3" t="s">
        <v>114</v>
      </c>
      <c r="G83" s="3" t="s">
        <v>53</v>
      </c>
      <c r="H83" s="2" t="s">
        <v>142</v>
      </c>
      <c r="I83" s="2" t="s">
        <v>142</v>
      </c>
      <c r="J83" s="3"/>
      <c r="K83" s="3" t="str">
        <f t="shared" si="28"/>
        <v>Prj000446-Implement - Minor Enhancements for Enterprise Apps</v>
      </c>
      <c r="L83" s="21" t="s">
        <v>106</v>
      </c>
      <c r="M83" s="21" t="s">
        <v>7</v>
      </c>
      <c r="N83" s="21" t="s">
        <v>7</v>
      </c>
      <c r="O83" s="21" t="s">
        <v>7</v>
      </c>
      <c r="P83" s="21" t="s">
        <v>107</v>
      </c>
      <c r="Q83" s="21" t="s">
        <v>108</v>
      </c>
      <c r="R83" s="21" t="s">
        <v>108</v>
      </c>
      <c r="S83" s="21" t="s">
        <v>132</v>
      </c>
      <c r="T83" s="5">
        <v>3000</v>
      </c>
      <c r="U83" s="15">
        <v>3150</v>
      </c>
      <c r="V83" s="15">
        <v>3150</v>
      </c>
      <c r="W83" s="15">
        <f t="shared" si="29"/>
        <v>3150</v>
      </c>
      <c r="X83" s="15">
        <f t="shared" si="33"/>
        <v>0</v>
      </c>
      <c r="Y83" s="15">
        <f t="shared" si="30"/>
        <v>0</v>
      </c>
      <c r="Z83" s="15">
        <f>SUM(Financials20263[[#This Row],[2026 Opportunity]:[2026 Risk]])</f>
        <v>0</v>
      </c>
      <c r="AA83" s="3" t="s">
        <v>319</v>
      </c>
      <c r="AB83" s="52"/>
      <c r="AC83" s="52"/>
      <c r="AD83" s="52"/>
      <c r="AE83" s="52"/>
      <c r="AF83" s="52"/>
      <c r="AG83" s="51"/>
      <c r="AH83" s="51"/>
      <c r="AI83" s="51"/>
      <c r="AJ83" s="51"/>
      <c r="AK83" s="51"/>
      <c r="AL83" s="51"/>
      <c r="AM83" s="51">
        <v>3150</v>
      </c>
      <c r="AN83" s="51">
        <f>SUM(Financials20263[[#This Row],[Jan FC]:[Dec FC]])</f>
        <v>3150</v>
      </c>
      <c r="AO83" s="15">
        <f t="shared" si="31"/>
        <v>3150</v>
      </c>
      <c r="AP83" s="61"/>
      <c r="AQ83" s="61"/>
      <c r="AR83" s="61"/>
      <c r="AS83" s="61"/>
      <c r="AT83" s="61"/>
      <c r="AU83" s="60"/>
      <c r="AV83" s="60"/>
      <c r="AW83" s="60"/>
      <c r="AX83" s="60"/>
      <c r="AY83" s="60"/>
      <c r="AZ83" s="60"/>
      <c r="BA83" s="60"/>
      <c r="BB83" s="79">
        <f>SUM(Financials20263[[#This Row],[Jan AC]:[Dec AC]])</f>
        <v>0</v>
      </c>
      <c r="BC83" s="71">
        <f>Financials20263[[#This Row],[Jan AC]]-Financials20263[[#This Row],[Jan FC]]</f>
        <v>0</v>
      </c>
      <c r="BD83" s="71">
        <f>Financials20263[[#This Row],[Feb AC]]-Financials20263[[#This Row],[Feb FC]]</f>
        <v>0</v>
      </c>
      <c r="BE83" s="71">
        <f>Financials20263[[#This Row],[Mar AC]]-Financials20263[[#This Row],[Mar FC]]</f>
        <v>0</v>
      </c>
      <c r="BF83" s="71">
        <f>Financials20263[[#This Row],[Apr AC]]-Financials20263[[#This Row],[Apr FC]]</f>
        <v>0</v>
      </c>
      <c r="BG83" s="71">
        <f>Financials20263[[#This Row],[May AC]]-Financials20263[[#This Row],[May FC]]</f>
        <v>0</v>
      </c>
      <c r="BH83" s="71">
        <f>Financials20263[[#This Row],[Jun AC]]-Financials20263[[#This Row],[Jun FC]]</f>
        <v>0</v>
      </c>
      <c r="BI83" s="71">
        <f>Financials20263[[#This Row],[Jul AC]]-Financials20263[[#This Row],[Jul FC]]</f>
        <v>0</v>
      </c>
      <c r="BJ83" s="71">
        <f>Financials20263[[#This Row],[Aug AC]]-Financials20263[[#This Row],[Aug FC]]</f>
        <v>0</v>
      </c>
      <c r="BK83" s="71">
        <f>Financials20263[[#This Row],[Sep AC]]-Financials20263[[#This Row],[Sep FC]]</f>
        <v>0</v>
      </c>
      <c r="BL83" s="71">
        <f>Financials20263[[#This Row],[Oct AC]]-Financials20263[[#This Row],[Oct FC]]</f>
        <v>0</v>
      </c>
      <c r="BM83" s="71">
        <f>Financials20263[[#This Row],[Nov AC]]-Financials20263[[#This Row],[Nov FC]]</f>
        <v>0</v>
      </c>
      <c r="BN83" s="71">
        <f>Financials20263[[#This Row],[Dec AC]]-Financials20263[[#This Row],[Dec FC]]</f>
        <v>-3150</v>
      </c>
      <c r="BO83" s="71">
        <f>SUM(Financials20263[[#This Row],[Jan Opp/Risk]:[Dec Opp./Risk]])</f>
        <v>-3150</v>
      </c>
      <c r="BP83" s="88"/>
      <c r="BQ83" s="47">
        <f>SUM(Financials20263[[#This Row],[Jan AC]:[May AC]])</f>
        <v>0</v>
      </c>
      <c r="BR83" s="6">
        <f>Financials20263[[#This Row],[2026 (Actuals + Forecast)]]-Financials20263[[#This Row],[Jan-May Actuals]]-Financials20263[[#This Row],[Jun-Dec FC]]</f>
        <v>0</v>
      </c>
      <c r="BS83" s="6">
        <f>Financials20263[[#This Row],[Jun-Dec FC]]+Financials20263[[#This Row],[Jan-May Forecast ]]</f>
        <v>3150</v>
      </c>
      <c r="BT83" s="6">
        <f>SUM(Financials20263[[#This Row],[Jan FC]:[May FC]])</f>
        <v>0</v>
      </c>
      <c r="BU83" s="6">
        <f>Financials20263[[#This Row],[Jan-May Actuals]]+Financials20263[[#This Row],[Forecast Jun-Dec]]</f>
        <v>3150</v>
      </c>
      <c r="BV83" s="6"/>
      <c r="BW83" s="6"/>
      <c r="BX83" s="6"/>
    </row>
    <row r="84" spans="1:76" x14ac:dyDescent="0.3">
      <c r="A84" s="22" t="s">
        <v>101</v>
      </c>
      <c r="B84" s="21" t="s">
        <v>320</v>
      </c>
      <c r="C84" s="21" t="s">
        <v>320</v>
      </c>
      <c r="D84" s="10" t="s">
        <v>27</v>
      </c>
      <c r="E84" s="7" t="s">
        <v>216</v>
      </c>
      <c r="F84" s="3" t="s">
        <v>114</v>
      </c>
      <c r="G84" s="3" t="s">
        <v>53</v>
      </c>
      <c r="H84" s="4">
        <v>45949</v>
      </c>
      <c r="I84" s="4">
        <v>46313</v>
      </c>
      <c r="J84" s="3" t="s">
        <v>321</v>
      </c>
      <c r="K84" s="3" t="str">
        <f t="shared" si="28"/>
        <v>Prj000446-Implement - Minor Enhancements for Enterprise Apps</v>
      </c>
      <c r="L84" s="21" t="s">
        <v>106</v>
      </c>
      <c r="M84" s="21" t="s">
        <v>7</v>
      </c>
      <c r="N84" s="21" t="s">
        <v>7</v>
      </c>
      <c r="O84" s="21" t="s">
        <v>294</v>
      </c>
      <c r="P84" s="21" t="s">
        <v>107</v>
      </c>
      <c r="Q84" s="21" t="s">
        <v>108</v>
      </c>
      <c r="R84" s="21" t="s">
        <v>108</v>
      </c>
      <c r="S84" s="21" t="s">
        <v>132</v>
      </c>
      <c r="T84" s="5">
        <v>2471</v>
      </c>
      <c r="U84" s="15">
        <v>2594.5500000000002</v>
      </c>
      <c r="V84" s="15">
        <v>2594.5500000000002</v>
      </c>
      <c r="W84" s="15">
        <f t="shared" si="29"/>
        <v>2595</v>
      </c>
      <c r="X84" s="15">
        <f t="shared" si="33"/>
        <v>0</v>
      </c>
      <c r="Y84" s="15">
        <f t="shared" si="30"/>
        <v>0.4499999999998181</v>
      </c>
      <c r="Z84" s="15">
        <f>SUM(Financials20263[[#This Row],[2026 Opportunity]:[2026 Risk]])</f>
        <v>0.4499999999998181</v>
      </c>
      <c r="AA84" s="3" t="s">
        <v>120</v>
      </c>
      <c r="AB84" s="52"/>
      <c r="AC84" s="52"/>
      <c r="AD84" s="52"/>
      <c r="AE84" s="52"/>
      <c r="AF84" s="52"/>
      <c r="AG84" s="51"/>
      <c r="AH84" s="52"/>
      <c r="AI84" s="52"/>
      <c r="AJ84" s="52">
        <v>2595</v>
      </c>
      <c r="AK84" s="52"/>
      <c r="AL84" s="51"/>
      <c r="AM84" s="51"/>
      <c r="AN84" s="51">
        <f>SUM(Financials20263[[#This Row],[Jan FC]:[Dec FC]])</f>
        <v>2595</v>
      </c>
      <c r="AO84" s="15">
        <f t="shared" si="31"/>
        <v>2595</v>
      </c>
      <c r="AP84" s="61"/>
      <c r="AQ84" s="61"/>
      <c r="AR84" s="61"/>
      <c r="AS84" s="61"/>
      <c r="AT84" s="61"/>
      <c r="AU84" s="60"/>
      <c r="AV84" s="61"/>
      <c r="AW84" s="61"/>
      <c r="AX84" s="61"/>
      <c r="AY84" s="61"/>
      <c r="AZ84" s="60"/>
      <c r="BA84" s="60"/>
      <c r="BB84" s="79">
        <f>SUM(Financials20263[[#This Row],[Jan AC]:[Dec AC]])</f>
        <v>0</v>
      </c>
      <c r="BC84" s="71">
        <f>Financials20263[[#This Row],[Jan AC]]-Financials20263[[#This Row],[Jan FC]]</f>
        <v>0</v>
      </c>
      <c r="BD84" s="71">
        <f>Financials20263[[#This Row],[Feb AC]]-Financials20263[[#This Row],[Feb FC]]</f>
        <v>0</v>
      </c>
      <c r="BE84" s="71">
        <f>Financials20263[[#This Row],[Mar AC]]-Financials20263[[#This Row],[Mar FC]]</f>
        <v>0</v>
      </c>
      <c r="BF84" s="71">
        <f>Financials20263[[#This Row],[Apr AC]]-Financials20263[[#This Row],[Apr FC]]</f>
        <v>0</v>
      </c>
      <c r="BG84" s="71">
        <f>Financials20263[[#This Row],[May AC]]-Financials20263[[#This Row],[May FC]]</f>
        <v>0</v>
      </c>
      <c r="BH84" s="71">
        <f>Financials20263[[#This Row],[Jun AC]]-Financials20263[[#This Row],[Jun FC]]</f>
        <v>0</v>
      </c>
      <c r="BI84" s="71">
        <f>Financials20263[[#This Row],[Jul AC]]-Financials20263[[#This Row],[Jul FC]]</f>
        <v>0</v>
      </c>
      <c r="BJ84" s="71">
        <f>Financials20263[[#This Row],[Aug AC]]-Financials20263[[#This Row],[Aug FC]]</f>
        <v>0</v>
      </c>
      <c r="BK84" s="71">
        <f>Financials20263[[#This Row],[Sep AC]]-Financials20263[[#This Row],[Sep FC]]</f>
        <v>-2595</v>
      </c>
      <c r="BL84" s="71">
        <f>Financials20263[[#This Row],[Oct AC]]-Financials20263[[#This Row],[Oct FC]]</f>
        <v>0</v>
      </c>
      <c r="BM84" s="71">
        <f>Financials20263[[#This Row],[Nov AC]]-Financials20263[[#This Row],[Nov FC]]</f>
        <v>0</v>
      </c>
      <c r="BN84" s="71">
        <f>Financials20263[[#This Row],[Dec AC]]-Financials20263[[#This Row],[Dec FC]]</f>
        <v>0</v>
      </c>
      <c r="BO84" s="71">
        <f>SUM(Financials20263[[#This Row],[Jan Opp/Risk]:[Dec Opp./Risk]])</f>
        <v>-2595</v>
      </c>
      <c r="BP84" s="87"/>
      <c r="BQ84" s="47">
        <f>SUM(Financials20263[[#This Row],[Jan AC]:[May AC]])</f>
        <v>0</v>
      </c>
      <c r="BR84" s="6">
        <f>Financials20263[[#This Row],[2026 (Actuals + Forecast)]]-Financials20263[[#This Row],[Jan-May Actuals]]-Financials20263[[#This Row],[Jun-Dec FC]]</f>
        <v>0</v>
      </c>
      <c r="BS84" s="6">
        <f>Financials20263[[#This Row],[Jun-Dec FC]]+Financials20263[[#This Row],[Jan-May Forecast ]]</f>
        <v>2595</v>
      </c>
      <c r="BT84" s="6">
        <f>SUM(Financials20263[[#This Row],[Jan FC]:[May FC]])</f>
        <v>0</v>
      </c>
      <c r="BU84" s="6">
        <f>Financials20263[[#This Row],[Jan-May Actuals]]+Financials20263[[#This Row],[Forecast Jun-Dec]]</f>
        <v>2595</v>
      </c>
      <c r="BV84" s="6"/>
      <c r="BW84" s="6"/>
      <c r="BX84" s="6"/>
    </row>
    <row r="85" spans="1:76" x14ac:dyDescent="0.3">
      <c r="A85" s="22" t="s">
        <v>101</v>
      </c>
      <c r="B85" s="21" t="s">
        <v>322</v>
      </c>
      <c r="C85" s="21" t="s">
        <v>323</v>
      </c>
      <c r="D85" s="10" t="s">
        <v>29</v>
      </c>
      <c r="E85" s="7" t="s">
        <v>210</v>
      </c>
      <c r="F85" s="3" t="s">
        <v>211</v>
      </c>
      <c r="G85" s="3" t="s">
        <v>48</v>
      </c>
      <c r="H85" s="4">
        <v>45765</v>
      </c>
      <c r="I85" s="4">
        <v>46129</v>
      </c>
      <c r="J85" s="3" t="s">
        <v>323</v>
      </c>
      <c r="K85" s="3" t="str">
        <f t="shared" si="28"/>
        <v>Prj000458-Support - Data Analytics Office</v>
      </c>
      <c r="L85" s="21" t="s">
        <v>106</v>
      </c>
      <c r="M85" s="21" t="s">
        <v>7</v>
      </c>
      <c r="N85" s="21" t="s">
        <v>7</v>
      </c>
      <c r="O85" s="21" t="s">
        <v>165</v>
      </c>
      <c r="P85" s="21" t="s">
        <v>107</v>
      </c>
      <c r="Q85" s="21" t="s">
        <v>108</v>
      </c>
      <c r="R85" s="21" t="s">
        <v>108</v>
      </c>
      <c r="S85" s="21" t="s">
        <v>109</v>
      </c>
      <c r="T85" s="5">
        <v>182520</v>
      </c>
      <c r="U85" s="15">
        <v>191646</v>
      </c>
      <c r="V85" s="15">
        <v>191646</v>
      </c>
      <c r="W85" s="15">
        <f t="shared" si="29"/>
        <v>128265.00749999999</v>
      </c>
      <c r="X85" s="15">
        <f t="shared" si="33"/>
        <v>-63380.992500000008</v>
      </c>
      <c r="Y85" s="15">
        <f t="shared" si="30"/>
        <v>0</v>
      </c>
      <c r="Z85" s="15">
        <f>SUM(Financials20263[[#This Row],[2026 Opportunity]:[2026 Risk]])</f>
        <v>-63380.992500000008</v>
      </c>
      <c r="AA85" s="3" t="s">
        <v>542</v>
      </c>
      <c r="AB85" s="52"/>
      <c r="AC85" s="52"/>
      <c r="AD85" s="52"/>
      <c r="AE85" s="52">
        <v>14251.667500000001</v>
      </c>
      <c r="AF85" s="52">
        <v>14251.667500000001</v>
      </c>
      <c r="AG85" s="52">
        <v>14251.667500000001</v>
      </c>
      <c r="AH85" s="52">
        <v>14251.667500000001</v>
      </c>
      <c r="AI85" s="52">
        <v>14251.667500000001</v>
      </c>
      <c r="AJ85" s="52">
        <v>14251.667500000001</v>
      </c>
      <c r="AK85" s="52">
        <v>14251.667500000001</v>
      </c>
      <c r="AL85" s="52">
        <v>14251.667500000001</v>
      </c>
      <c r="AM85" s="52">
        <v>14251.667500000001</v>
      </c>
      <c r="AN85" s="52">
        <f>SUM(Financials20263[[#This Row],[Jan FC]:[Dec FC]])</f>
        <v>128265.00749999999</v>
      </c>
      <c r="AO85" s="15">
        <f t="shared" si="31"/>
        <v>99761.672500000001</v>
      </c>
      <c r="AP85" s="61"/>
      <c r="AQ85" s="61"/>
      <c r="AR85" s="61"/>
      <c r="AS85" s="61">
        <f t="shared" ref="AS85:BA85" si="36">171020.01/12</f>
        <v>14251.667500000001</v>
      </c>
      <c r="AT85" s="61">
        <f t="shared" si="36"/>
        <v>14251.667500000001</v>
      </c>
      <c r="AU85" s="61">
        <f t="shared" si="36"/>
        <v>14251.667500000001</v>
      </c>
      <c r="AV85" s="61">
        <f t="shared" si="36"/>
        <v>14251.667500000001</v>
      </c>
      <c r="AW85" s="61">
        <f t="shared" si="36"/>
        <v>14251.667500000001</v>
      </c>
      <c r="AX85" s="61">
        <f t="shared" si="36"/>
        <v>14251.667500000001</v>
      </c>
      <c r="AY85" s="61">
        <f t="shared" si="36"/>
        <v>14251.667500000001</v>
      </c>
      <c r="AZ85" s="61">
        <f t="shared" si="36"/>
        <v>14251.667500000001</v>
      </c>
      <c r="BA85" s="61">
        <f t="shared" si="36"/>
        <v>14251.667500000001</v>
      </c>
      <c r="BB85" s="80">
        <f>SUM(Financials20263[[#This Row],[Jan AC]:[Dec AC]])</f>
        <v>128265.00749999999</v>
      </c>
      <c r="BC85" s="71">
        <f>Financials20263[[#This Row],[Jan AC]]-Financials20263[[#This Row],[Jan FC]]</f>
        <v>0</v>
      </c>
      <c r="BD85" s="71">
        <f>Financials20263[[#This Row],[Feb AC]]-Financials20263[[#This Row],[Feb FC]]</f>
        <v>0</v>
      </c>
      <c r="BE85" s="71">
        <f>Financials20263[[#This Row],[Mar AC]]-Financials20263[[#This Row],[Mar FC]]</f>
        <v>0</v>
      </c>
      <c r="BF85" s="71">
        <f>Financials20263[[#This Row],[Apr AC]]-Financials20263[[#This Row],[Apr FC]]</f>
        <v>0</v>
      </c>
      <c r="BG85" s="71">
        <f>Financials20263[[#This Row],[May AC]]-Financials20263[[#This Row],[May FC]]</f>
        <v>0</v>
      </c>
      <c r="BH85" s="71">
        <f>Financials20263[[#This Row],[Jun AC]]-Financials20263[[#This Row],[Jun FC]]</f>
        <v>0</v>
      </c>
      <c r="BI85" s="71">
        <f>Financials20263[[#This Row],[Jul AC]]-Financials20263[[#This Row],[Jul FC]]</f>
        <v>0</v>
      </c>
      <c r="BJ85" s="71">
        <f>Financials20263[[#This Row],[Aug AC]]-Financials20263[[#This Row],[Aug FC]]</f>
        <v>0</v>
      </c>
      <c r="BK85" s="71">
        <f>Financials20263[[#This Row],[Sep AC]]-Financials20263[[#This Row],[Sep FC]]</f>
        <v>0</v>
      </c>
      <c r="BL85" s="71">
        <f>Financials20263[[#This Row],[Oct AC]]-Financials20263[[#This Row],[Oct FC]]</f>
        <v>0</v>
      </c>
      <c r="BM85" s="71">
        <f>Financials20263[[#This Row],[Nov AC]]-Financials20263[[#This Row],[Nov FC]]</f>
        <v>0</v>
      </c>
      <c r="BN85" s="71">
        <f>Financials20263[[#This Row],[Dec AC]]-Financials20263[[#This Row],[Dec FC]]</f>
        <v>0</v>
      </c>
      <c r="BO85" s="71">
        <f>SUM(Financials20263[[#This Row],[Jan Opp/Risk]:[Dec Opp./Risk]])</f>
        <v>0</v>
      </c>
      <c r="BP85" s="88" t="s">
        <v>625</v>
      </c>
      <c r="BQ85" s="47">
        <f>SUM(Financials20263[[#This Row],[Jan AC]:[May AC]])</f>
        <v>28503.335000000003</v>
      </c>
      <c r="BR85" s="6">
        <f>Financials20263[[#This Row],[2026 (Actuals + Forecast)]]-Financials20263[[#This Row],[Jan-May Actuals]]-Financials20263[[#This Row],[Jun-Dec FC]]</f>
        <v>0</v>
      </c>
      <c r="BS85" s="6">
        <f>Financials20263[[#This Row],[Jun-Dec FC]]+Financials20263[[#This Row],[Jan-May Forecast ]]</f>
        <v>99761.672500000001</v>
      </c>
      <c r="BT85" s="6">
        <f>SUM(Financials20263[[#This Row],[Jan FC]:[May FC]])</f>
        <v>28503.335000000003</v>
      </c>
      <c r="BU85" s="6">
        <f>Financials20263[[#This Row],[Jan-May Actuals]]+Financials20263[[#This Row],[Forecast Jun-Dec]]</f>
        <v>128265.00750000001</v>
      </c>
      <c r="BV85" s="6"/>
      <c r="BW85" s="6"/>
      <c r="BX85" s="6"/>
    </row>
    <row r="86" spans="1:76" x14ac:dyDescent="0.3">
      <c r="A86" s="22" t="s">
        <v>101</v>
      </c>
      <c r="B86" s="21" t="s">
        <v>324</v>
      </c>
      <c r="C86" s="21" t="s">
        <v>325</v>
      </c>
      <c r="D86" s="10" t="s">
        <v>27</v>
      </c>
      <c r="E86" s="7" t="s">
        <v>216</v>
      </c>
      <c r="F86" s="3" t="s">
        <v>114</v>
      </c>
      <c r="G86" s="3" t="s">
        <v>53</v>
      </c>
      <c r="H86" s="4" t="s">
        <v>115</v>
      </c>
      <c r="I86" s="4" t="s">
        <v>115</v>
      </c>
      <c r="J86" s="3"/>
      <c r="K86" s="3" t="str">
        <f t="shared" si="28"/>
        <v>Prj000446-Implement - Minor Enhancements for Enterprise Apps</v>
      </c>
      <c r="L86" s="21" t="s">
        <v>106</v>
      </c>
      <c r="M86" s="21" t="s">
        <v>7</v>
      </c>
      <c r="N86" s="21" t="s">
        <v>7</v>
      </c>
      <c r="O86" s="21"/>
      <c r="P86" s="21" t="s">
        <v>107</v>
      </c>
      <c r="Q86" s="21" t="s">
        <v>108</v>
      </c>
      <c r="R86" s="21" t="s">
        <v>108</v>
      </c>
      <c r="S86" s="21" t="s">
        <v>132</v>
      </c>
      <c r="T86" s="5">
        <v>48000</v>
      </c>
      <c r="U86" s="15">
        <v>50400</v>
      </c>
      <c r="V86" s="15">
        <v>50400</v>
      </c>
      <c r="W86" s="15">
        <f t="shared" si="29"/>
        <v>50400</v>
      </c>
      <c r="X86" s="15">
        <f t="shared" si="33"/>
        <v>0</v>
      </c>
      <c r="Y86" s="15">
        <f t="shared" si="30"/>
        <v>0</v>
      </c>
      <c r="Z86" s="15">
        <f>SUM(Financials20263[[#This Row],[2026 Opportunity]:[2026 Risk]])</f>
        <v>0</v>
      </c>
      <c r="AA86" s="3" t="s">
        <v>326</v>
      </c>
      <c r="AB86" s="52"/>
      <c r="AC86" s="52"/>
      <c r="AD86" s="52"/>
      <c r="AE86" s="52"/>
      <c r="AF86" s="52"/>
      <c r="AG86" s="51"/>
      <c r="AH86" s="52"/>
      <c r="AI86" s="52"/>
      <c r="AJ86" s="52"/>
      <c r="AK86" s="52"/>
      <c r="AL86" s="52"/>
      <c r="AM86" s="52">
        <v>50400</v>
      </c>
      <c r="AN86" s="52">
        <f>SUM(Financials20263[[#This Row],[Jan FC]:[Dec FC]])</f>
        <v>50400</v>
      </c>
      <c r="AO86" s="15">
        <f t="shared" si="31"/>
        <v>50400</v>
      </c>
      <c r="AP86" s="61"/>
      <c r="AQ86" s="61"/>
      <c r="AR86" s="61"/>
      <c r="AS86" s="61"/>
      <c r="AT86" s="61"/>
      <c r="AU86" s="60"/>
      <c r="AV86" s="61"/>
      <c r="AW86" s="61"/>
      <c r="AX86" s="61"/>
      <c r="AY86" s="61"/>
      <c r="AZ86" s="61"/>
      <c r="BA86" s="61"/>
      <c r="BB86" s="80">
        <f>SUM(Financials20263[[#This Row],[Jan AC]:[Dec AC]])</f>
        <v>0</v>
      </c>
      <c r="BC86" s="71">
        <f>Financials20263[[#This Row],[Jan AC]]-Financials20263[[#This Row],[Jan FC]]</f>
        <v>0</v>
      </c>
      <c r="BD86" s="71">
        <f>Financials20263[[#This Row],[Feb AC]]-Financials20263[[#This Row],[Feb FC]]</f>
        <v>0</v>
      </c>
      <c r="BE86" s="71">
        <f>Financials20263[[#This Row],[Mar AC]]-Financials20263[[#This Row],[Mar FC]]</f>
        <v>0</v>
      </c>
      <c r="BF86" s="71">
        <f>Financials20263[[#This Row],[Apr AC]]-Financials20263[[#This Row],[Apr FC]]</f>
        <v>0</v>
      </c>
      <c r="BG86" s="71">
        <f>Financials20263[[#This Row],[May AC]]-Financials20263[[#This Row],[May FC]]</f>
        <v>0</v>
      </c>
      <c r="BH86" s="71">
        <f>Financials20263[[#This Row],[Jun AC]]-Financials20263[[#This Row],[Jun FC]]</f>
        <v>0</v>
      </c>
      <c r="BI86" s="71">
        <f>Financials20263[[#This Row],[Jul AC]]-Financials20263[[#This Row],[Jul FC]]</f>
        <v>0</v>
      </c>
      <c r="BJ86" s="71">
        <f>Financials20263[[#This Row],[Aug AC]]-Financials20263[[#This Row],[Aug FC]]</f>
        <v>0</v>
      </c>
      <c r="BK86" s="71">
        <f>Financials20263[[#This Row],[Sep AC]]-Financials20263[[#This Row],[Sep FC]]</f>
        <v>0</v>
      </c>
      <c r="BL86" s="71">
        <f>Financials20263[[#This Row],[Oct AC]]-Financials20263[[#This Row],[Oct FC]]</f>
        <v>0</v>
      </c>
      <c r="BM86" s="71">
        <f>Financials20263[[#This Row],[Nov AC]]-Financials20263[[#This Row],[Nov FC]]</f>
        <v>0</v>
      </c>
      <c r="BN86" s="71">
        <f>Financials20263[[#This Row],[Dec AC]]-Financials20263[[#This Row],[Dec FC]]</f>
        <v>-50400</v>
      </c>
      <c r="BO86" s="71">
        <f>SUM(Financials20263[[#This Row],[Jan Opp/Risk]:[Dec Opp./Risk]])</f>
        <v>-50400</v>
      </c>
      <c r="BP86" s="87"/>
      <c r="BQ86" s="47">
        <f>SUM(Financials20263[[#This Row],[Jan AC]:[May AC]])</f>
        <v>0</v>
      </c>
      <c r="BR86" s="6">
        <f>Financials20263[[#This Row],[2026 (Actuals + Forecast)]]-Financials20263[[#This Row],[Jan-May Actuals]]-Financials20263[[#This Row],[Jun-Dec FC]]</f>
        <v>0</v>
      </c>
      <c r="BS86" s="6">
        <f>Financials20263[[#This Row],[Jun-Dec FC]]+Financials20263[[#This Row],[Jan-May Forecast ]]</f>
        <v>50400</v>
      </c>
      <c r="BT86" s="6">
        <f>SUM(Financials20263[[#This Row],[Jan FC]:[May FC]])</f>
        <v>0</v>
      </c>
      <c r="BU86" s="6">
        <f>Financials20263[[#This Row],[Jan-May Actuals]]+Financials20263[[#This Row],[Forecast Jun-Dec]]</f>
        <v>50400</v>
      </c>
      <c r="BV86" s="6"/>
      <c r="BW86" s="6"/>
      <c r="BX86" s="6"/>
    </row>
    <row r="87" spans="1:76" x14ac:dyDescent="0.3">
      <c r="A87" s="22" t="s">
        <v>101</v>
      </c>
      <c r="B87" s="21" t="s">
        <v>198</v>
      </c>
      <c r="C87" s="21"/>
      <c r="D87" s="10" t="s">
        <v>13</v>
      </c>
      <c r="E87" s="7" t="s">
        <v>140</v>
      </c>
      <c r="F87" s="3" t="s">
        <v>141</v>
      </c>
      <c r="G87" s="3" t="s">
        <v>52</v>
      </c>
      <c r="H87" s="4" t="s">
        <v>115</v>
      </c>
      <c r="I87" s="4" t="s">
        <v>115</v>
      </c>
      <c r="J87" s="3"/>
      <c r="K87" s="3" t="str">
        <f t="shared" si="28"/>
        <v>Prj000290-Support - Asset Management Applications</v>
      </c>
      <c r="L87" s="21" t="s">
        <v>106</v>
      </c>
      <c r="M87" s="21" t="s">
        <v>7</v>
      </c>
      <c r="N87" s="21" t="s">
        <v>7</v>
      </c>
      <c r="O87" s="21"/>
      <c r="P87" s="21" t="s">
        <v>107</v>
      </c>
      <c r="Q87" s="21" t="s">
        <v>134</v>
      </c>
      <c r="R87" s="21" t="s">
        <v>135</v>
      </c>
      <c r="S87" s="21" t="s">
        <v>129</v>
      </c>
      <c r="T87" s="5">
        <v>138759</v>
      </c>
      <c r="U87" s="15">
        <v>119571.06</v>
      </c>
      <c r="V87" s="15">
        <v>119571.06</v>
      </c>
      <c r="W87" s="15">
        <f t="shared" si="29"/>
        <v>119571.06</v>
      </c>
      <c r="X87" s="15">
        <f t="shared" si="33"/>
        <v>0</v>
      </c>
      <c r="Y87" s="15">
        <f t="shared" si="30"/>
        <v>0</v>
      </c>
      <c r="Z87" s="15">
        <f>SUM(Financials20263[[#This Row],[2026 Opportunity]:[2026 Risk]])</f>
        <v>0</v>
      </c>
      <c r="AA87" s="3" t="s">
        <v>578</v>
      </c>
      <c r="AB87" s="52">
        <v>6188</v>
      </c>
      <c r="AC87" s="52">
        <v>3300</v>
      </c>
      <c r="AD87" s="52"/>
      <c r="AE87" s="52"/>
      <c r="AF87" s="52"/>
      <c r="AG87" s="52"/>
      <c r="AH87" s="52"/>
      <c r="AI87" s="52"/>
      <c r="AJ87" s="52"/>
      <c r="AK87" s="52"/>
      <c r="AL87" s="52"/>
      <c r="AM87" s="46">
        <f>119571.06-9488</f>
        <v>110083.06</v>
      </c>
      <c r="AN87" s="52">
        <f>SUM(Financials20263[[#This Row],[Jan FC]:[Dec FC]])</f>
        <v>119571.06</v>
      </c>
      <c r="AO87" s="15">
        <f t="shared" si="31"/>
        <v>110083.06</v>
      </c>
      <c r="AP87" s="61">
        <v>6188</v>
      </c>
      <c r="AQ87" s="61">
        <v>3300</v>
      </c>
      <c r="AR87" s="61"/>
      <c r="AS87" s="61"/>
      <c r="AT87" s="61"/>
      <c r="AU87" s="61"/>
      <c r="AV87" s="61"/>
      <c r="AW87" s="61"/>
      <c r="AX87" s="61"/>
      <c r="AY87" s="61"/>
      <c r="AZ87" s="61"/>
      <c r="BA87" s="61"/>
      <c r="BB87" s="80">
        <f>SUM(Financials20263[[#This Row],[Jan AC]:[Dec AC]])</f>
        <v>9488</v>
      </c>
      <c r="BC87" s="71">
        <f>Financials20263[[#This Row],[Jan AC]]-Financials20263[[#This Row],[Jan FC]]</f>
        <v>0</v>
      </c>
      <c r="BD87" s="71">
        <f>Financials20263[[#This Row],[Feb AC]]-Financials20263[[#This Row],[Feb FC]]</f>
        <v>0</v>
      </c>
      <c r="BE87" s="71">
        <f>Financials20263[[#This Row],[Mar AC]]-Financials20263[[#This Row],[Mar FC]]</f>
        <v>0</v>
      </c>
      <c r="BF87" s="71">
        <f>Financials20263[[#This Row],[Apr AC]]-Financials20263[[#This Row],[Apr FC]]</f>
        <v>0</v>
      </c>
      <c r="BG87" s="71">
        <f>Financials20263[[#This Row],[May AC]]-Financials20263[[#This Row],[May FC]]</f>
        <v>0</v>
      </c>
      <c r="BH87" s="71">
        <f>Financials20263[[#This Row],[Jun AC]]-Financials20263[[#This Row],[Jun FC]]</f>
        <v>0</v>
      </c>
      <c r="BI87" s="71">
        <f>Financials20263[[#This Row],[Jul AC]]-Financials20263[[#This Row],[Jul FC]]</f>
        <v>0</v>
      </c>
      <c r="BJ87" s="71">
        <f>Financials20263[[#This Row],[Aug AC]]-Financials20263[[#This Row],[Aug FC]]</f>
        <v>0</v>
      </c>
      <c r="BK87" s="71">
        <f>Financials20263[[#This Row],[Sep AC]]-Financials20263[[#This Row],[Sep FC]]</f>
        <v>0</v>
      </c>
      <c r="BL87" s="71">
        <f>Financials20263[[#This Row],[Oct AC]]-Financials20263[[#This Row],[Oct FC]]</f>
        <v>0</v>
      </c>
      <c r="BM87" s="71">
        <f>Financials20263[[#This Row],[Nov AC]]-Financials20263[[#This Row],[Nov FC]]</f>
        <v>0</v>
      </c>
      <c r="BN87" s="71">
        <f>Financials20263[[#This Row],[Dec AC]]-Financials20263[[#This Row],[Dec FC]]</f>
        <v>-110083.06</v>
      </c>
      <c r="BO87" s="71">
        <f>SUM(Financials20263[[#This Row],[Jan Opp/Risk]:[Dec Opp./Risk]])</f>
        <v>-110083.06</v>
      </c>
      <c r="BP87" s="87" t="s">
        <v>579</v>
      </c>
      <c r="BQ87" s="47">
        <f>SUM(Financials20263[[#This Row],[Jan AC]:[May AC]])</f>
        <v>9488</v>
      </c>
      <c r="BR87" s="6">
        <f>Financials20263[[#This Row],[2026 (Actuals + Forecast)]]-Financials20263[[#This Row],[Jan-May Actuals]]-Financials20263[[#This Row],[Jun-Dec FC]]</f>
        <v>0</v>
      </c>
      <c r="BS87" s="6">
        <f>Financials20263[[#This Row],[Jun-Dec FC]]+Financials20263[[#This Row],[Jan-May Forecast ]]</f>
        <v>110083.06</v>
      </c>
      <c r="BT87" s="6">
        <f>SUM(Financials20263[[#This Row],[Jan FC]:[May FC]])</f>
        <v>9488</v>
      </c>
      <c r="BU87" s="6">
        <f>Financials20263[[#This Row],[Jan-May Actuals]]+Financials20263[[#This Row],[Forecast Jun-Dec]]</f>
        <v>119571.06</v>
      </c>
      <c r="BV87" s="6"/>
      <c r="BW87" s="6"/>
      <c r="BX87" s="6"/>
    </row>
    <row r="88" spans="1:76" x14ac:dyDescent="0.3">
      <c r="A88" s="22" t="s">
        <v>101</v>
      </c>
      <c r="B88" s="21" t="s">
        <v>222</v>
      </c>
      <c r="C88" s="21" t="s">
        <v>223</v>
      </c>
      <c r="D88" s="10" t="s">
        <v>27</v>
      </c>
      <c r="E88" s="7" t="s">
        <v>216</v>
      </c>
      <c r="F88" s="3" t="s">
        <v>114</v>
      </c>
      <c r="G88" s="3" t="s">
        <v>53</v>
      </c>
      <c r="H88" s="4">
        <v>46023</v>
      </c>
      <c r="I88" s="4">
        <v>46387</v>
      </c>
      <c r="J88" s="3"/>
      <c r="K88" s="3" t="str">
        <f t="shared" si="28"/>
        <v>Prj000446-Implement - Minor Enhancements for Enterprise Apps</v>
      </c>
      <c r="L88" s="21" t="s">
        <v>106</v>
      </c>
      <c r="M88" s="21" t="s">
        <v>5</v>
      </c>
      <c r="N88" s="21" t="s">
        <v>7</v>
      </c>
      <c r="O88" s="21" t="s">
        <v>135</v>
      </c>
      <c r="P88" s="21" t="s">
        <v>126</v>
      </c>
      <c r="Q88" s="21" t="s">
        <v>127</v>
      </c>
      <c r="R88" s="21" t="s">
        <v>128</v>
      </c>
      <c r="S88" s="21" t="s">
        <v>132</v>
      </c>
      <c r="T88" s="5">
        <v>29400</v>
      </c>
      <c r="U88" s="15">
        <v>32400</v>
      </c>
      <c r="V88" s="15">
        <v>32400</v>
      </c>
      <c r="W88" s="15">
        <f t="shared" si="29"/>
        <v>32009.25</v>
      </c>
      <c r="X88" s="15">
        <f t="shared" si="33"/>
        <v>-390.75</v>
      </c>
      <c r="Y88" s="15">
        <f t="shared" si="30"/>
        <v>0</v>
      </c>
      <c r="Z88" s="15">
        <f>SUM(Financials20263[[#This Row],[2026 Opportunity]:[2026 Risk]])</f>
        <v>-390.75</v>
      </c>
      <c r="AA88" s="3"/>
      <c r="AB88" s="52">
        <v>32400</v>
      </c>
      <c r="AC88" s="52">
        <v>0</v>
      </c>
      <c r="AD88" s="52">
        <v>0</v>
      </c>
      <c r="AE88" s="52">
        <v>0</v>
      </c>
      <c r="AF88" s="52">
        <v>0</v>
      </c>
      <c r="AG88" s="52">
        <v>0</v>
      </c>
      <c r="AH88" s="52">
        <v>0</v>
      </c>
      <c r="AI88" s="52">
        <v>0</v>
      </c>
      <c r="AJ88" s="52">
        <v>0</v>
      </c>
      <c r="AK88" s="52">
        <v>0</v>
      </c>
      <c r="AL88" s="52">
        <v>0</v>
      </c>
      <c r="AM88" s="52">
        <v>0</v>
      </c>
      <c r="AN88" s="52">
        <f>SUM(Financials20263[[#This Row],[Jan FC]:[Dec FC]])</f>
        <v>32400</v>
      </c>
      <c r="AO88" s="15">
        <f t="shared" si="31"/>
        <v>0</v>
      </c>
      <c r="AP88" s="61">
        <v>32009.25</v>
      </c>
      <c r="AQ88" s="61">
        <v>0</v>
      </c>
      <c r="AR88" s="61">
        <v>0</v>
      </c>
      <c r="AS88" s="61">
        <v>0</v>
      </c>
      <c r="AT88" s="61">
        <v>0</v>
      </c>
      <c r="AU88" s="61">
        <v>0</v>
      </c>
      <c r="AV88" s="61">
        <v>0</v>
      </c>
      <c r="AW88" s="61">
        <v>0</v>
      </c>
      <c r="AX88" s="61">
        <v>0</v>
      </c>
      <c r="AY88" s="61">
        <v>0</v>
      </c>
      <c r="AZ88" s="61">
        <v>0</v>
      </c>
      <c r="BA88" s="61">
        <v>0</v>
      </c>
      <c r="BB88" s="80">
        <f>SUM(Financials20263[[#This Row],[Jan AC]:[Dec AC]])</f>
        <v>32009.25</v>
      </c>
      <c r="BC88" s="71">
        <f>Financials20263[[#This Row],[Jan AC]]-Financials20263[[#This Row],[Jan FC]]</f>
        <v>-390.75</v>
      </c>
      <c r="BD88" s="71">
        <f>Financials20263[[#This Row],[Feb AC]]-Financials20263[[#This Row],[Feb FC]]</f>
        <v>0</v>
      </c>
      <c r="BE88" s="71">
        <f>Financials20263[[#This Row],[Mar AC]]-Financials20263[[#This Row],[Mar FC]]</f>
        <v>0</v>
      </c>
      <c r="BF88" s="71">
        <f>Financials20263[[#This Row],[Apr AC]]-Financials20263[[#This Row],[Apr FC]]</f>
        <v>0</v>
      </c>
      <c r="BG88" s="71">
        <f>Financials20263[[#This Row],[May AC]]-Financials20263[[#This Row],[May FC]]</f>
        <v>0</v>
      </c>
      <c r="BH88" s="71">
        <f>Financials20263[[#This Row],[Jun AC]]-Financials20263[[#This Row],[Jun FC]]</f>
        <v>0</v>
      </c>
      <c r="BI88" s="71">
        <f>Financials20263[[#This Row],[Jul AC]]-Financials20263[[#This Row],[Jul FC]]</f>
        <v>0</v>
      </c>
      <c r="BJ88" s="71">
        <f>Financials20263[[#This Row],[Aug AC]]-Financials20263[[#This Row],[Aug FC]]</f>
        <v>0</v>
      </c>
      <c r="BK88" s="71">
        <f>Financials20263[[#This Row],[Sep AC]]-Financials20263[[#This Row],[Sep FC]]</f>
        <v>0</v>
      </c>
      <c r="BL88" s="71">
        <f>Financials20263[[#This Row],[Oct AC]]-Financials20263[[#This Row],[Oct FC]]</f>
        <v>0</v>
      </c>
      <c r="BM88" s="71">
        <f>Financials20263[[#This Row],[Nov AC]]-Financials20263[[#This Row],[Nov FC]]</f>
        <v>0</v>
      </c>
      <c r="BN88" s="71">
        <f>Financials20263[[#This Row],[Dec AC]]-Financials20263[[#This Row],[Dec FC]]</f>
        <v>0</v>
      </c>
      <c r="BO88" s="71">
        <f>SUM(Financials20263[[#This Row],[Jan Opp/Risk]:[Dec Opp./Risk]])</f>
        <v>-390.75</v>
      </c>
      <c r="BP88" s="87" t="s">
        <v>519</v>
      </c>
      <c r="BQ88" s="47">
        <f>SUM(Financials20263[[#This Row],[Jan AC]:[May AC]])</f>
        <v>32009.25</v>
      </c>
      <c r="BR88" s="6">
        <f>Financials20263[[#This Row],[2026 (Actuals + Forecast)]]-Financials20263[[#This Row],[Jan-May Actuals]]-Financials20263[[#This Row],[Jun-Dec FC]]</f>
        <v>0</v>
      </c>
      <c r="BS88" s="6">
        <f>Financials20263[[#This Row],[Jun-Dec FC]]+Financials20263[[#This Row],[Jan-May Forecast ]]</f>
        <v>0</v>
      </c>
      <c r="BT88" s="6">
        <f>SUM(Financials20263[[#This Row],[Jan FC]:[May FC]])</f>
        <v>32400</v>
      </c>
      <c r="BU88" s="6">
        <f>Financials20263[[#This Row],[Jan-May Actuals]]+Financials20263[[#This Row],[Forecast Jun-Dec]]</f>
        <v>32009.25</v>
      </c>
      <c r="BV88" s="6"/>
      <c r="BW88" s="6"/>
      <c r="BX88" s="6"/>
    </row>
    <row r="89" spans="1:76" ht="100.8" x14ac:dyDescent="0.3">
      <c r="A89" s="22" t="s">
        <v>101</v>
      </c>
      <c r="B89" s="21" t="s">
        <v>57</v>
      </c>
      <c r="C89" s="21"/>
      <c r="D89" s="10" t="s">
        <v>17</v>
      </c>
      <c r="E89" s="7" t="s">
        <v>103</v>
      </c>
      <c r="F89" s="3" t="s">
        <v>104</v>
      </c>
      <c r="G89" s="3" t="s">
        <v>49</v>
      </c>
      <c r="H89" s="4" t="s">
        <v>327</v>
      </c>
      <c r="I89" s="4" t="s">
        <v>327</v>
      </c>
      <c r="J89" s="3"/>
      <c r="K89" s="3" t="str">
        <f t="shared" si="28"/>
        <v>Prj000350-Support - Infrastructure for Tech</v>
      </c>
      <c r="L89" s="21" t="s">
        <v>106</v>
      </c>
      <c r="M89" s="21" t="s">
        <v>7</v>
      </c>
      <c r="N89" s="21" t="s">
        <v>7</v>
      </c>
      <c r="O89" s="21"/>
      <c r="P89" s="21" t="s">
        <v>107</v>
      </c>
      <c r="Q89" s="21" t="s">
        <v>134</v>
      </c>
      <c r="R89" s="21" t="s">
        <v>135</v>
      </c>
      <c r="S89" s="21" t="s">
        <v>129</v>
      </c>
      <c r="T89" s="5">
        <v>449917.66</v>
      </c>
      <c r="U89" s="15">
        <v>1091630.8800000001</v>
      </c>
      <c r="V89" s="15">
        <v>1091630.8800000001</v>
      </c>
      <c r="W89" s="15">
        <f t="shared" si="29"/>
        <v>1091630.6000000001</v>
      </c>
      <c r="X89" s="15">
        <f t="shared" si="33"/>
        <v>-0.28000000002793968</v>
      </c>
      <c r="Y89" s="15">
        <f t="shared" si="30"/>
        <v>0</v>
      </c>
      <c r="Z89" s="15">
        <f>SUM(Financials20263[[#This Row],[2026 Opportunity]:[2026 Risk]])</f>
        <v>-0.28000000002793968</v>
      </c>
      <c r="AA89" s="11" t="s">
        <v>423</v>
      </c>
      <c r="AB89" s="52"/>
      <c r="AC89" s="52"/>
      <c r="AD89" s="52"/>
      <c r="AE89" s="52"/>
      <c r="AF89" s="52"/>
      <c r="AG89" s="52"/>
      <c r="AH89" s="52"/>
      <c r="AI89" s="52">
        <f>(84819.8+109916.76+14581.85+104952.63+27106.56)+24750</f>
        <v>366127.60000000003</v>
      </c>
      <c r="AJ89" s="52"/>
      <c r="AK89" s="52"/>
      <c r="AL89" s="52"/>
      <c r="AM89" s="46">
        <v>725503</v>
      </c>
      <c r="AN89" s="52">
        <f>SUM(Financials20263[[#This Row],[Jan FC]:[Dec FC]])</f>
        <v>1091630.6000000001</v>
      </c>
      <c r="AO89" s="15">
        <f t="shared" si="31"/>
        <v>1091630.6000000001</v>
      </c>
      <c r="AP89" s="61"/>
      <c r="AQ89" s="61"/>
      <c r="AR89" s="61"/>
      <c r="AS89" s="61"/>
      <c r="AT89" s="61"/>
      <c r="AU89" s="61"/>
      <c r="AV89" s="61"/>
      <c r="AW89" s="61"/>
      <c r="AX89" s="61"/>
      <c r="AY89" s="61"/>
      <c r="AZ89" s="61"/>
      <c r="BA89" s="61"/>
      <c r="BB89" s="80">
        <f>SUM(Financials20263[[#This Row],[Jan AC]:[Dec AC]])</f>
        <v>0</v>
      </c>
      <c r="BC89" s="71">
        <f>Financials20263[[#This Row],[Jan AC]]-Financials20263[[#This Row],[Jan FC]]</f>
        <v>0</v>
      </c>
      <c r="BD89" s="71">
        <f>Financials20263[[#This Row],[Feb AC]]-Financials20263[[#This Row],[Feb FC]]</f>
        <v>0</v>
      </c>
      <c r="BE89" s="71">
        <f>Financials20263[[#This Row],[Mar AC]]-Financials20263[[#This Row],[Mar FC]]</f>
        <v>0</v>
      </c>
      <c r="BF89" s="71">
        <f>Financials20263[[#This Row],[Apr AC]]-Financials20263[[#This Row],[Apr FC]]</f>
        <v>0</v>
      </c>
      <c r="BG89" s="71">
        <f>Financials20263[[#This Row],[May AC]]-Financials20263[[#This Row],[May FC]]</f>
        <v>0</v>
      </c>
      <c r="BH89" s="71">
        <f>Financials20263[[#This Row],[Jun AC]]-Financials20263[[#This Row],[Jun FC]]</f>
        <v>0</v>
      </c>
      <c r="BI89" s="71">
        <f>Financials20263[[#This Row],[Jul AC]]-Financials20263[[#This Row],[Jul FC]]</f>
        <v>0</v>
      </c>
      <c r="BJ89" s="71">
        <f>Financials20263[[#This Row],[Aug AC]]-Financials20263[[#This Row],[Aug FC]]</f>
        <v>-366127.60000000003</v>
      </c>
      <c r="BK89" s="71">
        <f>Financials20263[[#This Row],[Sep AC]]-Financials20263[[#This Row],[Sep FC]]</f>
        <v>0</v>
      </c>
      <c r="BL89" s="71">
        <f>Financials20263[[#This Row],[Oct AC]]-Financials20263[[#This Row],[Oct FC]]</f>
        <v>0</v>
      </c>
      <c r="BM89" s="71">
        <f>Financials20263[[#This Row],[Nov AC]]-Financials20263[[#This Row],[Nov FC]]</f>
        <v>0</v>
      </c>
      <c r="BN89" s="71">
        <f>Financials20263[[#This Row],[Dec AC]]-Financials20263[[#This Row],[Dec FC]]</f>
        <v>-725503</v>
      </c>
      <c r="BO89" s="71">
        <f>SUM(Financials20263[[#This Row],[Jan Opp/Risk]:[Dec Opp./Risk]])</f>
        <v>-1091630.6000000001</v>
      </c>
      <c r="BP89" s="87"/>
      <c r="BQ89" s="47">
        <f>SUM(Financials20263[[#This Row],[Jan AC]:[May AC]])</f>
        <v>0</v>
      </c>
      <c r="BR89" s="6">
        <f>Financials20263[[#This Row],[2026 (Actuals + Forecast)]]-Financials20263[[#This Row],[Jan-May Actuals]]-Financials20263[[#This Row],[Jun-Dec FC]]</f>
        <v>0</v>
      </c>
      <c r="BS89" s="6">
        <f>Financials20263[[#This Row],[Jun-Dec FC]]+Financials20263[[#This Row],[Jan-May Forecast ]]</f>
        <v>1091630.6000000001</v>
      </c>
      <c r="BT89" s="6">
        <f>SUM(Financials20263[[#This Row],[Jan FC]:[May FC]])</f>
        <v>0</v>
      </c>
      <c r="BU89" s="6">
        <f>Financials20263[[#This Row],[Jan-May Actuals]]+Financials20263[[#This Row],[Forecast Jun-Dec]]</f>
        <v>1091630.6000000001</v>
      </c>
      <c r="BV89" s="6"/>
      <c r="BW89" s="6"/>
      <c r="BX89" s="6"/>
    </row>
    <row r="90" spans="1:76" x14ac:dyDescent="0.3">
      <c r="A90" s="22" t="s">
        <v>101</v>
      </c>
      <c r="B90" s="21" t="s">
        <v>208</v>
      </c>
      <c r="C90" s="21" t="s">
        <v>209</v>
      </c>
      <c r="D90" s="10" t="s">
        <v>22</v>
      </c>
      <c r="E90" s="7" t="s">
        <v>182</v>
      </c>
      <c r="F90" s="3" t="s">
        <v>183</v>
      </c>
      <c r="G90" s="3" t="s">
        <v>48</v>
      </c>
      <c r="H90" s="4">
        <v>45413</v>
      </c>
      <c r="I90" s="4">
        <v>46332</v>
      </c>
      <c r="J90" s="3" t="s">
        <v>328</v>
      </c>
      <c r="K90" s="3" t="str">
        <f t="shared" si="28"/>
        <v>Prj000403-Support - L2 CoE Management for Tech Horizontals</v>
      </c>
      <c r="L90" s="21" t="s">
        <v>124</v>
      </c>
      <c r="M90" s="21" t="s">
        <v>5</v>
      </c>
      <c r="N90" s="21" t="s">
        <v>125</v>
      </c>
      <c r="O90" s="21" t="s">
        <v>329</v>
      </c>
      <c r="P90" s="21" t="s">
        <v>107</v>
      </c>
      <c r="Q90" s="21" t="s">
        <v>134</v>
      </c>
      <c r="R90" s="21" t="s">
        <v>134</v>
      </c>
      <c r="S90" s="21" t="s">
        <v>129</v>
      </c>
      <c r="T90" s="5">
        <v>222842</v>
      </c>
      <c r="U90" s="15">
        <v>195584.34</v>
      </c>
      <c r="V90" s="15">
        <v>195584.34</v>
      </c>
      <c r="W90" s="15">
        <f t="shared" si="29"/>
        <v>191940</v>
      </c>
      <c r="X90" s="15">
        <f t="shared" si="33"/>
        <v>-3644.3399999999965</v>
      </c>
      <c r="Y90" s="15">
        <f t="shared" si="30"/>
        <v>0</v>
      </c>
      <c r="Z90" s="15">
        <f>SUM(Financials20263[[#This Row],[2026 Opportunity]:[2026 Risk]])</f>
        <v>-3644.3399999999965</v>
      </c>
      <c r="AA90" s="3" t="s">
        <v>330</v>
      </c>
      <c r="AB90" s="52">
        <v>15449</v>
      </c>
      <c r="AC90" s="52">
        <v>15449</v>
      </c>
      <c r="AD90" s="52">
        <v>15449</v>
      </c>
      <c r="AE90" s="52">
        <v>15449</v>
      </c>
      <c r="AF90" s="52">
        <v>16268</v>
      </c>
      <c r="AG90" s="52">
        <v>16268</v>
      </c>
      <c r="AH90" s="52">
        <v>16268</v>
      </c>
      <c r="AI90" s="52">
        <v>16268</v>
      </c>
      <c r="AJ90" s="52">
        <v>16268</v>
      </c>
      <c r="AK90" s="52">
        <v>16268</v>
      </c>
      <c r="AL90" s="52">
        <v>16268</v>
      </c>
      <c r="AM90" s="52">
        <v>16268</v>
      </c>
      <c r="AN90" s="75">
        <f>SUM(Financials20263[[#This Row],[Jan FC]:[Dec FC]])</f>
        <v>191940</v>
      </c>
      <c r="AO90" s="15">
        <f t="shared" si="31"/>
        <v>113876</v>
      </c>
      <c r="AP90" s="61">
        <v>15449</v>
      </c>
      <c r="AQ90" s="61">
        <v>15449</v>
      </c>
      <c r="AR90" s="61">
        <v>15449</v>
      </c>
      <c r="AS90" s="61">
        <v>15449</v>
      </c>
      <c r="AT90" s="61">
        <v>16268</v>
      </c>
      <c r="AU90" s="61"/>
      <c r="AV90" s="61"/>
      <c r="AW90" s="61"/>
      <c r="AX90" s="61"/>
      <c r="AY90" s="61"/>
      <c r="AZ90" s="61"/>
      <c r="BA90" s="61"/>
      <c r="BB90" s="80">
        <f>SUM(Financials20263[[#This Row],[Jan AC]:[Dec AC]])</f>
        <v>78064</v>
      </c>
      <c r="BC90" s="71">
        <f>Financials20263[[#This Row],[Jan AC]]-Financials20263[[#This Row],[Jan FC]]</f>
        <v>0</v>
      </c>
      <c r="BD90" s="71">
        <f>Financials20263[[#This Row],[Feb AC]]-Financials20263[[#This Row],[Feb FC]]</f>
        <v>0</v>
      </c>
      <c r="BE90" s="71">
        <f>Financials20263[[#This Row],[Mar AC]]-Financials20263[[#This Row],[Mar FC]]</f>
        <v>0</v>
      </c>
      <c r="BF90" s="71">
        <f>Financials20263[[#This Row],[Apr AC]]-Financials20263[[#This Row],[Apr FC]]</f>
        <v>0</v>
      </c>
      <c r="BG90" s="71">
        <f>Financials20263[[#This Row],[May AC]]-Financials20263[[#This Row],[May FC]]</f>
        <v>0</v>
      </c>
      <c r="BH90" s="71">
        <f>Financials20263[[#This Row],[Jun AC]]-Financials20263[[#This Row],[Jun FC]]</f>
        <v>-16268</v>
      </c>
      <c r="BI90" s="71">
        <f>Financials20263[[#This Row],[Jul AC]]-Financials20263[[#This Row],[Jul FC]]</f>
        <v>-16268</v>
      </c>
      <c r="BJ90" s="71">
        <f>Financials20263[[#This Row],[Aug AC]]-Financials20263[[#This Row],[Aug FC]]</f>
        <v>-16268</v>
      </c>
      <c r="BK90" s="71">
        <f>Financials20263[[#This Row],[Sep AC]]-Financials20263[[#This Row],[Sep FC]]</f>
        <v>-16268</v>
      </c>
      <c r="BL90" s="71">
        <f>Financials20263[[#This Row],[Oct AC]]-Financials20263[[#This Row],[Oct FC]]</f>
        <v>-16268</v>
      </c>
      <c r="BM90" s="71">
        <f>Financials20263[[#This Row],[Nov AC]]-Financials20263[[#This Row],[Nov FC]]</f>
        <v>-16268</v>
      </c>
      <c r="BN90" s="71">
        <f>Financials20263[[#This Row],[Dec AC]]-Financials20263[[#This Row],[Dec FC]]</f>
        <v>-16268</v>
      </c>
      <c r="BO90" s="71">
        <f>SUM(Financials20263[[#This Row],[Jan Opp/Risk]:[Dec Opp./Risk]])</f>
        <v>-113876</v>
      </c>
      <c r="BP90" s="87" t="s">
        <v>593</v>
      </c>
      <c r="BQ90" s="47">
        <f>SUM(Financials20263[[#This Row],[Jan AC]:[May AC]])</f>
        <v>78064</v>
      </c>
      <c r="BR90" s="6">
        <f>Financials20263[[#This Row],[2026 (Actuals + Forecast)]]-Financials20263[[#This Row],[Jan-May Actuals]]-Financials20263[[#This Row],[Jun-Dec FC]]</f>
        <v>0</v>
      </c>
      <c r="BS90" s="6">
        <f>Financials20263[[#This Row],[Jun-Dec FC]]+Financials20263[[#This Row],[Jan-May Forecast ]]</f>
        <v>113876</v>
      </c>
      <c r="BT90" s="6">
        <f>SUM(Financials20263[[#This Row],[Jan FC]:[May FC]])</f>
        <v>78064</v>
      </c>
      <c r="BU90" s="6">
        <f>Financials20263[[#This Row],[Jan-May Actuals]]+Financials20263[[#This Row],[Forecast Jun-Dec]]</f>
        <v>191940</v>
      </c>
      <c r="BV90" s="6"/>
      <c r="BW90" s="6"/>
      <c r="BX90" s="6"/>
    </row>
    <row r="91" spans="1:76" x14ac:dyDescent="0.3">
      <c r="A91" s="22" t="s">
        <v>101</v>
      </c>
      <c r="B91" s="21" t="s">
        <v>208</v>
      </c>
      <c r="C91" s="21" t="s">
        <v>209</v>
      </c>
      <c r="D91" s="10" t="s">
        <v>22</v>
      </c>
      <c r="E91" s="7" t="s">
        <v>182</v>
      </c>
      <c r="F91" s="3" t="s">
        <v>183</v>
      </c>
      <c r="G91" s="3" t="s">
        <v>48</v>
      </c>
      <c r="H91" s="4">
        <v>45778</v>
      </c>
      <c r="I91" s="4">
        <v>46332</v>
      </c>
      <c r="J91" s="3" t="s">
        <v>331</v>
      </c>
      <c r="K91" s="3" t="str">
        <f t="shared" si="28"/>
        <v>Prj000403-Support - L2 CoE Management for Tech Horizontals</v>
      </c>
      <c r="L91" s="21" t="s">
        <v>124</v>
      </c>
      <c r="M91" s="21" t="s">
        <v>5</v>
      </c>
      <c r="N91" s="21" t="s">
        <v>125</v>
      </c>
      <c r="O91" s="21" t="s">
        <v>329</v>
      </c>
      <c r="P91" s="21" t="s">
        <v>107</v>
      </c>
      <c r="Q91" s="21" t="s">
        <v>134</v>
      </c>
      <c r="R91" s="21" t="s">
        <v>134</v>
      </c>
      <c r="S91" s="21" t="s">
        <v>129</v>
      </c>
      <c r="T91" s="5">
        <v>57500</v>
      </c>
      <c r="U91" s="15">
        <v>85455</v>
      </c>
      <c r="V91" s="15">
        <v>85455</v>
      </c>
      <c r="W91" s="15">
        <f t="shared" si="29"/>
        <v>85455</v>
      </c>
      <c r="X91" s="15">
        <f t="shared" si="33"/>
        <v>0</v>
      </c>
      <c r="Y91" s="15">
        <f t="shared" si="30"/>
        <v>0</v>
      </c>
      <c r="Z91" s="15">
        <f>SUM(Financials20263[[#This Row],[2026 Opportunity]:[2026 Risk]])</f>
        <v>0</v>
      </c>
      <c r="AA91" s="3" t="s">
        <v>332</v>
      </c>
      <c r="AB91" s="52">
        <v>6750</v>
      </c>
      <c r="AC91" s="52">
        <v>6750</v>
      </c>
      <c r="AD91" s="52">
        <v>6750</v>
      </c>
      <c r="AE91" s="52">
        <v>6750</v>
      </c>
      <c r="AF91" s="52">
        <v>6750</v>
      </c>
      <c r="AG91" s="52">
        <v>6750</v>
      </c>
      <c r="AH91" s="52">
        <v>6750</v>
      </c>
      <c r="AI91" s="52">
        <v>6750</v>
      </c>
      <c r="AJ91" s="52">
        <v>6750</v>
      </c>
      <c r="AK91" s="52">
        <v>6750</v>
      </c>
      <c r="AL91" s="52">
        <v>6750</v>
      </c>
      <c r="AM91" s="46">
        <v>11205</v>
      </c>
      <c r="AN91" s="75">
        <f>SUM(Financials20263[[#This Row],[Jan FC]:[Dec FC]])</f>
        <v>85455</v>
      </c>
      <c r="AO91" s="15">
        <f t="shared" si="31"/>
        <v>51705</v>
      </c>
      <c r="AP91" s="61">
        <v>6750</v>
      </c>
      <c r="AQ91" s="61">
        <v>6750</v>
      </c>
      <c r="AR91" s="61">
        <v>6750</v>
      </c>
      <c r="AS91" s="61">
        <v>6750</v>
      </c>
      <c r="AT91" s="61">
        <v>6750</v>
      </c>
      <c r="AU91" s="61"/>
      <c r="AV91" s="61"/>
      <c r="AW91" s="61"/>
      <c r="AX91" s="61"/>
      <c r="AY91" s="61"/>
      <c r="AZ91" s="61"/>
      <c r="BA91" s="61"/>
      <c r="BB91" s="80">
        <f>SUM(Financials20263[[#This Row],[Jan AC]:[Dec AC]])</f>
        <v>33750</v>
      </c>
      <c r="BC91" s="71">
        <f>Financials20263[[#This Row],[Jan AC]]-Financials20263[[#This Row],[Jan FC]]</f>
        <v>0</v>
      </c>
      <c r="BD91" s="71">
        <f>Financials20263[[#This Row],[Feb AC]]-Financials20263[[#This Row],[Feb FC]]</f>
        <v>0</v>
      </c>
      <c r="BE91" s="71">
        <f>Financials20263[[#This Row],[Mar AC]]-Financials20263[[#This Row],[Mar FC]]</f>
        <v>0</v>
      </c>
      <c r="BF91" s="71">
        <f>Financials20263[[#This Row],[Apr AC]]-Financials20263[[#This Row],[Apr FC]]</f>
        <v>0</v>
      </c>
      <c r="BG91" s="71">
        <f>Financials20263[[#This Row],[May AC]]-Financials20263[[#This Row],[May FC]]</f>
        <v>0</v>
      </c>
      <c r="BH91" s="71">
        <f>Financials20263[[#This Row],[Jun AC]]-Financials20263[[#This Row],[Jun FC]]</f>
        <v>-6750</v>
      </c>
      <c r="BI91" s="71">
        <f>Financials20263[[#This Row],[Jul AC]]-Financials20263[[#This Row],[Jul FC]]</f>
        <v>-6750</v>
      </c>
      <c r="BJ91" s="71">
        <f>Financials20263[[#This Row],[Aug AC]]-Financials20263[[#This Row],[Aug FC]]</f>
        <v>-6750</v>
      </c>
      <c r="BK91" s="71">
        <f>Financials20263[[#This Row],[Sep AC]]-Financials20263[[#This Row],[Sep FC]]</f>
        <v>-6750</v>
      </c>
      <c r="BL91" s="71">
        <f>Financials20263[[#This Row],[Oct AC]]-Financials20263[[#This Row],[Oct FC]]</f>
        <v>-6750</v>
      </c>
      <c r="BM91" s="71">
        <f>Financials20263[[#This Row],[Nov AC]]-Financials20263[[#This Row],[Nov FC]]</f>
        <v>-6750</v>
      </c>
      <c r="BN91" s="71">
        <f>Financials20263[[#This Row],[Dec AC]]-Financials20263[[#This Row],[Dec FC]]</f>
        <v>-11205</v>
      </c>
      <c r="BO91" s="71">
        <f>SUM(Financials20263[[#This Row],[Jan Opp/Risk]:[Dec Opp./Risk]])</f>
        <v>-51705</v>
      </c>
      <c r="BP91" s="87" t="s">
        <v>519</v>
      </c>
      <c r="BQ91" s="47">
        <f>SUM(Financials20263[[#This Row],[Jan AC]:[May AC]])</f>
        <v>33750</v>
      </c>
      <c r="BR91" s="6">
        <f>Financials20263[[#This Row],[2026 (Actuals + Forecast)]]-Financials20263[[#This Row],[Jan-May Actuals]]-Financials20263[[#This Row],[Jun-Dec FC]]</f>
        <v>0</v>
      </c>
      <c r="BS91" s="6">
        <f>Financials20263[[#This Row],[Jun-Dec FC]]+Financials20263[[#This Row],[Jan-May Forecast ]]</f>
        <v>51705</v>
      </c>
      <c r="BT91" s="6">
        <f>SUM(Financials20263[[#This Row],[Jan FC]:[May FC]])</f>
        <v>33750</v>
      </c>
      <c r="BU91" s="6">
        <f>Financials20263[[#This Row],[Jan-May Actuals]]+Financials20263[[#This Row],[Forecast Jun-Dec]]</f>
        <v>85455</v>
      </c>
      <c r="BV91" s="6"/>
      <c r="BW91" s="6"/>
      <c r="BX91" s="6"/>
    </row>
    <row r="92" spans="1:76" x14ac:dyDescent="0.3">
      <c r="A92" s="22" t="s">
        <v>101</v>
      </c>
      <c r="B92" s="21" t="s">
        <v>333</v>
      </c>
      <c r="C92" s="21"/>
      <c r="D92" s="10" t="s">
        <v>27</v>
      </c>
      <c r="E92" s="7" t="s">
        <v>216</v>
      </c>
      <c r="F92" s="3" t="s">
        <v>114</v>
      </c>
      <c r="G92" s="3" t="s">
        <v>53</v>
      </c>
      <c r="H92" s="4"/>
      <c r="I92" s="4"/>
      <c r="J92" s="3"/>
      <c r="K92" s="3" t="str">
        <f t="shared" si="28"/>
        <v>Prj000446-Implement - Minor Enhancements for Enterprise Apps</v>
      </c>
      <c r="L92" s="21" t="s">
        <v>106</v>
      </c>
      <c r="M92" s="21" t="s">
        <v>7</v>
      </c>
      <c r="N92" s="21" t="s">
        <v>7</v>
      </c>
      <c r="O92" s="21"/>
      <c r="P92" s="21" t="s">
        <v>107</v>
      </c>
      <c r="Q92" s="21" t="s">
        <v>134</v>
      </c>
      <c r="R92" s="21" t="s">
        <v>134</v>
      </c>
      <c r="S92" s="21" t="s">
        <v>129</v>
      </c>
      <c r="T92" s="5">
        <v>46598.93</v>
      </c>
      <c r="U92" s="15">
        <v>48934</v>
      </c>
      <c r="V92" s="15">
        <v>48934</v>
      </c>
      <c r="W92" s="15">
        <f t="shared" si="29"/>
        <v>48932</v>
      </c>
      <c r="X92" s="15">
        <f t="shared" si="33"/>
        <v>-2</v>
      </c>
      <c r="Y92" s="15">
        <f t="shared" si="30"/>
        <v>0</v>
      </c>
      <c r="Z92" s="15">
        <f>SUM(Financials20263[[#This Row],[2026 Opportunity]:[2026 Risk]])</f>
        <v>-2</v>
      </c>
      <c r="AA92" s="3" t="s">
        <v>445</v>
      </c>
      <c r="AB92" s="52">
        <v>4702</v>
      </c>
      <c r="AC92" s="52">
        <v>1000</v>
      </c>
      <c r="AD92" s="52">
        <f>1000</f>
        <v>1000</v>
      </c>
      <c r="AE92" s="52">
        <f>1000+195</f>
        <v>1195</v>
      </c>
      <c r="AF92" s="52">
        <v>1000</v>
      </c>
      <c r="AG92" s="52">
        <v>1000</v>
      </c>
      <c r="AH92" s="52">
        <v>1000</v>
      </c>
      <c r="AI92" s="52">
        <v>1000</v>
      </c>
      <c r="AJ92" s="52">
        <v>1000</v>
      </c>
      <c r="AK92" s="52">
        <v>1000</v>
      </c>
      <c r="AL92" s="52">
        <v>1000</v>
      </c>
      <c r="AM92" s="46">
        <f>34232-195</f>
        <v>34037</v>
      </c>
      <c r="AN92" s="52">
        <f>SUM(Financials20263[[#This Row],[Jan FC]:[Dec FC]])</f>
        <v>48934</v>
      </c>
      <c r="AO92" s="15">
        <f t="shared" si="31"/>
        <v>40037</v>
      </c>
      <c r="AP92" s="61">
        <f>999+3705</f>
        <v>4704</v>
      </c>
      <c r="AQ92" s="61">
        <v>999</v>
      </c>
      <c r="AR92" s="61">
        <f>999</f>
        <v>999</v>
      </c>
      <c r="AS92" s="61">
        <f>999+195</f>
        <v>1194</v>
      </c>
      <c r="AT92" s="61">
        <v>999</v>
      </c>
      <c r="AU92" s="61">
        <v>999</v>
      </c>
      <c r="AV92" s="61"/>
      <c r="AW92" s="61"/>
      <c r="AX92" s="61"/>
      <c r="AY92" s="61"/>
      <c r="AZ92" s="61"/>
      <c r="BA92" s="61"/>
      <c r="BB92" s="80">
        <f>SUM(Financials20263[[#This Row],[Jan AC]:[Dec AC]])</f>
        <v>9894</v>
      </c>
      <c r="BC92" s="71">
        <f>Financials20263[[#This Row],[Jan AC]]-Financials20263[[#This Row],[Jan FC]]</f>
        <v>2</v>
      </c>
      <c r="BD92" s="71">
        <f>Financials20263[[#This Row],[Feb AC]]-Financials20263[[#This Row],[Feb FC]]</f>
        <v>-1</v>
      </c>
      <c r="BE92" s="71">
        <f>Financials20263[[#This Row],[Mar AC]]-Financials20263[[#This Row],[Mar FC]]</f>
        <v>-1</v>
      </c>
      <c r="BF92" s="71">
        <f>Financials20263[[#This Row],[Apr AC]]-Financials20263[[#This Row],[Apr FC]]</f>
        <v>-1</v>
      </c>
      <c r="BG92" s="71">
        <f>Financials20263[[#This Row],[May AC]]-Financials20263[[#This Row],[May FC]]</f>
        <v>-1</v>
      </c>
      <c r="BH92" s="71">
        <f>Financials20263[[#This Row],[Jun AC]]-Financials20263[[#This Row],[Jun FC]]</f>
        <v>-1</v>
      </c>
      <c r="BI92" s="71">
        <f>Financials20263[[#This Row],[Jul AC]]-Financials20263[[#This Row],[Jul FC]]</f>
        <v>-1000</v>
      </c>
      <c r="BJ92" s="71">
        <f>Financials20263[[#This Row],[Aug AC]]-Financials20263[[#This Row],[Aug FC]]</f>
        <v>-1000</v>
      </c>
      <c r="BK92" s="71">
        <f>Financials20263[[#This Row],[Sep AC]]-Financials20263[[#This Row],[Sep FC]]</f>
        <v>-1000</v>
      </c>
      <c r="BL92" s="71">
        <f>Financials20263[[#This Row],[Oct AC]]-Financials20263[[#This Row],[Oct FC]]</f>
        <v>-1000</v>
      </c>
      <c r="BM92" s="71">
        <f>Financials20263[[#This Row],[Nov AC]]-Financials20263[[#This Row],[Nov FC]]</f>
        <v>-1000</v>
      </c>
      <c r="BN92" s="71">
        <f>Financials20263[[#This Row],[Dec AC]]-Financials20263[[#This Row],[Dec FC]]</f>
        <v>-34037</v>
      </c>
      <c r="BO92" s="71">
        <f>SUM(Financials20263[[#This Row],[Jan Opp/Risk]:[Dec Opp./Risk]])</f>
        <v>-39040</v>
      </c>
      <c r="BP92" s="87" t="s">
        <v>573</v>
      </c>
      <c r="BQ92" s="47">
        <f>SUM(Financials20263[[#This Row],[Jan AC]:[May AC]])</f>
        <v>8895</v>
      </c>
      <c r="BR92" s="6">
        <f>Financials20263[[#This Row],[2026 (Actuals + Forecast)]]-Financials20263[[#This Row],[Jan-May Actuals]]-Financials20263[[#This Row],[Jun-Dec FC]]</f>
        <v>0</v>
      </c>
      <c r="BS92" s="6">
        <f>Financials20263[[#This Row],[Jun-Dec FC]]+Financials20263[[#This Row],[Jan-May Forecast ]]</f>
        <v>40037</v>
      </c>
      <c r="BT92" s="6">
        <f>SUM(Financials20263[[#This Row],[Jan FC]:[May FC]])</f>
        <v>8897</v>
      </c>
      <c r="BU92" s="6">
        <f>Financials20263[[#This Row],[Jan-May Actuals]]+Financials20263[[#This Row],[Forecast Jun-Dec]]</f>
        <v>48932</v>
      </c>
      <c r="BV92" s="6"/>
      <c r="BW92" s="6"/>
      <c r="BX92" s="6"/>
    </row>
    <row r="93" spans="1:76" x14ac:dyDescent="0.3">
      <c r="A93" s="22" t="s">
        <v>101</v>
      </c>
      <c r="B93" s="21" t="s">
        <v>334</v>
      </c>
      <c r="C93" s="21" t="s">
        <v>335</v>
      </c>
      <c r="D93" s="10" t="s">
        <v>31</v>
      </c>
      <c r="E93" s="7" t="s">
        <v>204</v>
      </c>
      <c r="F93" s="3" t="s">
        <v>205</v>
      </c>
      <c r="G93" s="3" t="s">
        <v>50</v>
      </c>
      <c r="H93" s="4"/>
      <c r="I93" s="4"/>
      <c r="J93" s="3"/>
      <c r="K93" s="3" t="str">
        <f t="shared" si="28"/>
        <v>Prj000469-Support - Prod Support for Ops Apps</v>
      </c>
      <c r="L93" s="21" t="s">
        <v>106</v>
      </c>
      <c r="M93" s="21" t="s">
        <v>7</v>
      </c>
      <c r="N93" s="21" t="s">
        <v>7</v>
      </c>
      <c r="O93" s="21"/>
      <c r="P93" s="21" t="s">
        <v>107</v>
      </c>
      <c r="Q93" s="21" t="s">
        <v>134</v>
      </c>
      <c r="R93" s="21" t="s">
        <v>134</v>
      </c>
      <c r="S93" s="21" t="s">
        <v>202</v>
      </c>
      <c r="T93" s="5">
        <v>3268031.27</v>
      </c>
      <c r="U93" s="15">
        <v>3500000</v>
      </c>
      <c r="V93" s="15">
        <v>3500000</v>
      </c>
      <c r="W93" s="15">
        <f t="shared" si="29"/>
        <v>3385833.333333334</v>
      </c>
      <c r="X93" s="15">
        <f t="shared" si="33"/>
        <v>-114166.66666666605</v>
      </c>
      <c r="Y93" s="15">
        <f t="shared" si="30"/>
        <v>0</v>
      </c>
      <c r="Z93" s="15">
        <f>SUM(Financials20263[[#This Row],[2026 Opportunity]:[2026 Risk]])</f>
        <v>-114166.66666666605</v>
      </c>
      <c r="AA93" s="3" t="s">
        <v>637</v>
      </c>
      <c r="AB93" s="52">
        <v>261174.96666666667</v>
      </c>
      <c r="AC93" s="52">
        <v>261174.96666666667</v>
      </c>
      <c r="AD93" s="52">
        <v>261174.96666666667</v>
      </c>
      <c r="AE93" s="52">
        <v>253282.01</v>
      </c>
      <c r="AF93" s="52">
        <v>253282.01</v>
      </c>
      <c r="AG93" s="52">
        <v>253282.01</v>
      </c>
      <c r="AH93" s="52">
        <v>461647.86833333329</v>
      </c>
      <c r="AI93" s="52">
        <v>461647.86833333329</v>
      </c>
      <c r="AJ93" s="52">
        <v>229791.66666666666</v>
      </c>
      <c r="AK93" s="52">
        <v>229791.66666666666</v>
      </c>
      <c r="AL93" s="52">
        <v>229791.66666666666</v>
      </c>
      <c r="AM93" s="52">
        <v>229791.66666666666</v>
      </c>
      <c r="AN93" s="52">
        <f>SUM(Financials20263[[#This Row],[Jan FC]:[Dec FC]])</f>
        <v>3385833.3333333326</v>
      </c>
      <c r="AO93" s="15">
        <f t="shared" si="31"/>
        <v>2095744.4133333336</v>
      </c>
      <c r="AP93" s="61">
        <f>(637500/3)+(146024.9/3)</f>
        <v>261174.96666666667</v>
      </c>
      <c r="AQ93" s="61">
        <f t="shared" ref="AQ93" si="37">(637500/3)+(146024.9/3)</f>
        <v>261174.96666666667</v>
      </c>
      <c r="AR93" s="61">
        <f>(637500/3)+(146024.9/3)</f>
        <v>261174.96666666667</v>
      </c>
      <c r="AS93" s="61">
        <f>(637500/3)+(122346.03/3)</f>
        <v>253282.01</v>
      </c>
      <c r="AT93" s="61">
        <f t="shared" ref="AT93:AU93" si="38">(637500/3)+(122346.03/3)</f>
        <v>253282.01</v>
      </c>
      <c r="AU93" s="61">
        <f t="shared" si="38"/>
        <v>253282.01</v>
      </c>
      <c r="AV93" s="61"/>
      <c r="AW93" s="61"/>
      <c r="AX93" s="61"/>
      <c r="AY93" s="61"/>
      <c r="AZ93" s="61"/>
      <c r="BA93" s="61"/>
      <c r="BB93" s="80">
        <f>SUM(Financials20263[[#This Row],[Jan AC]:[Dec AC]])</f>
        <v>1543370.93</v>
      </c>
      <c r="BC93" s="71">
        <f>Financials20263[[#This Row],[Jan AC]]-Financials20263[[#This Row],[Jan FC]]</f>
        <v>0</v>
      </c>
      <c r="BD93" s="71">
        <f>Financials20263[[#This Row],[Feb AC]]-Financials20263[[#This Row],[Feb FC]]</f>
        <v>0</v>
      </c>
      <c r="BE93" s="71">
        <f>Financials20263[[#This Row],[Mar AC]]-Financials20263[[#This Row],[Mar FC]]</f>
        <v>0</v>
      </c>
      <c r="BF93" s="71">
        <f>Financials20263[[#This Row],[Apr AC]]-Financials20263[[#This Row],[Apr FC]]</f>
        <v>0</v>
      </c>
      <c r="BG93" s="71">
        <f>Financials20263[[#This Row],[May AC]]-Financials20263[[#This Row],[May FC]]</f>
        <v>0</v>
      </c>
      <c r="BH93" s="71">
        <f>Financials20263[[#This Row],[Jun AC]]-Financials20263[[#This Row],[Jun FC]]</f>
        <v>0</v>
      </c>
      <c r="BI93" s="71">
        <f>Financials20263[[#This Row],[Jul AC]]-Financials20263[[#This Row],[Jul FC]]</f>
        <v>-461647.86833333329</v>
      </c>
      <c r="BJ93" s="71">
        <f>Financials20263[[#This Row],[Aug AC]]-Financials20263[[#This Row],[Aug FC]]</f>
        <v>-461647.86833333329</v>
      </c>
      <c r="BK93" s="71">
        <f>Financials20263[[#This Row],[Sep AC]]-Financials20263[[#This Row],[Sep FC]]</f>
        <v>-229791.66666666666</v>
      </c>
      <c r="BL93" s="71">
        <f>Financials20263[[#This Row],[Oct AC]]-Financials20263[[#This Row],[Oct FC]]</f>
        <v>-229791.66666666666</v>
      </c>
      <c r="BM93" s="71">
        <f>Financials20263[[#This Row],[Nov AC]]-Financials20263[[#This Row],[Nov FC]]</f>
        <v>-229791.66666666666</v>
      </c>
      <c r="BN93" s="71">
        <f>Financials20263[[#This Row],[Dec AC]]-Financials20263[[#This Row],[Dec FC]]</f>
        <v>-229791.66666666666</v>
      </c>
      <c r="BO93" s="71">
        <f>SUM(Financials20263[[#This Row],[Jan Opp/Risk]:[Dec Opp./Risk]])</f>
        <v>-1842462.4033333336</v>
      </c>
      <c r="BP93" s="89" t="s">
        <v>636</v>
      </c>
      <c r="BQ93" s="47">
        <f>SUM(Financials20263[[#This Row],[Jan AC]:[May AC]])</f>
        <v>1290088.92</v>
      </c>
      <c r="BR93" s="6">
        <f>Financials20263[[#This Row],[2026 (Actuals + Forecast)]]-Financials20263[[#This Row],[Jan-May Actuals]]-Financials20263[[#This Row],[Jun-Dec FC]]</f>
        <v>0</v>
      </c>
      <c r="BS93" s="6">
        <f>Financials20263[[#This Row],[Jun-Dec FC]]+Financials20263[[#This Row],[Jan-May Forecast ]]</f>
        <v>2095744.4133333336</v>
      </c>
      <c r="BT93" s="6">
        <f>SUM(Financials20263[[#This Row],[Jan FC]:[May FC]])</f>
        <v>1290088.92</v>
      </c>
      <c r="BU93" s="6">
        <f>Financials20263[[#This Row],[Jan-May Actuals]]+Financials20263[[#This Row],[Forecast Jun-Dec]]</f>
        <v>3385833.3333333335</v>
      </c>
      <c r="BV93" s="6"/>
      <c r="BW93" s="6"/>
      <c r="BX93" s="6"/>
    </row>
    <row r="94" spans="1:76" x14ac:dyDescent="0.3">
      <c r="A94" s="22" t="s">
        <v>101</v>
      </c>
      <c r="B94" s="21" t="s">
        <v>67</v>
      </c>
      <c r="C94" s="21"/>
      <c r="D94" s="10" t="s">
        <v>17</v>
      </c>
      <c r="E94" s="7" t="s">
        <v>103</v>
      </c>
      <c r="F94" s="3" t="s">
        <v>104</v>
      </c>
      <c r="G94" s="3" t="s">
        <v>49</v>
      </c>
      <c r="H94" s="4">
        <v>46174</v>
      </c>
      <c r="I94" s="4">
        <v>46538</v>
      </c>
      <c r="J94" s="3"/>
      <c r="K94" s="3" t="str">
        <f t="shared" si="28"/>
        <v>Prj000350-Support - Infrastructure for Tech</v>
      </c>
      <c r="L94" s="21" t="s">
        <v>106</v>
      </c>
      <c r="M94" s="21" t="s">
        <v>7</v>
      </c>
      <c r="N94" s="21" t="s">
        <v>7</v>
      </c>
      <c r="O94" s="21" t="s">
        <v>329</v>
      </c>
      <c r="P94" s="21" t="s">
        <v>107</v>
      </c>
      <c r="Q94" s="21" t="s">
        <v>134</v>
      </c>
      <c r="R94" s="21" t="s">
        <v>135</v>
      </c>
      <c r="S94" s="21" t="s">
        <v>109</v>
      </c>
      <c r="T94" s="5">
        <v>588000</v>
      </c>
      <c r="U94" s="15">
        <v>596913</v>
      </c>
      <c r="V94" s="15">
        <v>596913</v>
      </c>
      <c r="W94" s="15">
        <f t="shared" si="29"/>
        <v>642692</v>
      </c>
      <c r="X94" s="15">
        <f t="shared" si="33"/>
        <v>0</v>
      </c>
      <c r="Y94" s="15">
        <f t="shared" si="30"/>
        <v>45779</v>
      </c>
      <c r="Z94" s="15">
        <f>SUM(Financials20263[[#This Row],[2026 Opportunity]:[2026 Risk]])</f>
        <v>45779</v>
      </c>
      <c r="AA94" s="3" t="s">
        <v>618</v>
      </c>
      <c r="AB94" s="51">
        <f>580000/12</f>
        <v>48333.333333333336</v>
      </c>
      <c r="AC94" s="51">
        <f>580000/12</f>
        <v>48333.333333333336</v>
      </c>
      <c r="AD94" s="51">
        <f>580000/12</f>
        <v>48333.333333333336</v>
      </c>
      <c r="AE94" s="51">
        <f>580000/12</f>
        <v>48333.333333333336</v>
      </c>
      <c r="AF94" s="51">
        <f>580000/12</f>
        <v>48333.333333333336</v>
      </c>
      <c r="AG94" s="51">
        <f>687472/12</f>
        <v>57289.333333333336</v>
      </c>
      <c r="AH94" s="51">
        <f t="shared" ref="AH94:AM94" si="39">687472/12</f>
        <v>57289.333333333336</v>
      </c>
      <c r="AI94" s="51">
        <f t="shared" si="39"/>
        <v>57289.333333333336</v>
      </c>
      <c r="AJ94" s="51">
        <f t="shared" si="39"/>
        <v>57289.333333333336</v>
      </c>
      <c r="AK94" s="51">
        <f t="shared" si="39"/>
        <v>57289.333333333336</v>
      </c>
      <c r="AL94" s="51">
        <f t="shared" si="39"/>
        <v>57289.333333333336</v>
      </c>
      <c r="AM94" s="51">
        <f t="shared" si="39"/>
        <v>57289.333333333336</v>
      </c>
      <c r="AN94" s="51">
        <f>SUM(Financials20263[[#This Row],[Jan FC]:[Dec FC]])</f>
        <v>642692</v>
      </c>
      <c r="AO94" s="15">
        <f t="shared" si="31"/>
        <v>401025.33333333331</v>
      </c>
      <c r="AP94" s="60">
        <f>580000/12</f>
        <v>48333.333333333336</v>
      </c>
      <c r="AQ94" s="60">
        <f>580000/12</f>
        <v>48333.333333333336</v>
      </c>
      <c r="AR94" s="60">
        <f>580000/12</f>
        <v>48333.333333333336</v>
      </c>
      <c r="AS94" s="60">
        <f>580000/12</f>
        <v>48333.333333333336</v>
      </c>
      <c r="AT94" s="60">
        <f>580000/12</f>
        <v>48333.333333333336</v>
      </c>
      <c r="AU94" s="60">
        <f>687472.16/12</f>
        <v>57289.346666666672</v>
      </c>
      <c r="AV94" s="60">
        <f t="shared" ref="AV94:BA94" si="40">687472.16/12</f>
        <v>57289.346666666672</v>
      </c>
      <c r="AW94" s="60">
        <f t="shared" si="40"/>
        <v>57289.346666666672</v>
      </c>
      <c r="AX94" s="60">
        <f t="shared" si="40"/>
        <v>57289.346666666672</v>
      </c>
      <c r="AY94" s="60">
        <f t="shared" si="40"/>
        <v>57289.346666666672</v>
      </c>
      <c r="AZ94" s="60">
        <f t="shared" si="40"/>
        <v>57289.346666666672</v>
      </c>
      <c r="BA94" s="60">
        <f t="shared" si="40"/>
        <v>57289.346666666672</v>
      </c>
      <c r="BB94" s="79">
        <f>SUM(Financials20263[[#This Row],[Jan AC]:[Dec AC]])</f>
        <v>642692.09333333338</v>
      </c>
      <c r="BC94" s="71">
        <f>Financials20263[[#This Row],[Jan AC]]-Financials20263[[#This Row],[Jan FC]]</f>
        <v>0</v>
      </c>
      <c r="BD94" s="71">
        <f>Financials20263[[#This Row],[Feb AC]]-Financials20263[[#This Row],[Feb FC]]</f>
        <v>0</v>
      </c>
      <c r="BE94" s="71">
        <f>Financials20263[[#This Row],[Mar AC]]-Financials20263[[#This Row],[Mar FC]]</f>
        <v>0</v>
      </c>
      <c r="BF94" s="71">
        <f>Financials20263[[#This Row],[Apr AC]]-Financials20263[[#This Row],[Apr FC]]</f>
        <v>0</v>
      </c>
      <c r="BG94" s="71">
        <f>Financials20263[[#This Row],[May AC]]-Financials20263[[#This Row],[May FC]]</f>
        <v>0</v>
      </c>
      <c r="BH94" s="71">
        <f>Financials20263[[#This Row],[Jun AC]]-Financials20263[[#This Row],[Jun FC]]</f>
        <v>1.3333333336049691E-2</v>
      </c>
      <c r="BI94" s="71">
        <f>Financials20263[[#This Row],[Jul AC]]-Financials20263[[#This Row],[Jul FC]]</f>
        <v>1.3333333336049691E-2</v>
      </c>
      <c r="BJ94" s="71">
        <f>Financials20263[[#This Row],[Aug AC]]-Financials20263[[#This Row],[Aug FC]]</f>
        <v>1.3333333336049691E-2</v>
      </c>
      <c r="BK94" s="71">
        <f>Financials20263[[#This Row],[Sep AC]]-Financials20263[[#This Row],[Sep FC]]</f>
        <v>1.3333333336049691E-2</v>
      </c>
      <c r="BL94" s="71">
        <f>Financials20263[[#This Row],[Oct AC]]-Financials20263[[#This Row],[Oct FC]]</f>
        <v>1.3333333336049691E-2</v>
      </c>
      <c r="BM94" s="71">
        <f>Financials20263[[#This Row],[Nov AC]]-Financials20263[[#This Row],[Nov FC]]</f>
        <v>1.3333333336049691E-2</v>
      </c>
      <c r="BN94" s="71">
        <f>Financials20263[[#This Row],[Dec AC]]-Financials20263[[#This Row],[Dec FC]]</f>
        <v>1.3333333336049691E-2</v>
      </c>
      <c r="BO94" s="71">
        <f>SUM(Financials20263[[#This Row],[Jan Opp/Risk]:[Dec Opp./Risk]])</f>
        <v>9.3333333352347836E-2</v>
      </c>
      <c r="BP94" s="87" t="s">
        <v>619</v>
      </c>
      <c r="BQ94" s="47">
        <f>SUM(Financials20263[[#This Row],[Jan AC]:[May AC]])</f>
        <v>241666.66666666669</v>
      </c>
      <c r="BR94" s="6">
        <f>Financials20263[[#This Row],[2026 (Actuals + Forecast)]]-Financials20263[[#This Row],[Jan-May Actuals]]-Financials20263[[#This Row],[Jun-Dec FC]]</f>
        <v>0</v>
      </c>
      <c r="BS94" s="6">
        <f>Financials20263[[#This Row],[Jun-Dec FC]]+Financials20263[[#This Row],[Jan-May Forecast ]]</f>
        <v>401025.33333333331</v>
      </c>
      <c r="BT94" s="6">
        <f>SUM(Financials20263[[#This Row],[Jan FC]:[May FC]])</f>
        <v>241666.66666666669</v>
      </c>
      <c r="BU94" s="6">
        <f>Financials20263[[#This Row],[Jan-May Actuals]]+Financials20263[[#This Row],[Forecast Jun-Dec]]</f>
        <v>642692</v>
      </c>
      <c r="BV94" s="6"/>
      <c r="BW94" s="6"/>
      <c r="BX94" s="6"/>
    </row>
    <row r="95" spans="1:76" x14ac:dyDescent="0.3">
      <c r="A95" s="22" t="s">
        <v>101</v>
      </c>
      <c r="B95" s="21" t="s">
        <v>208</v>
      </c>
      <c r="C95" s="21" t="s">
        <v>209</v>
      </c>
      <c r="D95" s="10" t="s">
        <v>186</v>
      </c>
      <c r="E95" s="7" t="s">
        <v>186</v>
      </c>
      <c r="F95" s="3" t="s">
        <v>336</v>
      </c>
      <c r="G95" s="3" t="s">
        <v>48</v>
      </c>
      <c r="H95" s="4">
        <v>46023</v>
      </c>
      <c r="I95" s="4">
        <v>46203</v>
      </c>
      <c r="J95" s="3" t="s">
        <v>337</v>
      </c>
      <c r="K95" s="3" t="str">
        <f t="shared" si="28"/>
        <v>T&amp;M-T&amp;M</v>
      </c>
      <c r="L95" s="21" t="s">
        <v>124</v>
      </c>
      <c r="M95" s="21" t="s">
        <v>46</v>
      </c>
      <c r="N95" s="21" t="s">
        <v>189</v>
      </c>
      <c r="O95" s="21" t="s">
        <v>186</v>
      </c>
      <c r="P95" s="21" t="s">
        <v>126</v>
      </c>
      <c r="Q95" s="21" t="s">
        <v>127</v>
      </c>
      <c r="R95" s="21" t="s">
        <v>128</v>
      </c>
      <c r="S95" s="21" t="s">
        <v>129</v>
      </c>
      <c r="T95" s="5">
        <v>433000</v>
      </c>
      <c r="U95" s="15">
        <v>216000</v>
      </c>
      <c r="V95" s="15">
        <v>216000</v>
      </c>
      <c r="W95" s="15">
        <f t="shared" si="29"/>
        <v>488400</v>
      </c>
      <c r="X95" s="15">
        <f t="shared" si="33"/>
        <v>0</v>
      </c>
      <c r="Y95" s="15">
        <f t="shared" si="30"/>
        <v>272400</v>
      </c>
      <c r="Z95" s="15">
        <f>SUM(Financials20263[[#This Row],[2026 Opportunity]:[2026 Risk]])</f>
        <v>272400</v>
      </c>
      <c r="AA95" s="3" t="s">
        <v>338</v>
      </c>
      <c r="AB95" s="52">
        <v>88000</v>
      </c>
      <c r="AC95" s="52">
        <v>88000</v>
      </c>
      <c r="AD95" s="52">
        <v>88000</v>
      </c>
      <c r="AE95" s="52">
        <v>88000</v>
      </c>
      <c r="AF95" s="52">
        <v>88000</v>
      </c>
      <c r="AG95" s="52">
        <v>88000</v>
      </c>
      <c r="AH95" s="52"/>
      <c r="AI95" s="52"/>
      <c r="AJ95" s="52"/>
      <c r="AK95" s="52"/>
      <c r="AL95" s="52"/>
      <c r="AM95" s="52"/>
      <c r="AN95" s="52">
        <f>SUM(Financials20263[[#This Row],[Jan FC]:[Dec FC]])</f>
        <v>528000</v>
      </c>
      <c r="AO95" s="15">
        <f t="shared" si="31"/>
        <v>88000</v>
      </c>
      <c r="AP95" s="61">
        <v>73000</v>
      </c>
      <c r="AQ95" s="61">
        <v>70200</v>
      </c>
      <c r="AR95" s="61">
        <v>87200</v>
      </c>
      <c r="AS95" s="61">
        <v>82000</v>
      </c>
      <c r="AT95" s="61"/>
      <c r="AU95" s="61"/>
      <c r="AV95" s="61"/>
      <c r="AW95" s="61"/>
      <c r="AX95" s="61"/>
      <c r="AY95" s="61"/>
      <c r="AZ95" s="61"/>
      <c r="BA95" s="61"/>
      <c r="BB95" s="80">
        <f>SUM(Financials20263[[#This Row],[Jan AC]:[Dec AC]])</f>
        <v>312400</v>
      </c>
      <c r="BC95" s="71">
        <f>Financials20263[[#This Row],[Jan AC]]-Financials20263[[#This Row],[Jan FC]]</f>
        <v>-15000</v>
      </c>
      <c r="BD95" s="71">
        <f>Financials20263[[#This Row],[Feb AC]]-Financials20263[[#This Row],[Feb FC]]</f>
        <v>-17800</v>
      </c>
      <c r="BE95" s="71">
        <f>Financials20263[[#This Row],[Mar AC]]-Financials20263[[#This Row],[Mar FC]]</f>
        <v>-800</v>
      </c>
      <c r="BF95" s="71">
        <f>Financials20263[[#This Row],[Apr AC]]-Financials20263[[#This Row],[Apr FC]]</f>
        <v>-6000</v>
      </c>
      <c r="BG95" s="71">
        <f>Financials20263[[#This Row],[May AC]]-Financials20263[[#This Row],[May FC]]</f>
        <v>-88000</v>
      </c>
      <c r="BH95" s="71">
        <f>Financials20263[[#This Row],[Jun AC]]-Financials20263[[#This Row],[Jun FC]]</f>
        <v>-88000</v>
      </c>
      <c r="BI95" s="71">
        <f>Financials20263[[#This Row],[Jul AC]]-Financials20263[[#This Row],[Jul FC]]</f>
        <v>0</v>
      </c>
      <c r="BJ95" s="71">
        <f>Financials20263[[#This Row],[Aug AC]]-Financials20263[[#This Row],[Aug FC]]</f>
        <v>0</v>
      </c>
      <c r="BK95" s="71">
        <f>Financials20263[[#This Row],[Sep AC]]-Financials20263[[#This Row],[Sep FC]]</f>
        <v>0</v>
      </c>
      <c r="BL95" s="71">
        <f>Financials20263[[#This Row],[Oct AC]]-Financials20263[[#This Row],[Oct FC]]</f>
        <v>0</v>
      </c>
      <c r="BM95" s="71">
        <f>Financials20263[[#This Row],[Nov AC]]-Financials20263[[#This Row],[Nov FC]]</f>
        <v>0</v>
      </c>
      <c r="BN95" s="71">
        <f>Financials20263[[#This Row],[Dec AC]]-Financials20263[[#This Row],[Dec FC]]</f>
        <v>0</v>
      </c>
      <c r="BO95" s="71">
        <f>SUM(Financials20263[[#This Row],[Jan Opp/Risk]:[Dec Opp./Risk]])</f>
        <v>-215600</v>
      </c>
      <c r="BP95" s="89" t="s">
        <v>523</v>
      </c>
      <c r="BQ95" s="47">
        <f>SUM(Financials20263[[#This Row],[Jan AC]:[May AC]])</f>
        <v>312400</v>
      </c>
      <c r="BR95" s="6">
        <f>Financials20263[[#This Row],[2026 (Actuals + Forecast)]]-Financials20263[[#This Row],[Jan-May Actuals]]-Financials20263[[#This Row],[Jun-Dec FC]]</f>
        <v>88000</v>
      </c>
      <c r="BS95" s="6">
        <f>Financials20263[[#This Row],[Jun-Dec FC]]+Financials20263[[#This Row],[Jan-May Forecast ]]</f>
        <v>176000</v>
      </c>
      <c r="BT95" s="6">
        <f>SUM(Financials20263[[#This Row],[Jan FC]:[May FC]])</f>
        <v>440000</v>
      </c>
      <c r="BU95" s="6">
        <f>Financials20263[[#This Row],[Jan-May Actuals]]+Financials20263[[#This Row],[Forecast Jun-Dec]]</f>
        <v>488400</v>
      </c>
      <c r="BV95" s="6"/>
      <c r="BW95" s="6"/>
      <c r="BX95" s="6"/>
    </row>
    <row r="96" spans="1:76" x14ac:dyDescent="0.3">
      <c r="A96" s="22" t="s">
        <v>101</v>
      </c>
      <c r="B96" s="21" t="s">
        <v>208</v>
      </c>
      <c r="C96" s="21" t="s">
        <v>209</v>
      </c>
      <c r="D96" s="10" t="s">
        <v>32</v>
      </c>
      <c r="E96" s="7" t="s">
        <v>339</v>
      </c>
      <c r="F96" s="3" t="s">
        <v>211</v>
      </c>
      <c r="G96" s="3" t="s">
        <v>48</v>
      </c>
      <c r="H96" s="4">
        <v>46023</v>
      </c>
      <c r="I96" s="4">
        <v>46203</v>
      </c>
      <c r="J96" s="3" t="s">
        <v>340</v>
      </c>
      <c r="K96" s="3" t="str">
        <f t="shared" si="28"/>
        <v>Prj000472-Implement - Build Pipes from CORE Systems to IVP</v>
      </c>
      <c r="L96" s="21" t="s">
        <v>124</v>
      </c>
      <c r="M96" s="21" t="s">
        <v>2</v>
      </c>
      <c r="N96" s="21" t="s">
        <v>341</v>
      </c>
      <c r="O96" s="21"/>
      <c r="P96" s="21" t="s">
        <v>107</v>
      </c>
      <c r="Q96" s="21" t="s">
        <v>134</v>
      </c>
      <c r="R96" s="21" t="s">
        <v>128</v>
      </c>
      <c r="S96" s="21" t="s">
        <v>129</v>
      </c>
      <c r="T96" s="5">
        <v>1612673</v>
      </c>
      <c r="U96" s="17">
        <v>1344000</v>
      </c>
      <c r="V96" s="17">
        <v>1344000</v>
      </c>
      <c r="W96" s="15">
        <f t="shared" si="29"/>
        <v>960000</v>
      </c>
      <c r="X96" s="15">
        <f t="shared" si="33"/>
        <v>-384000</v>
      </c>
      <c r="Y96" s="15">
        <f t="shared" si="30"/>
        <v>0</v>
      </c>
      <c r="Z96" s="15">
        <f>SUM(Financials20263[[#This Row],[2026 Opportunity]:[2026 Risk]])</f>
        <v>-384000</v>
      </c>
      <c r="AA96" s="3" t="s">
        <v>446</v>
      </c>
      <c r="AB96" s="52">
        <v>160000</v>
      </c>
      <c r="AC96" s="52">
        <v>160000</v>
      </c>
      <c r="AD96" s="52">
        <v>160000</v>
      </c>
      <c r="AE96" s="52">
        <v>160000</v>
      </c>
      <c r="AF96" s="52">
        <v>160000</v>
      </c>
      <c r="AG96" s="52">
        <v>160000</v>
      </c>
      <c r="AH96" s="52"/>
      <c r="AI96" s="52"/>
      <c r="AJ96" s="52"/>
      <c r="AK96" s="52"/>
      <c r="AL96" s="52"/>
      <c r="AM96" s="52"/>
      <c r="AN96" s="75">
        <f>SUM(Financials20263[[#This Row],[Jan FC]:[Dec FC]])</f>
        <v>960000</v>
      </c>
      <c r="AO96" s="15">
        <f t="shared" si="31"/>
        <v>160000</v>
      </c>
      <c r="AP96" s="61">
        <v>160000</v>
      </c>
      <c r="AQ96" s="61">
        <v>160000</v>
      </c>
      <c r="AR96" s="61">
        <v>160000</v>
      </c>
      <c r="AS96" s="61">
        <v>160000</v>
      </c>
      <c r="AT96" s="61">
        <v>160000</v>
      </c>
      <c r="AU96" s="61"/>
      <c r="AV96" s="61"/>
      <c r="AW96" s="61"/>
      <c r="AX96" s="61"/>
      <c r="AY96" s="61"/>
      <c r="AZ96" s="61"/>
      <c r="BA96" s="61"/>
      <c r="BB96" s="80">
        <f>SUM(Financials20263[[#This Row],[Jan AC]:[Dec AC]])</f>
        <v>800000</v>
      </c>
      <c r="BC96" s="71">
        <f>Financials20263[[#This Row],[Jan AC]]-Financials20263[[#This Row],[Jan FC]]</f>
        <v>0</v>
      </c>
      <c r="BD96" s="71">
        <f>Financials20263[[#This Row],[Feb AC]]-Financials20263[[#This Row],[Feb FC]]</f>
        <v>0</v>
      </c>
      <c r="BE96" s="71">
        <f>Financials20263[[#This Row],[Mar AC]]-Financials20263[[#This Row],[Mar FC]]</f>
        <v>0</v>
      </c>
      <c r="BF96" s="71">
        <f>Financials20263[[#This Row],[Apr AC]]-Financials20263[[#This Row],[Apr FC]]</f>
        <v>0</v>
      </c>
      <c r="BG96" s="71">
        <f>Financials20263[[#This Row],[May AC]]-Financials20263[[#This Row],[May FC]]</f>
        <v>0</v>
      </c>
      <c r="BH96" s="71">
        <f>Financials20263[[#This Row],[Jun AC]]-Financials20263[[#This Row],[Jun FC]]</f>
        <v>-160000</v>
      </c>
      <c r="BI96" s="71">
        <f>Financials20263[[#This Row],[Jul AC]]-Financials20263[[#This Row],[Jul FC]]</f>
        <v>0</v>
      </c>
      <c r="BJ96" s="71">
        <f>Financials20263[[#This Row],[Aug AC]]-Financials20263[[#This Row],[Aug FC]]</f>
        <v>0</v>
      </c>
      <c r="BK96" s="71">
        <f>Financials20263[[#This Row],[Sep AC]]-Financials20263[[#This Row],[Sep FC]]</f>
        <v>0</v>
      </c>
      <c r="BL96" s="71">
        <f>Financials20263[[#This Row],[Oct AC]]-Financials20263[[#This Row],[Oct FC]]</f>
        <v>0</v>
      </c>
      <c r="BM96" s="71">
        <f>Financials20263[[#This Row],[Nov AC]]-Financials20263[[#This Row],[Nov FC]]</f>
        <v>0</v>
      </c>
      <c r="BN96" s="71">
        <f>Financials20263[[#This Row],[Dec AC]]-Financials20263[[#This Row],[Dec FC]]</f>
        <v>0</v>
      </c>
      <c r="BO96" s="71">
        <f>SUM(Financials20263[[#This Row],[Jan Opp/Risk]:[Dec Opp./Risk]])</f>
        <v>-160000</v>
      </c>
      <c r="BP96" s="87" t="s">
        <v>519</v>
      </c>
      <c r="BQ96" s="47">
        <f>SUM(Financials20263[[#This Row],[Jan AC]:[May AC]])</f>
        <v>800000</v>
      </c>
      <c r="BR96" s="6">
        <f>Financials20263[[#This Row],[2026 (Actuals + Forecast)]]-Financials20263[[#This Row],[Jan-May Actuals]]-Financials20263[[#This Row],[Jun-Dec FC]]</f>
        <v>0</v>
      </c>
      <c r="BS96" s="6">
        <f>Financials20263[[#This Row],[Jun-Dec FC]]+Financials20263[[#This Row],[Jan-May Forecast ]]</f>
        <v>160000</v>
      </c>
      <c r="BT96" s="6">
        <f>SUM(Financials20263[[#This Row],[Jan FC]:[May FC]])</f>
        <v>800000</v>
      </c>
      <c r="BU96" s="6">
        <f>Financials20263[[#This Row],[Jan-May Actuals]]+Financials20263[[#This Row],[Forecast Jun-Dec]]</f>
        <v>960000</v>
      </c>
      <c r="BV96" s="6" t="s">
        <v>751</v>
      </c>
      <c r="BW96" s="6"/>
      <c r="BX96" s="6"/>
    </row>
    <row r="97" spans="1:76" x14ac:dyDescent="0.3">
      <c r="A97" s="22" t="s">
        <v>101</v>
      </c>
      <c r="B97" s="21" t="s">
        <v>79</v>
      </c>
      <c r="C97" s="21" t="s">
        <v>131</v>
      </c>
      <c r="D97" s="10" t="s">
        <v>17</v>
      </c>
      <c r="E97" s="7" t="s">
        <v>103</v>
      </c>
      <c r="F97" s="3" t="s">
        <v>104</v>
      </c>
      <c r="G97" s="3" t="s">
        <v>49</v>
      </c>
      <c r="H97" s="4" t="s">
        <v>115</v>
      </c>
      <c r="I97" s="4" t="s">
        <v>115</v>
      </c>
      <c r="J97" s="3"/>
      <c r="K97" s="3" t="str">
        <f t="shared" si="28"/>
        <v>Prj000350-Support - Infrastructure for Tech</v>
      </c>
      <c r="L97" s="21" t="s">
        <v>106</v>
      </c>
      <c r="M97" s="21" t="s">
        <v>7</v>
      </c>
      <c r="N97" s="21" t="s">
        <v>7</v>
      </c>
      <c r="O97" s="21" t="s">
        <v>2</v>
      </c>
      <c r="P97" s="21" t="s">
        <v>107</v>
      </c>
      <c r="Q97" s="21" t="s">
        <v>201</v>
      </c>
      <c r="R97" s="21" t="s">
        <v>201</v>
      </c>
      <c r="S97" s="21" t="s">
        <v>132</v>
      </c>
      <c r="T97" s="5">
        <v>21255</v>
      </c>
      <c r="U97" s="15">
        <v>22318</v>
      </c>
      <c r="V97" s="15">
        <v>22318</v>
      </c>
      <c r="W97" s="15">
        <f t="shared" si="29"/>
        <v>22318</v>
      </c>
      <c r="X97" s="15">
        <f t="shared" si="33"/>
        <v>0</v>
      </c>
      <c r="Y97" s="15">
        <f t="shared" si="30"/>
        <v>0</v>
      </c>
      <c r="Z97" s="15">
        <f>SUM(Financials20263[[#This Row],[2026 Opportunity]:[2026 Risk]])</f>
        <v>0</v>
      </c>
      <c r="AA97" s="3"/>
      <c r="AB97" s="52"/>
      <c r="AC97" s="52"/>
      <c r="AD97" s="52"/>
      <c r="AE97" s="52">
        <v>22318</v>
      </c>
      <c r="AF97" s="52"/>
      <c r="AG97" s="51"/>
      <c r="AH97" s="52"/>
      <c r="AI97" s="52"/>
      <c r="AJ97" s="52"/>
      <c r="AK97" s="52"/>
      <c r="AL97" s="51"/>
      <c r="AM97" s="51"/>
      <c r="AN97" s="51">
        <f>SUM(Financials20263[[#This Row],[Jan FC]:[Dec FC]])</f>
        <v>22318</v>
      </c>
      <c r="AO97" s="15">
        <f t="shared" si="31"/>
        <v>0</v>
      </c>
      <c r="AP97" s="61"/>
      <c r="AQ97" s="61"/>
      <c r="AR97" s="61"/>
      <c r="AS97" s="61"/>
      <c r="AT97" s="61"/>
      <c r="AU97" s="60"/>
      <c r="AV97" s="61"/>
      <c r="AW97" s="61"/>
      <c r="AX97" s="61"/>
      <c r="AY97" s="61"/>
      <c r="AZ97" s="60"/>
      <c r="BA97" s="60"/>
      <c r="BB97" s="79">
        <f>SUM(Financials20263[[#This Row],[Jan AC]:[Dec AC]])</f>
        <v>0</v>
      </c>
      <c r="BC97" s="71">
        <f>Financials20263[[#This Row],[Jan AC]]-Financials20263[[#This Row],[Jan FC]]</f>
        <v>0</v>
      </c>
      <c r="BD97" s="71">
        <f>Financials20263[[#This Row],[Feb AC]]-Financials20263[[#This Row],[Feb FC]]</f>
        <v>0</v>
      </c>
      <c r="BE97" s="71">
        <f>Financials20263[[#This Row],[Mar AC]]-Financials20263[[#This Row],[Mar FC]]</f>
        <v>0</v>
      </c>
      <c r="BF97" s="71">
        <f>Financials20263[[#This Row],[Apr AC]]-Financials20263[[#This Row],[Apr FC]]</f>
        <v>-22318</v>
      </c>
      <c r="BG97" s="71">
        <f>Financials20263[[#This Row],[May AC]]-Financials20263[[#This Row],[May FC]]</f>
        <v>0</v>
      </c>
      <c r="BH97" s="71">
        <f>Financials20263[[#This Row],[Jun AC]]-Financials20263[[#This Row],[Jun FC]]</f>
        <v>0</v>
      </c>
      <c r="BI97" s="71">
        <f>Financials20263[[#This Row],[Jul AC]]-Financials20263[[#This Row],[Jul FC]]</f>
        <v>0</v>
      </c>
      <c r="BJ97" s="71">
        <f>Financials20263[[#This Row],[Aug AC]]-Financials20263[[#This Row],[Aug FC]]</f>
        <v>0</v>
      </c>
      <c r="BK97" s="71">
        <f>Financials20263[[#This Row],[Sep AC]]-Financials20263[[#This Row],[Sep FC]]</f>
        <v>0</v>
      </c>
      <c r="BL97" s="71">
        <f>Financials20263[[#This Row],[Oct AC]]-Financials20263[[#This Row],[Oct FC]]</f>
        <v>0</v>
      </c>
      <c r="BM97" s="71">
        <f>Financials20263[[#This Row],[Nov AC]]-Financials20263[[#This Row],[Nov FC]]</f>
        <v>0</v>
      </c>
      <c r="BN97" s="71">
        <f>Financials20263[[#This Row],[Dec AC]]-Financials20263[[#This Row],[Dec FC]]</f>
        <v>0</v>
      </c>
      <c r="BO97" s="71">
        <f>SUM(Financials20263[[#This Row],[Jan Opp/Risk]:[Dec Opp./Risk]])</f>
        <v>-22318</v>
      </c>
      <c r="BP97" s="87"/>
      <c r="BQ97" s="47">
        <f>SUM(Financials20263[[#This Row],[Jan AC]:[May AC]])</f>
        <v>0</v>
      </c>
      <c r="BR97" s="6">
        <f>Financials20263[[#This Row],[2026 (Actuals + Forecast)]]-Financials20263[[#This Row],[Jan-May Actuals]]-Financials20263[[#This Row],[Jun-Dec FC]]</f>
        <v>22318</v>
      </c>
      <c r="BS97" s="6">
        <f>Financials20263[[#This Row],[Jun-Dec FC]]+Financials20263[[#This Row],[Jan-May Forecast ]]</f>
        <v>22318</v>
      </c>
      <c r="BT97" s="6">
        <f>SUM(Financials20263[[#This Row],[Jan FC]:[May FC]])</f>
        <v>22318</v>
      </c>
      <c r="BU97" s="6">
        <f>Financials20263[[#This Row],[Jan-May Actuals]]+Financials20263[[#This Row],[Forecast Jun-Dec]]</f>
        <v>22318</v>
      </c>
      <c r="BV97" s="6"/>
      <c r="BW97" s="6"/>
      <c r="BX97" s="6"/>
    </row>
    <row r="98" spans="1:76" x14ac:dyDescent="0.3">
      <c r="A98" s="22" t="s">
        <v>101</v>
      </c>
      <c r="B98" s="21" t="s">
        <v>342</v>
      </c>
      <c r="C98" s="21" t="s">
        <v>343</v>
      </c>
      <c r="D98" s="10" t="s">
        <v>186</v>
      </c>
      <c r="E98" s="7" t="s">
        <v>186</v>
      </c>
      <c r="F98" s="3" t="s">
        <v>336</v>
      </c>
      <c r="G98" s="3" t="s">
        <v>48</v>
      </c>
      <c r="H98" s="4">
        <v>46023</v>
      </c>
      <c r="I98" s="4">
        <v>46203</v>
      </c>
      <c r="J98" s="3" t="s">
        <v>186</v>
      </c>
      <c r="K98" s="3" t="str">
        <f t="shared" si="28"/>
        <v>T&amp;M-T&amp;M</v>
      </c>
      <c r="L98" s="21" t="s">
        <v>124</v>
      </c>
      <c r="M98" s="21" t="s">
        <v>46</v>
      </c>
      <c r="N98" s="21" t="s">
        <v>344</v>
      </c>
      <c r="O98" s="21" t="s">
        <v>186</v>
      </c>
      <c r="P98" s="21" t="s">
        <v>345</v>
      </c>
      <c r="Q98" s="21" t="s">
        <v>346</v>
      </c>
      <c r="R98" s="21" t="s">
        <v>143</v>
      </c>
      <c r="S98" s="21" t="s">
        <v>129</v>
      </c>
      <c r="T98" s="5">
        <v>1877896</v>
      </c>
      <c r="U98" s="15">
        <v>932960</v>
      </c>
      <c r="V98" s="15">
        <v>940800</v>
      </c>
      <c r="W98" s="15">
        <f t="shared" si="29"/>
        <v>875668</v>
      </c>
      <c r="X98" s="15">
        <f t="shared" si="33"/>
        <v>-65132</v>
      </c>
      <c r="Y98" s="15">
        <f t="shared" si="30"/>
        <v>0</v>
      </c>
      <c r="Z98" s="15">
        <f>SUM(Financials20263[[#This Row],[2026 Opportunity]:[2026 Risk]])</f>
        <v>-65132</v>
      </c>
      <c r="AA98" s="3" t="s">
        <v>422</v>
      </c>
      <c r="AB98" s="52">
        <f>940800/6</f>
        <v>156800</v>
      </c>
      <c r="AC98" s="52">
        <f t="shared" ref="AC98:AG98" si="41">940800/6</f>
        <v>156800</v>
      </c>
      <c r="AD98" s="52">
        <f t="shared" si="41"/>
        <v>156800</v>
      </c>
      <c r="AE98" s="52">
        <f t="shared" si="41"/>
        <v>156800</v>
      </c>
      <c r="AF98" s="52">
        <f t="shared" si="41"/>
        <v>156800</v>
      </c>
      <c r="AG98" s="52">
        <f t="shared" si="41"/>
        <v>156800</v>
      </c>
      <c r="AH98" s="52"/>
      <c r="AI98" s="52"/>
      <c r="AJ98" s="52"/>
      <c r="AK98" s="52"/>
      <c r="AL98" s="52"/>
      <c r="AM98" s="52"/>
      <c r="AN98" s="52">
        <f>SUM(Financials20263[[#This Row],[Jan FC]:[Dec FC]])</f>
        <v>940800</v>
      </c>
      <c r="AO98" s="15">
        <f t="shared" si="31"/>
        <v>156800</v>
      </c>
      <c r="AP98" s="62">
        <v>153008</v>
      </c>
      <c r="AQ98" s="62">
        <v>138848</v>
      </c>
      <c r="AR98" s="61">
        <v>154496</v>
      </c>
      <c r="AS98" s="61">
        <v>163758</v>
      </c>
      <c r="AT98" s="61">
        <v>108758</v>
      </c>
      <c r="AU98" s="61"/>
      <c r="AV98" s="61"/>
      <c r="AW98" s="61"/>
      <c r="AX98" s="61"/>
      <c r="AY98" s="61"/>
      <c r="AZ98" s="61"/>
      <c r="BA98" s="61"/>
      <c r="BB98" s="80">
        <f>SUM(Financials20263[[#This Row],[Jan AC]:[Dec AC]])</f>
        <v>718868</v>
      </c>
      <c r="BC98" s="71">
        <f>Financials20263[[#This Row],[Jan AC]]-Financials20263[[#This Row],[Jan FC]]</f>
        <v>-3792</v>
      </c>
      <c r="BD98" s="71">
        <f>Financials20263[[#This Row],[Feb AC]]-Financials20263[[#This Row],[Feb FC]]</f>
        <v>-17952</v>
      </c>
      <c r="BE98" s="71">
        <f>Financials20263[[#This Row],[Mar AC]]-Financials20263[[#This Row],[Mar FC]]</f>
        <v>-2304</v>
      </c>
      <c r="BF98" s="71">
        <f>Financials20263[[#This Row],[Apr AC]]-Financials20263[[#This Row],[Apr FC]]</f>
        <v>6958</v>
      </c>
      <c r="BG98" s="71">
        <f>Financials20263[[#This Row],[May AC]]-Financials20263[[#This Row],[May FC]]</f>
        <v>-48042</v>
      </c>
      <c r="BH98" s="71">
        <f>Financials20263[[#This Row],[Jun AC]]-Financials20263[[#This Row],[Jun FC]]</f>
        <v>-156800</v>
      </c>
      <c r="BI98" s="71">
        <f>Financials20263[[#This Row],[Jul AC]]-Financials20263[[#This Row],[Jul FC]]</f>
        <v>0</v>
      </c>
      <c r="BJ98" s="71">
        <f>Financials20263[[#This Row],[Aug AC]]-Financials20263[[#This Row],[Aug FC]]</f>
        <v>0</v>
      </c>
      <c r="BK98" s="71">
        <f>Financials20263[[#This Row],[Sep AC]]-Financials20263[[#This Row],[Sep FC]]</f>
        <v>0</v>
      </c>
      <c r="BL98" s="71">
        <f>Financials20263[[#This Row],[Oct AC]]-Financials20263[[#This Row],[Oct FC]]</f>
        <v>0</v>
      </c>
      <c r="BM98" s="71">
        <f>Financials20263[[#This Row],[Nov AC]]-Financials20263[[#This Row],[Nov FC]]</f>
        <v>0</v>
      </c>
      <c r="BN98" s="71">
        <f>Financials20263[[#This Row],[Dec AC]]-Financials20263[[#This Row],[Dec FC]]</f>
        <v>0</v>
      </c>
      <c r="BO98" s="71">
        <f>SUM(Financials20263[[#This Row],[Jan Opp/Risk]:[Dec Opp./Risk]])</f>
        <v>-221932</v>
      </c>
      <c r="BP98" s="89" t="s">
        <v>526</v>
      </c>
      <c r="BQ98" s="47">
        <f>SUM(Financials20263[[#This Row],[Jan AC]:[May AC]])</f>
        <v>718868</v>
      </c>
      <c r="BR98" s="6">
        <f>Financials20263[[#This Row],[2026 (Actuals + Forecast)]]-Financials20263[[#This Row],[Jan-May Actuals]]-Financials20263[[#This Row],[Jun-Dec FC]]</f>
        <v>0</v>
      </c>
      <c r="BS98" s="6">
        <f>Financials20263[[#This Row],[Jun-Dec FC]]+Financials20263[[#This Row],[Jan-May Forecast ]]</f>
        <v>156800</v>
      </c>
      <c r="BT98" s="6">
        <f>SUM(Financials20263[[#This Row],[Jan FC]:[May FC]])</f>
        <v>784000</v>
      </c>
      <c r="BU98" s="6">
        <f>Financials20263[[#This Row],[Jan-May Actuals]]+Financials20263[[#This Row],[Forecast Jun-Dec]]</f>
        <v>875668</v>
      </c>
      <c r="BV98" s="6"/>
      <c r="BW98" s="6"/>
      <c r="BX98" s="6"/>
    </row>
    <row r="99" spans="1:76" x14ac:dyDescent="0.3">
      <c r="A99" s="22" t="s">
        <v>101</v>
      </c>
      <c r="B99" s="21" t="s">
        <v>347</v>
      </c>
      <c r="C99" s="21"/>
      <c r="D99" s="10" t="s">
        <v>27</v>
      </c>
      <c r="E99" s="7" t="s">
        <v>216</v>
      </c>
      <c r="F99" s="3" t="s">
        <v>114</v>
      </c>
      <c r="G99" s="3" t="s">
        <v>53</v>
      </c>
      <c r="H99" s="4">
        <v>45901</v>
      </c>
      <c r="I99" s="4">
        <v>46265</v>
      </c>
      <c r="J99" s="3"/>
      <c r="K99" s="3" t="str">
        <f t="shared" si="28"/>
        <v>Prj000446-Implement - Minor Enhancements for Enterprise Apps</v>
      </c>
      <c r="L99" s="21" t="s">
        <v>106</v>
      </c>
      <c r="M99" s="21" t="s">
        <v>7</v>
      </c>
      <c r="N99" s="21" t="s">
        <v>7</v>
      </c>
      <c r="O99" s="21" t="s">
        <v>2</v>
      </c>
      <c r="P99" s="21" t="s">
        <v>107</v>
      </c>
      <c r="Q99" s="21" t="s">
        <v>108</v>
      </c>
      <c r="R99" s="21" t="s">
        <v>143</v>
      </c>
      <c r="S99" s="21" t="s">
        <v>109</v>
      </c>
      <c r="T99" s="5">
        <v>56980</v>
      </c>
      <c r="U99" s="15">
        <v>139031.20000000001</v>
      </c>
      <c r="V99" s="15">
        <v>139031.20000000001</v>
      </c>
      <c r="W99" s="15">
        <f t="shared" si="29"/>
        <v>139031.66666666669</v>
      </c>
      <c r="X99" s="15">
        <f t="shared" si="33"/>
        <v>0</v>
      </c>
      <c r="Y99" s="15">
        <f t="shared" si="30"/>
        <v>0.46666666667442769</v>
      </c>
      <c r="Z99" s="15">
        <f>SUM(Financials20263[[#This Row],[2026 Opportunity]:[2026 Risk]])</f>
        <v>0.46666666667442769</v>
      </c>
      <c r="AA99" s="3" t="s">
        <v>421</v>
      </c>
      <c r="AB99" s="52">
        <v>11396</v>
      </c>
      <c r="AC99" s="52">
        <v>11396</v>
      </c>
      <c r="AD99" s="52">
        <v>11396</v>
      </c>
      <c r="AE99" s="52">
        <v>11396</v>
      </c>
      <c r="AF99" s="52">
        <v>11396</v>
      </c>
      <c r="AG99" s="52">
        <v>11396</v>
      </c>
      <c r="AH99" s="52">
        <v>11396</v>
      </c>
      <c r="AI99" s="52">
        <f>139031.2/12</f>
        <v>11585.933333333334</v>
      </c>
      <c r="AJ99" s="52">
        <f>AI99</f>
        <v>11585.933333333334</v>
      </c>
      <c r="AK99" s="52">
        <f>AJ99</f>
        <v>11585.933333333334</v>
      </c>
      <c r="AL99" s="52">
        <f>AK99</f>
        <v>11585.933333333334</v>
      </c>
      <c r="AM99" s="46">
        <f>AL99+1330</f>
        <v>12915.933333333334</v>
      </c>
      <c r="AN99" s="52">
        <f>SUM(Financials20263[[#This Row],[Jan FC]:[Dec FC]])</f>
        <v>139031.66666666669</v>
      </c>
      <c r="AO99" s="15">
        <f t="shared" si="31"/>
        <v>82051.666666666672</v>
      </c>
      <c r="AP99" s="61">
        <f t="shared" ref="AP99:AV99" si="42">136752/12</f>
        <v>11396</v>
      </c>
      <c r="AQ99" s="61">
        <f t="shared" si="42"/>
        <v>11396</v>
      </c>
      <c r="AR99" s="61">
        <f t="shared" si="42"/>
        <v>11396</v>
      </c>
      <c r="AS99" s="61">
        <f t="shared" si="42"/>
        <v>11396</v>
      </c>
      <c r="AT99" s="61">
        <f t="shared" si="42"/>
        <v>11396</v>
      </c>
      <c r="AU99" s="61">
        <f t="shared" si="42"/>
        <v>11396</v>
      </c>
      <c r="AV99" s="61">
        <f t="shared" si="42"/>
        <v>11396</v>
      </c>
      <c r="AW99" s="61"/>
      <c r="AX99" s="61"/>
      <c r="AY99" s="61"/>
      <c r="AZ99" s="61"/>
      <c r="BA99" s="61"/>
      <c r="BB99" s="80">
        <f>SUM(Financials20263[[#This Row],[Jan AC]:[Dec AC]])</f>
        <v>79772</v>
      </c>
      <c r="BC99" s="71">
        <f>Financials20263[[#This Row],[Jan AC]]-Financials20263[[#This Row],[Jan FC]]</f>
        <v>0</v>
      </c>
      <c r="BD99" s="71">
        <f>Financials20263[[#This Row],[Feb AC]]-Financials20263[[#This Row],[Feb FC]]</f>
        <v>0</v>
      </c>
      <c r="BE99" s="71">
        <f>Financials20263[[#This Row],[Mar AC]]-Financials20263[[#This Row],[Mar FC]]</f>
        <v>0</v>
      </c>
      <c r="BF99" s="71">
        <f>Financials20263[[#This Row],[Apr AC]]-Financials20263[[#This Row],[Apr FC]]</f>
        <v>0</v>
      </c>
      <c r="BG99" s="71">
        <f>Financials20263[[#This Row],[May AC]]-Financials20263[[#This Row],[May FC]]</f>
        <v>0</v>
      </c>
      <c r="BH99" s="71">
        <f>Financials20263[[#This Row],[Jun AC]]-Financials20263[[#This Row],[Jun FC]]</f>
        <v>0</v>
      </c>
      <c r="BI99" s="71">
        <f>Financials20263[[#This Row],[Jul AC]]-Financials20263[[#This Row],[Jul FC]]</f>
        <v>0</v>
      </c>
      <c r="BJ99" s="71">
        <f>Financials20263[[#This Row],[Aug AC]]-Financials20263[[#This Row],[Aug FC]]</f>
        <v>-11585.933333333334</v>
      </c>
      <c r="BK99" s="71">
        <f>Financials20263[[#This Row],[Sep AC]]-Financials20263[[#This Row],[Sep FC]]</f>
        <v>-11585.933333333334</v>
      </c>
      <c r="BL99" s="71">
        <f>Financials20263[[#This Row],[Oct AC]]-Financials20263[[#This Row],[Oct FC]]</f>
        <v>-11585.933333333334</v>
      </c>
      <c r="BM99" s="71">
        <f>Financials20263[[#This Row],[Nov AC]]-Financials20263[[#This Row],[Nov FC]]</f>
        <v>-11585.933333333334</v>
      </c>
      <c r="BN99" s="71">
        <f>Financials20263[[#This Row],[Dec AC]]-Financials20263[[#This Row],[Dec FC]]</f>
        <v>-12915.933333333334</v>
      </c>
      <c r="BO99" s="71">
        <f>SUM(Financials20263[[#This Row],[Jan Opp/Risk]:[Dec Opp./Risk]])</f>
        <v>-59259.666666666672</v>
      </c>
      <c r="BP99" s="87" t="s">
        <v>519</v>
      </c>
      <c r="BQ99" s="47">
        <f>SUM(Financials20263[[#This Row],[Jan AC]:[May AC]])</f>
        <v>56980</v>
      </c>
      <c r="BR99" s="6">
        <f>Financials20263[[#This Row],[2026 (Actuals + Forecast)]]-Financials20263[[#This Row],[Jan-May Actuals]]-Financials20263[[#This Row],[Jun-Dec FC]]</f>
        <v>0</v>
      </c>
      <c r="BS99" s="6">
        <f>Financials20263[[#This Row],[Jun-Dec FC]]+Financials20263[[#This Row],[Jan-May Forecast ]]</f>
        <v>82051.666666666672</v>
      </c>
      <c r="BT99" s="6">
        <f>SUM(Financials20263[[#This Row],[Jan FC]:[May FC]])</f>
        <v>56980</v>
      </c>
      <c r="BU99" s="6">
        <f>Financials20263[[#This Row],[Jan-May Actuals]]+Financials20263[[#This Row],[Forecast Jun-Dec]]</f>
        <v>139031.66666666669</v>
      </c>
      <c r="BV99" s="6"/>
      <c r="BW99" s="6"/>
      <c r="BX99" s="6"/>
    </row>
    <row r="100" spans="1:76" x14ac:dyDescent="0.3">
      <c r="A100" s="22" t="s">
        <v>348</v>
      </c>
      <c r="B100" s="21" t="s">
        <v>349</v>
      </c>
      <c r="C100" s="21"/>
      <c r="D100" s="3" t="s">
        <v>420</v>
      </c>
      <c r="E100" s="3" t="s">
        <v>420</v>
      </c>
      <c r="F100" s="3" t="s">
        <v>420</v>
      </c>
      <c r="G100" s="3" t="s">
        <v>420</v>
      </c>
      <c r="H100" s="4"/>
      <c r="I100" s="4"/>
      <c r="J100" s="3"/>
      <c r="K100" s="3" t="str">
        <f t="shared" si="28"/>
        <v>N/A-N/A</v>
      </c>
      <c r="L100" s="21" t="s">
        <v>348</v>
      </c>
      <c r="M100" s="21" t="s">
        <v>348</v>
      </c>
      <c r="N100" s="21" t="s">
        <v>350</v>
      </c>
      <c r="O100" s="21" t="s">
        <v>351</v>
      </c>
      <c r="P100" s="21" t="s">
        <v>345</v>
      </c>
      <c r="Q100" s="21" t="s">
        <v>346</v>
      </c>
      <c r="R100" s="21" t="s">
        <v>143</v>
      </c>
      <c r="S100" s="21" t="s">
        <v>348</v>
      </c>
      <c r="T100" s="5">
        <v>-3700000</v>
      </c>
      <c r="U100" s="15">
        <v>-4000000</v>
      </c>
      <c r="V100" s="15">
        <v>-4000000</v>
      </c>
      <c r="W100" s="15">
        <f t="shared" si="29"/>
        <v>-4000000.0000000005</v>
      </c>
      <c r="X100" s="15">
        <f t="shared" si="33"/>
        <v>-4.6566128730773926E-10</v>
      </c>
      <c r="Y100" s="15">
        <f t="shared" si="30"/>
        <v>0</v>
      </c>
      <c r="Z100" s="15">
        <f>SUM(Financials20263[[#This Row],[2026 Opportunity]:[2026 Risk]])</f>
        <v>-4.6566128730773926E-10</v>
      </c>
      <c r="AA100" s="3" t="s">
        <v>352</v>
      </c>
      <c r="AB100" s="52">
        <f t="shared" ref="AB100:BA100" si="43">-4000000/12</f>
        <v>-333333.33333333331</v>
      </c>
      <c r="AC100" s="52">
        <f t="shared" si="43"/>
        <v>-333333.33333333331</v>
      </c>
      <c r="AD100" s="52">
        <f t="shared" si="43"/>
        <v>-333333.33333333331</v>
      </c>
      <c r="AE100" s="52">
        <f t="shared" si="43"/>
        <v>-333333.33333333331</v>
      </c>
      <c r="AF100" s="52">
        <f t="shared" si="43"/>
        <v>-333333.33333333331</v>
      </c>
      <c r="AG100" s="52">
        <f t="shared" si="43"/>
        <v>-333333.33333333331</v>
      </c>
      <c r="AH100" s="52">
        <f t="shared" si="43"/>
        <v>-333333.33333333331</v>
      </c>
      <c r="AI100" s="52">
        <f t="shared" si="43"/>
        <v>-333333.33333333331</v>
      </c>
      <c r="AJ100" s="52">
        <f t="shared" si="43"/>
        <v>-333333.33333333331</v>
      </c>
      <c r="AK100" s="52">
        <f t="shared" si="43"/>
        <v>-333333.33333333331</v>
      </c>
      <c r="AL100" s="52">
        <f t="shared" si="43"/>
        <v>-333333.33333333331</v>
      </c>
      <c r="AM100" s="52">
        <f t="shared" si="43"/>
        <v>-333333.33333333331</v>
      </c>
      <c r="AN100" s="52">
        <f>SUM(Financials20263[[#This Row],[Jan FC]:[Dec FC]])</f>
        <v>-4000000.0000000005</v>
      </c>
      <c r="AO100" s="15">
        <f t="shared" si="31"/>
        <v>-2333333.333333333</v>
      </c>
      <c r="AP100" s="61">
        <f t="shared" si="43"/>
        <v>-333333.33333333331</v>
      </c>
      <c r="AQ100" s="61">
        <f t="shared" si="43"/>
        <v>-333333.33333333331</v>
      </c>
      <c r="AR100" s="61">
        <f t="shared" si="43"/>
        <v>-333333.33333333331</v>
      </c>
      <c r="AS100" s="61">
        <f t="shared" si="43"/>
        <v>-333333.33333333331</v>
      </c>
      <c r="AT100" s="61">
        <f t="shared" si="43"/>
        <v>-333333.33333333331</v>
      </c>
      <c r="AU100" s="61">
        <f t="shared" si="43"/>
        <v>-333333.33333333331</v>
      </c>
      <c r="AV100" s="61">
        <f t="shared" si="43"/>
        <v>-333333.33333333331</v>
      </c>
      <c r="AW100" s="61">
        <f t="shared" si="43"/>
        <v>-333333.33333333331</v>
      </c>
      <c r="AX100" s="61">
        <f t="shared" si="43"/>
        <v>-333333.33333333331</v>
      </c>
      <c r="AY100" s="61">
        <f t="shared" si="43"/>
        <v>-333333.33333333331</v>
      </c>
      <c r="AZ100" s="61">
        <f t="shared" si="43"/>
        <v>-333333.33333333331</v>
      </c>
      <c r="BA100" s="61">
        <f t="shared" si="43"/>
        <v>-333333.33333333331</v>
      </c>
      <c r="BB100" s="80">
        <f>SUM(Financials20263[[#This Row],[Jan AC]:[Dec AC]])</f>
        <v>-4000000.0000000005</v>
      </c>
      <c r="BC100" s="71">
        <f>Financials20263[[#This Row],[Jan AC]]-Financials20263[[#This Row],[Jan FC]]</f>
        <v>0</v>
      </c>
      <c r="BD100" s="71">
        <f>Financials20263[[#This Row],[Feb AC]]-Financials20263[[#This Row],[Feb FC]]</f>
        <v>0</v>
      </c>
      <c r="BE100" s="71">
        <f>Financials20263[[#This Row],[Mar AC]]-Financials20263[[#This Row],[Mar FC]]</f>
        <v>0</v>
      </c>
      <c r="BF100" s="71">
        <f>Financials20263[[#This Row],[Apr AC]]-Financials20263[[#This Row],[Apr FC]]</f>
        <v>0</v>
      </c>
      <c r="BG100" s="71">
        <f>Financials20263[[#This Row],[May AC]]-Financials20263[[#This Row],[May FC]]</f>
        <v>0</v>
      </c>
      <c r="BH100" s="71">
        <f>Financials20263[[#This Row],[Jun AC]]-Financials20263[[#This Row],[Jun FC]]</f>
        <v>0</v>
      </c>
      <c r="BI100" s="71">
        <f>Financials20263[[#This Row],[Jul AC]]-Financials20263[[#This Row],[Jul FC]]</f>
        <v>0</v>
      </c>
      <c r="BJ100" s="71">
        <f>Financials20263[[#This Row],[Aug AC]]-Financials20263[[#This Row],[Aug FC]]</f>
        <v>0</v>
      </c>
      <c r="BK100" s="71">
        <f>Financials20263[[#This Row],[Sep AC]]-Financials20263[[#This Row],[Sep FC]]</f>
        <v>0</v>
      </c>
      <c r="BL100" s="71">
        <f>Financials20263[[#This Row],[Oct AC]]-Financials20263[[#This Row],[Oct FC]]</f>
        <v>0</v>
      </c>
      <c r="BM100" s="71">
        <f>Financials20263[[#This Row],[Nov AC]]-Financials20263[[#This Row],[Nov FC]]</f>
        <v>0</v>
      </c>
      <c r="BN100" s="71">
        <f>Financials20263[[#This Row],[Dec AC]]-Financials20263[[#This Row],[Dec FC]]</f>
        <v>0</v>
      </c>
      <c r="BO100" s="71">
        <f>SUM(Financials20263[[#This Row],[Jan Opp/Risk]:[Dec Opp./Risk]])</f>
        <v>0</v>
      </c>
      <c r="BP100" s="87" t="s">
        <v>626</v>
      </c>
      <c r="BQ100" s="49">
        <f>SUM(Financials20263[[#This Row],[Jan AC]:[May AC]])</f>
        <v>-1666666.6666666665</v>
      </c>
      <c r="BR100" s="6">
        <f>Financials20263[[#This Row],[2026 (Actuals + Forecast)]]-Financials20263[[#This Row],[Jan-May Actuals]]-Financials20263[[#This Row],[Jun-Dec FC]]</f>
        <v>0</v>
      </c>
      <c r="BS100" s="6">
        <f>Financials20263[[#This Row],[Jun-Dec FC]]+Financials20263[[#This Row],[Jan-May Forecast ]]</f>
        <v>-2333333.333333333</v>
      </c>
      <c r="BT100" s="6">
        <f>SUM(Financials20263[[#This Row],[Jan FC]:[May FC]])</f>
        <v>-1666666.6666666665</v>
      </c>
      <c r="BU100" s="6">
        <f>Financials20263[[#This Row],[Jan-May Actuals]]+Financials20263[[#This Row],[Forecast Jun-Dec]]</f>
        <v>-3999999.9999999995</v>
      </c>
      <c r="BV100" s="6"/>
      <c r="BW100" s="6"/>
      <c r="BX100" s="6"/>
    </row>
    <row r="101" spans="1:76" x14ac:dyDescent="0.3">
      <c r="A101" s="32" t="s">
        <v>375</v>
      </c>
      <c r="B101" s="32" t="s">
        <v>419</v>
      </c>
      <c r="C101" s="39"/>
      <c r="D101" s="32" t="s">
        <v>375</v>
      </c>
      <c r="E101" s="34" t="s">
        <v>420</v>
      </c>
      <c r="F101" s="34" t="s">
        <v>420</v>
      </c>
      <c r="G101" s="34" t="s">
        <v>420</v>
      </c>
      <c r="H101" s="34" t="s">
        <v>420</v>
      </c>
      <c r="I101" s="34" t="s">
        <v>420</v>
      </c>
      <c r="J101" s="34" t="s">
        <v>420</v>
      </c>
      <c r="K101" s="35" t="str">
        <f t="shared" si="28"/>
        <v>Amortization-N/A</v>
      </c>
      <c r="L101" s="33" t="s">
        <v>375</v>
      </c>
      <c r="M101" s="33" t="s">
        <v>6</v>
      </c>
      <c r="N101" s="33" t="s">
        <v>6</v>
      </c>
      <c r="O101" s="33" t="s">
        <v>375</v>
      </c>
      <c r="P101" s="33" t="s">
        <v>107</v>
      </c>
      <c r="Q101" s="33" t="s">
        <v>376</v>
      </c>
      <c r="R101" s="33" t="s">
        <v>377</v>
      </c>
      <c r="S101" s="22" t="s">
        <v>375</v>
      </c>
      <c r="T101" s="36">
        <v>534786</v>
      </c>
      <c r="U101" s="37"/>
      <c r="V101" s="37">
        <f>1244018+197929</f>
        <v>1441947</v>
      </c>
      <c r="W101" s="15">
        <f t="shared" si="29"/>
        <v>1441946.6100000003</v>
      </c>
      <c r="X101" s="15">
        <f t="shared" si="33"/>
        <v>-0.38999999966472387</v>
      </c>
      <c r="Y101" s="15">
        <f t="shared" si="30"/>
        <v>0</v>
      </c>
      <c r="Z101" s="37">
        <f>SUM(Financials20263[[#This Row],[2026 Opportunity]:[2026 Risk]])</f>
        <v>-0.38999999966472387</v>
      </c>
      <c r="AA101" s="41" t="s">
        <v>748</v>
      </c>
      <c r="AB101" s="54">
        <v>120162.21750000003</v>
      </c>
      <c r="AC101" s="54">
        <v>120162.21750000003</v>
      </c>
      <c r="AD101" s="54">
        <v>120162.21750000003</v>
      </c>
      <c r="AE101" s="54">
        <v>120162.21750000003</v>
      </c>
      <c r="AF101" s="54">
        <v>120162.21750000003</v>
      </c>
      <c r="AG101" s="54">
        <v>120162.21750000003</v>
      </c>
      <c r="AH101" s="54">
        <v>120162.21750000003</v>
      </c>
      <c r="AI101" s="54">
        <v>120162.21750000003</v>
      </c>
      <c r="AJ101" s="54">
        <v>120162.21750000003</v>
      </c>
      <c r="AK101" s="54">
        <v>120162.21750000003</v>
      </c>
      <c r="AL101" s="54">
        <v>120162.21750000003</v>
      </c>
      <c r="AM101" s="54">
        <v>120162.21750000003</v>
      </c>
      <c r="AN101" s="52">
        <f>SUM(Financials20263[[#This Row],[Jan FC]:[Dec FC]])</f>
        <v>1441946.6100000003</v>
      </c>
      <c r="AO101" s="15">
        <f t="shared" si="31"/>
        <v>841135.5225000002</v>
      </c>
      <c r="AP101" s="63">
        <v>120162.21750000003</v>
      </c>
      <c r="AQ101" s="61">
        <v>120162.21750000003</v>
      </c>
      <c r="AR101" s="61">
        <v>120162.21750000003</v>
      </c>
      <c r="AS101" s="61">
        <v>120162.21750000003</v>
      </c>
      <c r="AT101" s="61">
        <v>120162.21750000003</v>
      </c>
      <c r="AU101" s="61">
        <v>120162.21750000003</v>
      </c>
      <c r="AV101" s="61">
        <v>120162.21750000003</v>
      </c>
      <c r="AW101" s="61">
        <v>120162.21750000003</v>
      </c>
      <c r="AX101" s="61">
        <v>120162.21750000003</v>
      </c>
      <c r="AY101" s="61">
        <v>120162.21750000003</v>
      </c>
      <c r="AZ101" s="61">
        <v>120162.21750000003</v>
      </c>
      <c r="BA101" s="61">
        <v>120162.21750000003</v>
      </c>
      <c r="BB101" s="80">
        <f>SUM(Financials20263[[#This Row],[Jan AC]:[Dec AC]])</f>
        <v>1441946.6100000003</v>
      </c>
      <c r="BC101" s="71">
        <f>Financials20263[[#This Row],[Jan AC]]-Financials20263[[#This Row],[Jan FC]]</f>
        <v>0</v>
      </c>
      <c r="BD101" s="71">
        <f>Financials20263[[#This Row],[Feb AC]]-Financials20263[[#This Row],[Feb FC]]</f>
        <v>0</v>
      </c>
      <c r="BE101" s="71">
        <f>Financials20263[[#This Row],[Mar AC]]-Financials20263[[#This Row],[Mar FC]]</f>
        <v>0</v>
      </c>
      <c r="BF101" s="71">
        <f>Financials20263[[#This Row],[Apr AC]]-Financials20263[[#This Row],[Apr FC]]</f>
        <v>0</v>
      </c>
      <c r="BG101" s="71">
        <f>Financials20263[[#This Row],[May AC]]-Financials20263[[#This Row],[May FC]]</f>
        <v>0</v>
      </c>
      <c r="BH101" s="71">
        <f>Financials20263[[#This Row],[Jun AC]]-Financials20263[[#This Row],[Jun FC]]</f>
        <v>0</v>
      </c>
      <c r="BI101" s="71">
        <f>Financials20263[[#This Row],[Jul AC]]-Financials20263[[#This Row],[Jul FC]]</f>
        <v>0</v>
      </c>
      <c r="BJ101" s="71">
        <f>Financials20263[[#This Row],[Aug AC]]-Financials20263[[#This Row],[Aug FC]]</f>
        <v>0</v>
      </c>
      <c r="BK101" s="71">
        <f>Financials20263[[#This Row],[Sep AC]]-Financials20263[[#This Row],[Sep FC]]</f>
        <v>0</v>
      </c>
      <c r="BL101" s="71">
        <f>Financials20263[[#This Row],[Oct AC]]-Financials20263[[#This Row],[Oct FC]]</f>
        <v>0</v>
      </c>
      <c r="BM101" s="71">
        <f>Financials20263[[#This Row],[Nov AC]]-Financials20263[[#This Row],[Nov FC]]</f>
        <v>0</v>
      </c>
      <c r="BN101" s="71">
        <f>Financials20263[[#This Row],[Dec AC]]-Financials20263[[#This Row],[Dec FC]]</f>
        <v>0</v>
      </c>
      <c r="BO101" s="84">
        <f>SUM(Financials20263[[#This Row],[Jan Opp/Risk]:[Dec Opp./Risk]])</f>
        <v>0</v>
      </c>
      <c r="BP101" s="92" t="s">
        <v>624</v>
      </c>
      <c r="BQ101" s="47">
        <f>SUM(Financials20263[[#This Row],[Jan AC]:[May AC]])</f>
        <v>600811.08750000014</v>
      </c>
      <c r="BR101" s="6">
        <f>Financials20263[[#This Row],[2026 (Actuals + Forecast)]]-Financials20263[[#This Row],[Jan-May Actuals]]-Financials20263[[#This Row],[Jun-Dec FC]]</f>
        <v>0</v>
      </c>
      <c r="BS101" s="6">
        <f>Financials20263[[#This Row],[Jun-Dec FC]]+Financials20263[[#This Row],[Jan-May Forecast ]]</f>
        <v>841135.5225000002</v>
      </c>
      <c r="BT101" s="6">
        <f>SUM(Financials20263[[#This Row],[Jan FC]:[May FC]])</f>
        <v>600811.08750000014</v>
      </c>
      <c r="BU101" s="6">
        <f>Financials20263[[#This Row],[Jan-May Actuals]]+Financials20263[[#This Row],[Forecast Jun-Dec]]</f>
        <v>1441946.6100000003</v>
      </c>
      <c r="BV101" s="6"/>
      <c r="BW101" s="6"/>
      <c r="BX101" s="6"/>
    </row>
    <row r="102" spans="1:76" x14ac:dyDescent="0.3">
      <c r="A102" s="22" t="s">
        <v>101</v>
      </c>
      <c r="B102" s="21" t="s">
        <v>353</v>
      </c>
      <c r="C102" s="21"/>
      <c r="D102" s="10" t="s">
        <v>20</v>
      </c>
      <c r="E102" s="7" t="s">
        <v>160</v>
      </c>
      <c r="F102" s="3" t="s">
        <v>161</v>
      </c>
      <c r="G102" s="3" t="s">
        <v>50</v>
      </c>
      <c r="H102" s="4">
        <v>46048</v>
      </c>
      <c r="I102" s="4">
        <v>46412</v>
      </c>
      <c r="J102" s="3" t="s">
        <v>354</v>
      </c>
      <c r="K102" s="3" t="str">
        <f t="shared" si="28"/>
        <v>Prj000381-Support - Prod Support for Credit Apps</v>
      </c>
      <c r="L102" s="21" t="s">
        <v>106</v>
      </c>
      <c r="M102" s="21" t="s">
        <v>7</v>
      </c>
      <c r="N102" s="21" t="s">
        <v>7</v>
      </c>
      <c r="O102" s="21"/>
      <c r="P102" s="21" t="s">
        <v>107</v>
      </c>
      <c r="Q102" s="21" t="s">
        <v>108</v>
      </c>
      <c r="R102" s="21" t="s">
        <v>143</v>
      </c>
      <c r="S102" s="21" t="s">
        <v>109</v>
      </c>
      <c r="T102" s="5">
        <v>391950</v>
      </c>
      <c r="U102" s="15">
        <v>411547.5</v>
      </c>
      <c r="V102" s="15">
        <v>411547.5</v>
      </c>
      <c r="W102" s="15">
        <f t="shared" si="29"/>
        <v>544374.99999999988</v>
      </c>
      <c r="X102" s="15">
        <f t="shared" si="33"/>
        <v>0</v>
      </c>
      <c r="Y102" s="15">
        <f t="shared" si="30"/>
        <v>132827.49999999988</v>
      </c>
      <c r="Z102" s="15">
        <f>SUM(Financials20263[[#This Row],[2026 Opportunity]:[2026 Risk]])</f>
        <v>132827.49999999988</v>
      </c>
      <c r="AA102" s="3" t="s">
        <v>355</v>
      </c>
      <c r="AB102" s="52">
        <v>45364.583333333336</v>
      </c>
      <c r="AC102" s="52">
        <v>45364.583333333336</v>
      </c>
      <c r="AD102" s="52">
        <v>45364.583333333336</v>
      </c>
      <c r="AE102" s="52">
        <v>45364.583333333336</v>
      </c>
      <c r="AF102" s="52">
        <v>45364.583333333336</v>
      </c>
      <c r="AG102" s="52">
        <v>45364.583333333336</v>
      </c>
      <c r="AH102" s="52">
        <v>45364.583333333336</v>
      </c>
      <c r="AI102" s="52">
        <v>45364.583333333336</v>
      </c>
      <c r="AJ102" s="52">
        <v>45364.583333333336</v>
      </c>
      <c r="AK102" s="52">
        <v>45364.583333333336</v>
      </c>
      <c r="AL102" s="52">
        <v>45364.583333333336</v>
      </c>
      <c r="AM102" s="52">
        <v>45364.583333333336</v>
      </c>
      <c r="AN102" s="52">
        <f>SUM(Financials20263[[#This Row],[Jan FC]:[Dec FC]])</f>
        <v>544374.99999999988</v>
      </c>
      <c r="AO102" s="15">
        <f t="shared" si="31"/>
        <v>317552.08333333331</v>
      </c>
      <c r="AP102" s="61">
        <f>544375/12</f>
        <v>45364.583333333336</v>
      </c>
      <c r="AQ102" s="61">
        <f t="shared" ref="AQ102:BA102" si="44">544375/12</f>
        <v>45364.583333333336</v>
      </c>
      <c r="AR102" s="61">
        <f t="shared" si="44"/>
        <v>45364.583333333336</v>
      </c>
      <c r="AS102" s="61">
        <f t="shared" si="44"/>
        <v>45364.583333333336</v>
      </c>
      <c r="AT102" s="61">
        <f t="shared" si="44"/>
        <v>45364.583333333336</v>
      </c>
      <c r="AU102" s="61">
        <f t="shared" si="44"/>
        <v>45364.583333333336</v>
      </c>
      <c r="AV102" s="61">
        <f t="shared" si="44"/>
        <v>45364.583333333336</v>
      </c>
      <c r="AW102" s="61">
        <f t="shared" si="44"/>
        <v>45364.583333333336</v>
      </c>
      <c r="AX102" s="61">
        <f t="shared" si="44"/>
        <v>45364.583333333336</v>
      </c>
      <c r="AY102" s="61">
        <f t="shared" si="44"/>
        <v>45364.583333333336</v>
      </c>
      <c r="AZ102" s="61">
        <f t="shared" si="44"/>
        <v>45364.583333333336</v>
      </c>
      <c r="BA102" s="61">
        <f t="shared" si="44"/>
        <v>45364.583333333336</v>
      </c>
      <c r="BB102" s="80">
        <f>SUM(Financials20263[[#This Row],[Jan AC]:[Dec AC]])</f>
        <v>544374.99999999988</v>
      </c>
      <c r="BC102" s="71">
        <f>Financials20263[[#This Row],[Jan AC]]-Financials20263[[#This Row],[Jan FC]]</f>
        <v>0</v>
      </c>
      <c r="BD102" s="71">
        <f>Financials20263[[#This Row],[Feb AC]]-Financials20263[[#This Row],[Feb FC]]</f>
        <v>0</v>
      </c>
      <c r="BE102" s="71">
        <f>Financials20263[[#This Row],[Mar AC]]-Financials20263[[#This Row],[Mar FC]]</f>
        <v>0</v>
      </c>
      <c r="BF102" s="71">
        <f>Financials20263[[#This Row],[Apr AC]]-Financials20263[[#This Row],[Apr FC]]</f>
        <v>0</v>
      </c>
      <c r="BG102" s="71">
        <f>Financials20263[[#This Row],[May AC]]-Financials20263[[#This Row],[May FC]]</f>
        <v>0</v>
      </c>
      <c r="BH102" s="71">
        <f>Financials20263[[#This Row],[Jun AC]]-Financials20263[[#This Row],[Jun FC]]</f>
        <v>0</v>
      </c>
      <c r="BI102" s="71">
        <f>Financials20263[[#This Row],[Jul AC]]-Financials20263[[#This Row],[Jul FC]]</f>
        <v>0</v>
      </c>
      <c r="BJ102" s="71">
        <f>Financials20263[[#This Row],[Aug AC]]-Financials20263[[#This Row],[Aug FC]]</f>
        <v>0</v>
      </c>
      <c r="BK102" s="71">
        <f>Financials20263[[#This Row],[Sep AC]]-Financials20263[[#This Row],[Sep FC]]</f>
        <v>0</v>
      </c>
      <c r="BL102" s="71">
        <f>Financials20263[[#This Row],[Oct AC]]-Financials20263[[#This Row],[Oct FC]]</f>
        <v>0</v>
      </c>
      <c r="BM102" s="71">
        <f>Financials20263[[#This Row],[Nov AC]]-Financials20263[[#This Row],[Nov FC]]</f>
        <v>0</v>
      </c>
      <c r="BN102" s="71">
        <f>Financials20263[[#This Row],[Dec AC]]-Financials20263[[#This Row],[Dec FC]]</f>
        <v>0</v>
      </c>
      <c r="BO102" s="71">
        <f>SUM(Financials20263[[#This Row],[Jan Opp/Risk]:[Dec Opp./Risk]])</f>
        <v>0</v>
      </c>
      <c r="BP102" s="87" t="s">
        <v>519</v>
      </c>
      <c r="BQ102" s="47">
        <f>SUM(Financials20263[[#This Row],[Jan AC]:[May AC]])</f>
        <v>226822.91666666669</v>
      </c>
      <c r="BR102" s="6">
        <f>Financials20263[[#This Row],[2026 (Actuals + Forecast)]]-Financials20263[[#This Row],[Jan-May Actuals]]-Financials20263[[#This Row],[Jun-Dec FC]]</f>
        <v>0</v>
      </c>
      <c r="BS102" s="6">
        <f>Financials20263[[#This Row],[Jun-Dec FC]]+Financials20263[[#This Row],[Jan-May Forecast ]]</f>
        <v>317552.08333333331</v>
      </c>
      <c r="BT102" s="6">
        <f>SUM(Financials20263[[#This Row],[Jan FC]:[May FC]])</f>
        <v>226822.91666666669</v>
      </c>
      <c r="BU102" s="6">
        <f>Financials20263[[#This Row],[Jan-May Actuals]]+Financials20263[[#This Row],[Forecast Jun-Dec]]</f>
        <v>544375</v>
      </c>
      <c r="BV102" s="6"/>
      <c r="BW102" s="6"/>
      <c r="BX102" s="6"/>
    </row>
    <row r="103" spans="1:76" x14ac:dyDescent="0.3">
      <c r="A103" s="22" t="s">
        <v>101</v>
      </c>
      <c r="B103" s="21" t="s">
        <v>58</v>
      </c>
      <c r="C103" s="21" t="s">
        <v>356</v>
      </c>
      <c r="D103" s="10" t="s">
        <v>17</v>
      </c>
      <c r="E103" s="7" t="s">
        <v>103</v>
      </c>
      <c r="F103" s="3" t="s">
        <v>104</v>
      </c>
      <c r="G103" s="3" t="s">
        <v>49</v>
      </c>
      <c r="H103" s="4" t="s">
        <v>142</v>
      </c>
      <c r="I103" s="4" t="s">
        <v>142</v>
      </c>
      <c r="J103" s="3"/>
      <c r="K103" s="3" t="str">
        <f t="shared" si="28"/>
        <v>Prj000350-Support - Infrastructure for Tech</v>
      </c>
      <c r="L103" s="21" t="s">
        <v>106</v>
      </c>
      <c r="M103" s="21" t="s">
        <v>4</v>
      </c>
      <c r="N103" s="21" t="s">
        <v>4</v>
      </c>
      <c r="O103" s="21" t="s">
        <v>357</v>
      </c>
      <c r="P103" s="21" t="s">
        <v>107</v>
      </c>
      <c r="Q103" s="21" t="s">
        <v>146</v>
      </c>
      <c r="R103" s="21" t="s">
        <v>146</v>
      </c>
      <c r="S103" s="21" t="s">
        <v>129</v>
      </c>
      <c r="T103" s="5">
        <v>34621</v>
      </c>
      <c r="U103" s="15">
        <v>36345</v>
      </c>
      <c r="V103" s="15">
        <v>36345</v>
      </c>
      <c r="W103" s="15">
        <f t="shared" si="29"/>
        <v>37142.130000000005</v>
      </c>
      <c r="X103" s="15">
        <f t="shared" si="33"/>
        <v>0</v>
      </c>
      <c r="Y103" s="15">
        <f t="shared" si="30"/>
        <v>797.13000000000466</v>
      </c>
      <c r="Z103" s="15">
        <f>SUM(Financials20263[[#This Row],[2026 Opportunity]:[2026 Risk]])</f>
        <v>797.13000000000466</v>
      </c>
      <c r="AA103" s="3" t="s">
        <v>539</v>
      </c>
      <c r="AB103" s="52">
        <v>3028.75</v>
      </c>
      <c r="AC103" s="52">
        <v>3028.75</v>
      </c>
      <c r="AD103" s="52">
        <v>3028.75</v>
      </c>
      <c r="AE103" s="52">
        <v>3028.75</v>
      </c>
      <c r="AF103" s="52">
        <v>3028.75</v>
      </c>
      <c r="AG103" s="52">
        <v>3028.75</v>
      </c>
      <c r="AH103" s="52">
        <v>3028.75</v>
      </c>
      <c r="AI103" s="52">
        <v>3028.75</v>
      </c>
      <c r="AJ103" s="52">
        <v>3028.75</v>
      </c>
      <c r="AK103" s="52">
        <v>3028.75</v>
      </c>
      <c r="AL103" s="52">
        <v>3028.75</v>
      </c>
      <c r="AM103" s="52">
        <v>3028.75</v>
      </c>
      <c r="AN103" s="52">
        <f>SUM(Financials20263[[#This Row],[Jan FC]:[Dec FC]])</f>
        <v>36345</v>
      </c>
      <c r="AO103" s="15">
        <f t="shared" si="31"/>
        <v>21201.25</v>
      </c>
      <c r="AP103" s="61">
        <f>991.58+991.58+1300.24</f>
        <v>3283.4</v>
      </c>
      <c r="AQ103" s="61">
        <f>1300.24+991.58</f>
        <v>2291.8200000000002</v>
      </c>
      <c r="AR103" s="61">
        <f>528.85+1487.49+991.58+1300.24</f>
        <v>4308.16</v>
      </c>
      <c r="AS103" s="61"/>
      <c r="AT103" s="61"/>
      <c r="AU103" s="61"/>
      <c r="AV103" s="61"/>
      <c r="AW103" s="61"/>
      <c r="AX103" s="61"/>
      <c r="AY103" s="61"/>
      <c r="AZ103" s="61"/>
      <c r="BA103" s="61"/>
      <c r="BB103" s="80">
        <f>SUM(Financials20263[[#This Row],[Jan AC]:[Dec AC]])</f>
        <v>9883.380000000001</v>
      </c>
      <c r="BC103" s="71">
        <f>Financials20263[[#This Row],[Jan AC]]-Financials20263[[#This Row],[Jan FC]]</f>
        <v>254.65000000000009</v>
      </c>
      <c r="BD103" s="71">
        <f>Financials20263[[#This Row],[Feb AC]]-Financials20263[[#This Row],[Feb FC]]</f>
        <v>-736.92999999999984</v>
      </c>
      <c r="BE103" s="71">
        <f>Financials20263[[#This Row],[Mar AC]]-Financials20263[[#This Row],[Mar FC]]</f>
        <v>1279.4099999999999</v>
      </c>
      <c r="BF103" s="71">
        <f>Financials20263[[#This Row],[Apr AC]]-Financials20263[[#This Row],[Apr FC]]</f>
        <v>-3028.75</v>
      </c>
      <c r="BG103" s="71">
        <f>Financials20263[[#This Row],[May AC]]-Financials20263[[#This Row],[May FC]]</f>
        <v>-3028.75</v>
      </c>
      <c r="BH103" s="71">
        <f>Financials20263[[#This Row],[Jun AC]]-Financials20263[[#This Row],[Jun FC]]</f>
        <v>-3028.75</v>
      </c>
      <c r="BI103" s="71">
        <f>Financials20263[[#This Row],[Jul AC]]-Financials20263[[#This Row],[Jul FC]]</f>
        <v>-3028.75</v>
      </c>
      <c r="BJ103" s="71">
        <f>Financials20263[[#This Row],[Aug AC]]-Financials20263[[#This Row],[Aug FC]]</f>
        <v>-3028.75</v>
      </c>
      <c r="BK103" s="71">
        <f>Financials20263[[#This Row],[Sep AC]]-Financials20263[[#This Row],[Sep FC]]</f>
        <v>-3028.75</v>
      </c>
      <c r="BL103" s="71">
        <f>Financials20263[[#This Row],[Oct AC]]-Financials20263[[#This Row],[Oct FC]]</f>
        <v>-3028.75</v>
      </c>
      <c r="BM103" s="71">
        <f>Financials20263[[#This Row],[Nov AC]]-Financials20263[[#This Row],[Nov FC]]</f>
        <v>-3028.75</v>
      </c>
      <c r="BN103" s="71">
        <f>Financials20263[[#This Row],[Dec AC]]-Financials20263[[#This Row],[Dec FC]]</f>
        <v>-3028.75</v>
      </c>
      <c r="BO103" s="71">
        <f>SUM(Financials20263[[#This Row],[Jan Opp/Risk]:[Dec Opp./Risk]])</f>
        <v>-26461.62</v>
      </c>
      <c r="BP103" s="88" t="s">
        <v>574</v>
      </c>
      <c r="BQ103" s="47">
        <f>SUM(Financials20263[[#This Row],[Jan AC]:[May AC]])</f>
        <v>9883.380000000001</v>
      </c>
      <c r="BR103" s="6">
        <f>Financials20263[[#This Row],[2026 (Actuals + Forecast)]]-Financials20263[[#This Row],[Jan-May Actuals]]-Financials20263[[#This Row],[Jun-Dec FC]]</f>
        <v>6057.5000000000036</v>
      </c>
      <c r="BS103" s="6">
        <f>Financials20263[[#This Row],[Jun-Dec FC]]+Financials20263[[#This Row],[Jan-May Forecast ]]</f>
        <v>27258.750000000004</v>
      </c>
      <c r="BT103" s="6">
        <f>SUM(Financials20263[[#This Row],[Jan FC]:[May FC]])</f>
        <v>15143.75</v>
      </c>
      <c r="BU103" s="6">
        <f>Financials20263[[#This Row],[Jan-May Actuals]]+Financials20263[[#This Row],[Forecast Jun-Dec]]</f>
        <v>37142.130000000005</v>
      </c>
      <c r="BV103" s="6"/>
      <c r="BW103" s="6"/>
      <c r="BX103" s="6"/>
    </row>
    <row r="104" spans="1:76" x14ac:dyDescent="0.3">
      <c r="A104" s="22" t="s">
        <v>101</v>
      </c>
      <c r="B104" s="21" t="s">
        <v>59</v>
      </c>
      <c r="C104" s="21"/>
      <c r="D104" s="10" t="s">
        <v>17</v>
      </c>
      <c r="E104" s="7" t="s">
        <v>103</v>
      </c>
      <c r="F104" s="3" t="s">
        <v>104</v>
      </c>
      <c r="G104" s="3" t="s">
        <v>49</v>
      </c>
      <c r="H104" s="4" t="s">
        <v>142</v>
      </c>
      <c r="I104" s="4" t="s">
        <v>142</v>
      </c>
      <c r="J104" s="3"/>
      <c r="K104" s="3" t="str">
        <f t="shared" si="28"/>
        <v>Prj000350-Support - Infrastructure for Tech</v>
      </c>
      <c r="L104" s="21" t="s">
        <v>106</v>
      </c>
      <c r="M104" s="21" t="s">
        <v>4</v>
      </c>
      <c r="N104" s="21" t="s">
        <v>4</v>
      </c>
      <c r="O104" s="21"/>
      <c r="P104" s="21" t="s">
        <v>107</v>
      </c>
      <c r="Q104" s="21" t="s">
        <v>146</v>
      </c>
      <c r="R104" s="21" t="s">
        <v>146</v>
      </c>
      <c r="S104" s="21" t="s">
        <v>129</v>
      </c>
      <c r="T104" s="5">
        <v>4028</v>
      </c>
      <c r="U104" s="15">
        <v>4230</v>
      </c>
      <c r="V104" s="15">
        <v>4230</v>
      </c>
      <c r="W104" s="15">
        <f t="shared" si="29"/>
        <v>4326.88</v>
      </c>
      <c r="X104" s="15">
        <f t="shared" si="33"/>
        <v>0</v>
      </c>
      <c r="Y104" s="15">
        <f t="shared" si="30"/>
        <v>96.880000000000109</v>
      </c>
      <c r="Z104" s="15">
        <f>SUM(Financials20263[[#This Row],[2026 Opportunity]:[2026 Risk]])</f>
        <v>96.880000000000109</v>
      </c>
      <c r="AA104" s="3"/>
      <c r="AB104" s="52">
        <v>353</v>
      </c>
      <c r="AC104" s="52">
        <v>353</v>
      </c>
      <c r="AD104" s="52">
        <v>353</v>
      </c>
      <c r="AE104" s="52">
        <v>353</v>
      </c>
      <c r="AF104" s="52">
        <v>353</v>
      </c>
      <c r="AG104" s="52">
        <v>353</v>
      </c>
      <c r="AH104" s="52">
        <v>353</v>
      </c>
      <c r="AI104" s="52">
        <v>353</v>
      </c>
      <c r="AJ104" s="52">
        <v>353</v>
      </c>
      <c r="AK104" s="52">
        <v>353</v>
      </c>
      <c r="AL104" s="52">
        <v>353</v>
      </c>
      <c r="AM104" s="52">
        <f>353-6</f>
        <v>347</v>
      </c>
      <c r="AN104" s="75">
        <f>SUM(Financials20263[[#This Row],[Jan FC]:[Dec FC]])</f>
        <v>4230</v>
      </c>
      <c r="AO104" s="15">
        <f t="shared" si="31"/>
        <v>2465</v>
      </c>
      <c r="AP104" s="61">
        <v>370.83</v>
      </c>
      <c r="AQ104" s="61">
        <v>375.95</v>
      </c>
      <c r="AR104" s="61">
        <v>371.55</v>
      </c>
      <c r="AS104" s="61">
        <v>371.55</v>
      </c>
      <c r="AT104" s="112">
        <v>372</v>
      </c>
      <c r="AU104" s="112">
        <v>372</v>
      </c>
      <c r="AV104" s="61"/>
      <c r="AW104" s="61"/>
      <c r="AX104" s="61"/>
      <c r="AY104" s="61"/>
      <c r="AZ104" s="61"/>
      <c r="BA104" s="61"/>
      <c r="BB104" s="80">
        <f>SUM(Financials20263[[#This Row],[Jan AC]:[Dec AC]])</f>
        <v>2233.88</v>
      </c>
      <c r="BC104" s="71">
        <f>Financials20263[[#This Row],[Jan AC]]-Financials20263[[#This Row],[Jan FC]]</f>
        <v>17.829999999999984</v>
      </c>
      <c r="BD104" s="71">
        <f>Financials20263[[#This Row],[Feb AC]]-Financials20263[[#This Row],[Feb FC]]</f>
        <v>22.949999999999989</v>
      </c>
      <c r="BE104" s="71">
        <f>Financials20263[[#This Row],[Mar AC]]-Financials20263[[#This Row],[Mar FC]]</f>
        <v>18.550000000000011</v>
      </c>
      <c r="BF104" s="71">
        <f>Financials20263[[#This Row],[Apr AC]]-Financials20263[[#This Row],[Apr FC]]</f>
        <v>18.550000000000011</v>
      </c>
      <c r="BG104" s="71">
        <f>Financials20263[[#This Row],[May AC]]-Financials20263[[#This Row],[May FC]]</f>
        <v>19</v>
      </c>
      <c r="BH104" s="71">
        <f>Financials20263[[#This Row],[Jun AC]]-Financials20263[[#This Row],[Jun FC]]</f>
        <v>19</v>
      </c>
      <c r="BI104" s="71">
        <f>Financials20263[[#This Row],[Jul AC]]-Financials20263[[#This Row],[Jul FC]]</f>
        <v>-353</v>
      </c>
      <c r="BJ104" s="71">
        <f>Financials20263[[#This Row],[Aug AC]]-Financials20263[[#This Row],[Aug FC]]</f>
        <v>-353</v>
      </c>
      <c r="BK104" s="71">
        <f>Financials20263[[#This Row],[Sep AC]]-Financials20263[[#This Row],[Sep FC]]</f>
        <v>-353</v>
      </c>
      <c r="BL104" s="71">
        <f>Financials20263[[#This Row],[Oct AC]]-Financials20263[[#This Row],[Oct FC]]</f>
        <v>-353</v>
      </c>
      <c r="BM104" s="71">
        <f>Financials20263[[#This Row],[Nov AC]]-Financials20263[[#This Row],[Nov FC]]</f>
        <v>-353</v>
      </c>
      <c r="BN104" s="71">
        <f>Financials20263[[#This Row],[Dec AC]]-Financials20263[[#This Row],[Dec FC]]</f>
        <v>-347</v>
      </c>
      <c r="BO104" s="71">
        <f>SUM(Financials20263[[#This Row],[Jan Opp/Risk]:[Dec Opp./Risk]])</f>
        <v>-1996.12</v>
      </c>
      <c r="BP104" s="87"/>
      <c r="BQ104" s="47">
        <f>SUM(Financials20263[[#This Row],[Jan AC]:[May AC]])</f>
        <v>1861.8799999999999</v>
      </c>
      <c r="BR104" s="6">
        <f>Financials20263[[#This Row],[2026 (Actuals + Forecast)]]-Financials20263[[#This Row],[Jan-May Actuals]]-Financials20263[[#This Row],[Jun-Dec FC]]</f>
        <v>0</v>
      </c>
      <c r="BS104" s="6">
        <f>Financials20263[[#This Row],[Jun-Dec FC]]+Financials20263[[#This Row],[Jan-May Forecast ]]</f>
        <v>2465</v>
      </c>
      <c r="BT104" s="6">
        <f>SUM(Financials20263[[#This Row],[Jan FC]:[May FC]])</f>
        <v>1765</v>
      </c>
      <c r="BU104" s="6">
        <f>Financials20263[[#This Row],[Jan-May Actuals]]+Financials20263[[#This Row],[Forecast Jun-Dec]]</f>
        <v>4326.88</v>
      </c>
      <c r="BV104" s="6"/>
      <c r="BW104" s="6"/>
      <c r="BX104" s="6"/>
    </row>
    <row r="105" spans="1:76" x14ac:dyDescent="0.3">
      <c r="A105" s="22" t="s">
        <v>101</v>
      </c>
      <c r="B105" s="21" t="s">
        <v>62</v>
      </c>
      <c r="C105" s="21"/>
      <c r="D105" s="10" t="s">
        <v>17</v>
      </c>
      <c r="E105" s="7" t="s">
        <v>103</v>
      </c>
      <c r="F105" s="3" t="s">
        <v>104</v>
      </c>
      <c r="G105" s="3" t="s">
        <v>49</v>
      </c>
      <c r="H105" s="4" t="s">
        <v>142</v>
      </c>
      <c r="I105" s="4" t="s">
        <v>142</v>
      </c>
      <c r="J105" s="3"/>
      <c r="K105" s="3" t="str">
        <f t="shared" si="28"/>
        <v>Prj000350-Support - Infrastructure for Tech</v>
      </c>
      <c r="L105" s="21" t="s">
        <v>106</v>
      </c>
      <c r="M105" s="21" t="s">
        <v>4</v>
      </c>
      <c r="N105" s="21" t="s">
        <v>4</v>
      </c>
      <c r="O105" s="21" t="s">
        <v>148</v>
      </c>
      <c r="P105" s="21" t="s">
        <v>107</v>
      </c>
      <c r="Q105" s="21" t="s">
        <v>146</v>
      </c>
      <c r="R105" s="21" t="s">
        <v>146</v>
      </c>
      <c r="S105" s="21" t="s">
        <v>129</v>
      </c>
      <c r="T105" s="5">
        <v>7239</v>
      </c>
      <c r="U105" s="15">
        <v>7043</v>
      </c>
      <c r="V105" s="15">
        <v>7043</v>
      </c>
      <c r="W105" s="15">
        <f t="shared" si="29"/>
        <v>7241.6659</v>
      </c>
      <c r="X105" s="15">
        <f t="shared" si="33"/>
        <v>0</v>
      </c>
      <c r="Y105" s="15">
        <f t="shared" si="30"/>
        <v>198.66589999999997</v>
      </c>
      <c r="Z105" s="15">
        <f>SUM(Financials20263[[#This Row],[2026 Opportunity]:[2026 Risk]])</f>
        <v>198.66589999999997</v>
      </c>
      <c r="AA105" s="3" t="s">
        <v>535</v>
      </c>
      <c r="AB105" s="52">
        <v>587</v>
      </c>
      <c r="AC105" s="52">
        <v>587</v>
      </c>
      <c r="AD105" s="52">
        <v>587</v>
      </c>
      <c r="AE105" s="52">
        <v>587</v>
      </c>
      <c r="AF105" s="52">
        <v>587</v>
      </c>
      <c r="AG105" s="52">
        <v>587</v>
      </c>
      <c r="AH105" s="52">
        <v>587</v>
      </c>
      <c r="AI105" s="52">
        <v>587</v>
      </c>
      <c r="AJ105" s="52">
        <v>587</v>
      </c>
      <c r="AK105" s="52">
        <v>587</v>
      </c>
      <c r="AL105" s="52">
        <v>587</v>
      </c>
      <c r="AM105" s="52">
        <f>587-1</f>
        <v>586</v>
      </c>
      <c r="AN105" s="75">
        <f>SUM(Financials20263[[#This Row],[Jan FC]:[Dec FC]])</f>
        <v>7043</v>
      </c>
      <c r="AO105" s="15">
        <f t="shared" si="31"/>
        <v>4108</v>
      </c>
      <c r="AP105" s="61">
        <v>620.09</v>
      </c>
      <c r="AQ105" s="61">
        <v>628.66</v>
      </c>
      <c r="AR105" s="61">
        <v>627.61749999999995</v>
      </c>
      <c r="AS105" s="61">
        <f>628.6492</f>
        <v>628.64919999999995</v>
      </c>
      <c r="AT105" s="112">
        <v>628.64919999999995</v>
      </c>
      <c r="AU105" s="112">
        <v>629</v>
      </c>
      <c r="AV105" s="61"/>
      <c r="AW105" s="61"/>
      <c r="AX105" s="61"/>
      <c r="AY105" s="61"/>
      <c r="AZ105" s="61"/>
      <c r="BA105" s="61"/>
      <c r="BB105" s="80">
        <f>SUM(Financials20263[[#This Row],[Jan AC]:[Dec AC]])</f>
        <v>3762.6658999999995</v>
      </c>
      <c r="BC105" s="71">
        <f>Financials20263[[#This Row],[Jan AC]]-Financials20263[[#This Row],[Jan FC]]</f>
        <v>33.090000000000032</v>
      </c>
      <c r="BD105" s="71">
        <f>Financials20263[[#This Row],[Feb AC]]-Financials20263[[#This Row],[Feb FC]]</f>
        <v>41.659999999999968</v>
      </c>
      <c r="BE105" s="71">
        <f>Financials20263[[#This Row],[Mar AC]]-Financials20263[[#This Row],[Mar FC]]</f>
        <v>40.61749999999995</v>
      </c>
      <c r="BF105" s="71">
        <f>Financials20263[[#This Row],[Apr AC]]-Financials20263[[#This Row],[Apr FC]]</f>
        <v>41.649199999999951</v>
      </c>
      <c r="BG105" s="71">
        <f>Financials20263[[#This Row],[May AC]]-Financials20263[[#This Row],[May FC]]</f>
        <v>41.649199999999951</v>
      </c>
      <c r="BH105" s="71">
        <f>Financials20263[[#This Row],[Jun AC]]-Financials20263[[#This Row],[Jun FC]]</f>
        <v>42</v>
      </c>
      <c r="BI105" s="71">
        <f>Financials20263[[#This Row],[Jul AC]]-Financials20263[[#This Row],[Jul FC]]</f>
        <v>-587</v>
      </c>
      <c r="BJ105" s="71">
        <f>Financials20263[[#This Row],[Aug AC]]-Financials20263[[#This Row],[Aug FC]]</f>
        <v>-587</v>
      </c>
      <c r="BK105" s="71">
        <f>Financials20263[[#This Row],[Sep AC]]-Financials20263[[#This Row],[Sep FC]]</f>
        <v>-587</v>
      </c>
      <c r="BL105" s="71">
        <f>Financials20263[[#This Row],[Oct AC]]-Financials20263[[#This Row],[Oct FC]]</f>
        <v>-587</v>
      </c>
      <c r="BM105" s="71">
        <f>Financials20263[[#This Row],[Nov AC]]-Financials20263[[#This Row],[Nov FC]]</f>
        <v>-587</v>
      </c>
      <c r="BN105" s="71">
        <f>Financials20263[[#This Row],[Dec AC]]-Financials20263[[#This Row],[Dec FC]]</f>
        <v>-586</v>
      </c>
      <c r="BO105" s="71">
        <f>SUM(Financials20263[[#This Row],[Jan Opp/Risk]:[Dec Opp./Risk]])</f>
        <v>-3280.3341</v>
      </c>
      <c r="BP105" s="87" t="s">
        <v>519</v>
      </c>
      <c r="BQ105" s="47">
        <f>SUM(Financials20263[[#This Row],[Jan AC]:[May AC]])</f>
        <v>3133.6658999999995</v>
      </c>
      <c r="BR105" s="6">
        <f>Financials20263[[#This Row],[2026 (Actuals + Forecast)]]-Financials20263[[#This Row],[Jan-May Actuals]]-Financials20263[[#This Row],[Jun-Dec FC]]</f>
        <v>0</v>
      </c>
      <c r="BS105" s="6">
        <f>Financials20263[[#This Row],[Jun-Dec FC]]+Financials20263[[#This Row],[Jan-May Forecast ]]</f>
        <v>4108</v>
      </c>
      <c r="BT105" s="6">
        <f>SUM(Financials20263[[#This Row],[Jan FC]:[May FC]])</f>
        <v>2935</v>
      </c>
      <c r="BU105" s="6">
        <f>Financials20263[[#This Row],[Jan-May Actuals]]+Financials20263[[#This Row],[Forecast Jun-Dec]]</f>
        <v>7241.6659</v>
      </c>
      <c r="BV105" s="6"/>
      <c r="BW105" s="6"/>
      <c r="BX105" s="6"/>
    </row>
    <row r="106" spans="1:76" x14ac:dyDescent="0.3">
      <c r="A106" s="22" t="s">
        <v>157</v>
      </c>
      <c r="B106" s="21" t="s">
        <v>358</v>
      </c>
      <c r="C106" s="21"/>
      <c r="D106" s="10" t="s">
        <v>11</v>
      </c>
      <c r="E106" s="7" t="s">
        <v>113</v>
      </c>
      <c r="F106" s="3" t="s">
        <v>114</v>
      </c>
      <c r="G106" s="3" t="s">
        <v>53</v>
      </c>
      <c r="H106" s="4" t="s">
        <v>115</v>
      </c>
      <c r="I106" s="4" t="s">
        <v>115</v>
      </c>
      <c r="J106" s="3"/>
      <c r="K106" s="3" t="str">
        <f t="shared" si="28"/>
        <v>Prj000266-Support - Internal Tech Workforce Activities</v>
      </c>
      <c r="L106" s="21" t="s">
        <v>106</v>
      </c>
      <c r="M106" s="21" t="s">
        <v>4</v>
      </c>
      <c r="N106" s="21" t="s">
        <v>4</v>
      </c>
      <c r="O106" s="21"/>
      <c r="P106" s="21" t="s">
        <v>151</v>
      </c>
      <c r="Q106" s="21" t="s">
        <v>152</v>
      </c>
      <c r="R106" s="21" t="s">
        <v>359</v>
      </c>
      <c r="S106" s="21" t="s">
        <v>132</v>
      </c>
      <c r="T106" s="5">
        <v>278</v>
      </c>
      <c r="U106" s="15">
        <v>292</v>
      </c>
      <c r="V106" s="15">
        <v>292</v>
      </c>
      <c r="W106" s="15">
        <f t="shared" si="29"/>
        <v>292</v>
      </c>
      <c r="X106" s="15">
        <f t="shared" si="33"/>
        <v>0</v>
      </c>
      <c r="Y106" s="15">
        <f t="shared" si="30"/>
        <v>0</v>
      </c>
      <c r="Z106" s="15">
        <f>SUM(Financials20263[[#This Row],[2026 Opportunity]:[2026 Risk]])</f>
        <v>0</v>
      </c>
      <c r="AA106" s="3" t="s">
        <v>120</v>
      </c>
      <c r="AB106" s="52"/>
      <c r="AC106" s="52"/>
      <c r="AD106" s="52"/>
      <c r="AE106" s="52"/>
      <c r="AF106" s="52"/>
      <c r="AG106" s="52"/>
      <c r="AH106" s="52">
        <v>292</v>
      </c>
      <c r="AI106" s="52"/>
      <c r="AJ106" s="52"/>
      <c r="AK106" s="52"/>
      <c r="AL106" s="52"/>
      <c r="AM106" s="52"/>
      <c r="AN106" s="52">
        <f>SUM(Financials20263[[#This Row],[Jan FC]:[Dec FC]])</f>
        <v>292</v>
      </c>
      <c r="AO106" s="15">
        <f t="shared" si="31"/>
        <v>292</v>
      </c>
      <c r="AP106" s="61"/>
      <c r="AQ106" s="61"/>
      <c r="AR106" s="61"/>
      <c r="AS106" s="61"/>
      <c r="AT106" s="61"/>
      <c r="AU106" s="61"/>
      <c r="AV106" s="61"/>
      <c r="AW106" s="61"/>
      <c r="AX106" s="61"/>
      <c r="AY106" s="61"/>
      <c r="AZ106" s="61"/>
      <c r="BA106" s="61"/>
      <c r="BB106" s="80">
        <f>SUM(Financials20263[[#This Row],[Jan AC]:[Dec AC]])</f>
        <v>0</v>
      </c>
      <c r="BC106" s="71">
        <f>Financials20263[[#This Row],[Jan AC]]-Financials20263[[#This Row],[Jan FC]]</f>
        <v>0</v>
      </c>
      <c r="BD106" s="71">
        <f>Financials20263[[#This Row],[Feb AC]]-Financials20263[[#This Row],[Feb FC]]</f>
        <v>0</v>
      </c>
      <c r="BE106" s="71">
        <f>Financials20263[[#This Row],[Mar AC]]-Financials20263[[#This Row],[Mar FC]]</f>
        <v>0</v>
      </c>
      <c r="BF106" s="71">
        <f>Financials20263[[#This Row],[Apr AC]]-Financials20263[[#This Row],[Apr FC]]</f>
        <v>0</v>
      </c>
      <c r="BG106" s="71">
        <f>Financials20263[[#This Row],[May AC]]-Financials20263[[#This Row],[May FC]]</f>
        <v>0</v>
      </c>
      <c r="BH106" s="71">
        <f>Financials20263[[#This Row],[Jun AC]]-Financials20263[[#This Row],[Jun FC]]</f>
        <v>0</v>
      </c>
      <c r="BI106" s="71">
        <f>Financials20263[[#This Row],[Jul AC]]-Financials20263[[#This Row],[Jul FC]]</f>
        <v>-292</v>
      </c>
      <c r="BJ106" s="71">
        <f>Financials20263[[#This Row],[Aug AC]]-Financials20263[[#This Row],[Aug FC]]</f>
        <v>0</v>
      </c>
      <c r="BK106" s="71">
        <f>Financials20263[[#This Row],[Sep AC]]-Financials20263[[#This Row],[Sep FC]]</f>
        <v>0</v>
      </c>
      <c r="BL106" s="71">
        <f>Financials20263[[#This Row],[Oct AC]]-Financials20263[[#This Row],[Oct FC]]</f>
        <v>0</v>
      </c>
      <c r="BM106" s="71">
        <f>Financials20263[[#This Row],[Nov AC]]-Financials20263[[#This Row],[Nov FC]]</f>
        <v>0</v>
      </c>
      <c r="BN106" s="71">
        <f>Financials20263[[#This Row],[Dec AC]]-Financials20263[[#This Row],[Dec FC]]</f>
        <v>0</v>
      </c>
      <c r="BO106" s="71">
        <f>SUM(Financials20263[[#This Row],[Jan Opp/Risk]:[Dec Opp./Risk]])</f>
        <v>-292</v>
      </c>
      <c r="BP106" s="87"/>
      <c r="BQ106" s="47">
        <f>SUM(Financials20263[[#This Row],[Jan AC]:[May AC]])</f>
        <v>0</v>
      </c>
      <c r="BR106" s="6">
        <f>Financials20263[[#This Row],[2026 (Actuals + Forecast)]]-Financials20263[[#This Row],[Jan-May Actuals]]-Financials20263[[#This Row],[Jun-Dec FC]]</f>
        <v>0</v>
      </c>
      <c r="BS106" s="6">
        <f>Financials20263[[#This Row],[Jun-Dec FC]]+Financials20263[[#This Row],[Jan-May Forecast ]]</f>
        <v>292</v>
      </c>
      <c r="BT106" s="6">
        <f>SUM(Financials20263[[#This Row],[Jan FC]:[May FC]])</f>
        <v>0</v>
      </c>
      <c r="BU106" s="6">
        <f>Financials20263[[#This Row],[Jan-May Actuals]]+Financials20263[[#This Row],[Forecast Jun-Dec]]</f>
        <v>292</v>
      </c>
      <c r="BV106" s="6"/>
      <c r="BW106" s="6"/>
      <c r="BX106" s="6"/>
    </row>
    <row r="107" spans="1:76" x14ac:dyDescent="0.3">
      <c r="A107" s="22" t="s">
        <v>111</v>
      </c>
      <c r="B107" s="21" t="s">
        <v>360</v>
      </c>
      <c r="C107" s="21"/>
      <c r="D107" s="10" t="s">
        <v>11</v>
      </c>
      <c r="E107" s="7" t="s">
        <v>113</v>
      </c>
      <c r="F107" s="3" t="s">
        <v>114</v>
      </c>
      <c r="G107" s="3" t="s">
        <v>53</v>
      </c>
      <c r="H107" s="4" t="s">
        <v>115</v>
      </c>
      <c r="I107" s="4" t="s">
        <v>115</v>
      </c>
      <c r="J107" s="3"/>
      <c r="K107" s="3" t="str">
        <f t="shared" si="28"/>
        <v>Prj000266-Support - Internal Tech Workforce Activities</v>
      </c>
      <c r="L107" s="21" t="s">
        <v>106</v>
      </c>
      <c r="M107" s="21" t="s">
        <v>4</v>
      </c>
      <c r="N107" s="21" t="s">
        <v>4</v>
      </c>
      <c r="O107" s="21"/>
      <c r="P107" s="21" t="s">
        <v>151</v>
      </c>
      <c r="Q107" s="21" t="s">
        <v>152</v>
      </c>
      <c r="R107" s="21" t="s">
        <v>361</v>
      </c>
      <c r="S107" s="21" t="s">
        <v>119</v>
      </c>
      <c r="T107" s="5">
        <v>10643</v>
      </c>
      <c r="U107" s="15">
        <v>2900</v>
      </c>
      <c r="V107" s="15">
        <v>2900</v>
      </c>
      <c r="W107" s="15">
        <f t="shared" si="29"/>
        <v>2899.75</v>
      </c>
      <c r="X107" s="15">
        <f t="shared" si="33"/>
        <v>-0.25</v>
      </c>
      <c r="Y107" s="15">
        <f t="shared" si="30"/>
        <v>0</v>
      </c>
      <c r="Z107" s="15">
        <f>SUM(Financials20263[[#This Row],[2026 Opportunity]:[2026 Risk]])</f>
        <v>-0.25</v>
      </c>
      <c r="AA107" s="3" t="s">
        <v>634</v>
      </c>
      <c r="AB107" s="52"/>
      <c r="AC107" s="52">
        <v>17</v>
      </c>
      <c r="AD107" s="52"/>
      <c r="AE107" s="52">
        <f>7001-6495</f>
        <v>506</v>
      </c>
      <c r="AF107" s="52">
        <v>1390.01</v>
      </c>
      <c r="AG107" s="52"/>
      <c r="AH107" s="52"/>
      <c r="AI107" s="52"/>
      <c r="AJ107" s="52"/>
      <c r="AK107" s="52"/>
      <c r="AL107" s="52"/>
      <c r="AM107" s="46">
        <v>987</v>
      </c>
      <c r="AN107" s="52">
        <f>SUM(Financials20263[[#This Row],[Jan FC]:[Dec FC]])</f>
        <v>2900.01</v>
      </c>
      <c r="AO107" s="15">
        <f t="shared" si="31"/>
        <v>987</v>
      </c>
      <c r="AP107" s="61"/>
      <c r="AQ107" s="61">
        <v>16.739999999999998</v>
      </c>
      <c r="AR107" s="61"/>
      <c r="AS107" s="61">
        <f>7001-6495</f>
        <v>506</v>
      </c>
      <c r="AT107" s="61">
        <v>1390.01</v>
      </c>
      <c r="AU107" s="61"/>
      <c r="AV107" s="61"/>
      <c r="AW107" s="61"/>
      <c r="AX107" s="61"/>
      <c r="AY107" s="61"/>
      <c r="AZ107" s="61"/>
      <c r="BA107" s="61"/>
      <c r="BB107" s="80">
        <f>SUM(Financials20263[[#This Row],[Jan AC]:[Dec AC]])</f>
        <v>1912.75</v>
      </c>
      <c r="BC107" s="71">
        <f>Financials20263[[#This Row],[Jan AC]]-Financials20263[[#This Row],[Jan FC]]</f>
        <v>0</v>
      </c>
      <c r="BD107" s="71">
        <f>Financials20263[[#This Row],[Feb AC]]-Financials20263[[#This Row],[Feb FC]]</f>
        <v>-0.26000000000000156</v>
      </c>
      <c r="BE107" s="71">
        <f>Financials20263[[#This Row],[Mar AC]]-Financials20263[[#This Row],[Mar FC]]</f>
        <v>0</v>
      </c>
      <c r="BF107" s="71">
        <f>Financials20263[[#This Row],[Apr AC]]-Financials20263[[#This Row],[Apr FC]]</f>
        <v>0</v>
      </c>
      <c r="BG107" s="71">
        <f>Financials20263[[#This Row],[May AC]]-Financials20263[[#This Row],[May FC]]</f>
        <v>0</v>
      </c>
      <c r="BH107" s="71">
        <f>Financials20263[[#This Row],[Jun AC]]-Financials20263[[#This Row],[Jun FC]]</f>
        <v>0</v>
      </c>
      <c r="BI107" s="71">
        <f>Financials20263[[#This Row],[Jul AC]]-Financials20263[[#This Row],[Jul FC]]</f>
        <v>0</v>
      </c>
      <c r="BJ107" s="71">
        <f>Financials20263[[#This Row],[Aug AC]]-Financials20263[[#This Row],[Aug FC]]</f>
        <v>0</v>
      </c>
      <c r="BK107" s="71">
        <f>Financials20263[[#This Row],[Sep AC]]-Financials20263[[#This Row],[Sep FC]]</f>
        <v>0</v>
      </c>
      <c r="BL107" s="71">
        <f>Financials20263[[#This Row],[Oct AC]]-Financials20263[[#This Row],[Oct FC]]</f>
        <v>0</v>
      </c>
      <c r="BM107" s="71">
        <f>Financials20263[[#This Row],[Nov AC]]-Financials20263[[#This Row],[Nov FC]]</f>
        <v>0</v>
      </c>
      <c r="BN107" s="71">
        <f>Financials20263[[#This Row],[Dec AC]]-Financials20263[[#This Row],[Dec FC]]</f>
        <v>-987</v>
      </c>
      <c r="BO107" s="71">
        <f>SUM(Financials20263[[#This Row],[Jan Opp/Risk]:[Dec Opp./Risk]])</f>
        <v>-987.26</v>
      </c>
      <c r="BP107" s="87" t="s">
        <v>569</v>
      </c>
      <c r="BQ107" s="47">
        <f>SUM(Financials20263[[#This Row],[Jan AC]:[May AC]])</f>
        <v>1912.75</v>
      </c>
      <c r="BR107" s="6">
        <f>Financials20263[[#This Row],[2026 (Actuals + Forecast)]]-Financials20263[[#This Row],[Jan-May Actuals]]-Financials20263[[#This Row],[Jun-Dec FC]]</f>
        <v>0</v>
      </c>
      <c r="BS107" s="6">
        <f>Financials20263[[#This Row],[Jun-Dec FC]]+Financials20263[[#This Row],[Jan-May Forecast ]]</f>
        <v>987</v>
      </c>
      <c r="BT107" s="6">
        <f>SUM(Financials20263[[#This Row],[Jan FC]:[May FC]])</f>
        <v>1913.01</v>
      </c>
      <c r="BU107" s="6">
        <f>Financials20263[[#This Row],[Jan-May Actuals]]+Financials20263[[#This Row],[Forecast Jun-Dec]]</f>
        <v>2899.75</v>
      </c>
      <c r="BV107" s="6"/>
      <c r="BW107" s="6"/>
      <c r="BX107" s="6"/>
    </row>
    <row r="108" spans="1:76" x14ac:dyDescent="0.3">
      <c r="A108" s="22" t="s">
        <v>101</v>
      </c>
      <c r="B108" s="21" t="s">
        <v>362</v>
      </c>
      <c r="C108" s="21"/>
      <c r="D108" s="10" t="s">
        <v>31</v>
      </c>
      <c r="E108" s="7" t="s">
        <v>204</v>
      </c>
      <c r="F108" s="3" t="s">
        <v>205</v>
      </c>
      <c r="G108" s="3" t="s">
        <v>50</v>
      </c>
      <c r="H108" s="4">
        <v>46023</v>
      </c>
      <c r="I108" s="4">
        <v>46387</v>
      </c>
      <c r="J108" s="3" t="s">
        <v>363</v>
      </c>
      <c r="K108" s="3" t="str">
        <f t="shared" si="28"/>
        <v>Prj000469-Support - Prod Support for Ops Apps</v>
      </c>
      <c r="L108" s="21" t="s">
        <v>106</v>
      </c>
      <c r="M108" s="21" t="s">
        <v>6</v>
      </c>
      <c r="N108" s="21" t="s">
        <v>6</v>
      </c>
      <c r="O108" s="21" t="s">
        <v>364</v>
      </c>
      <c r="P108" s="21" t="s">
        <v>151</v>
      </c>
      <c r="Q108" s="21" t="s">
        <v>152</v>
      </c>
      <c r="R108" s="21" t="s">
        <v>365</v>
      </c>
      <c r="S108" s="21" t="s">
        <v>132</v>
      </c>
      <c r="T108" s="5">
        <v>8000</v>
      </c>
      <c r="U108" s="15">
        <v>8400</v>
      </c>
      <c r="V108" s="15">
        <v>8400</v>
      </c>
      <c r="W108" s="15">
        <f t="shared" si="29"/>
        <v>8000</v>
      </c>
      <c r="X108" s="15">
        <f t="shared" si="33"/>
        <v>-400</v>
      </c>
      <c r="Y108" s="15">
        <f t="shared" si="30"/>
        <v>0</v>
      </c>
      <c r="Z108" s="15">
        <f>SUM(Financials20263[[#This Row],[2026 Opportunity]:[2026 Risk]])</f>
        <v>-400</v>
      </c>
      <c r="AA108" s="3" t="s">
        <v>366</v>
      </c>
      <c r="AB108" s="52">
        <v>8400</v>
      </c>
      <c r="AC108" s="52"/>
      <c r="AD108" s="52"/>
      <c r="AE108" s="52"/>
      <c r="AF108" s="52"/>
      <c r="AG108" s="52"/>
      <c r="AH108" s="52"/>
      <c r="AI108" s="52"/>
      <c r="AJ108" s="52"/>
      <c r="AK108" s="52"/>
      <c r="AL108" s="52"/>
      <c r="AM108" s="52"/>
      <c r="AN108" s="52">
        <f>SUM(Financials20263[[#This Row],[Jan FC]:[Dec FC]])</f>
        <v>8400</v>
      </c>
      <c r="AO108" s="15">
        <f t="shared" si="31"/>
        <v>0</v>
      </c>
      <c r="AP108" s="61">
        <v>8000</v>
      </c>
      <c r="AQ108" s="61"/>
      <c r="AR108" s="61"/>
      <c r="AS108" s="61"/>
      <c r="AT108" s="61"/>
      <c r="AU108" s="61"/>
      <c r="AV108" s="61"/>
      <c r="AW108" s="61"/>
      <c r="AX108" s="61"/>
      <c r="AY108" s="61"/>
      <c r="AZ108" s="61"/>
      <c r="BA108" s="61"/>
      <c r="BB108" s="80">
        <f>SUM(Financials20263[[#This Row],[Jan AC]:[Dec AC]])</f>
        <v>8000</v>
      </c>
      <c r="BC108" s="71">
        <f>Financials20263[[#This Row],[Jan AC]]-Financials20263[[#This Row],[Jan FC]]</f>
        <v>-400</v>
      </c>
      <c r="BD108" s="71">
        <f>Financials20263[[#This Row],[Feb AC]]-Financials20263[[#This Row],[Feb FC]]</f>
        <v>0</v>
      </c>
      <c r="BE108" s="71">
        <f>Financials20263[[#This Row],[Mar AC]]-Financials20263[[#This Row],[Mar FC]]</f>
        <v>0</v>
      </c>
      <c r="BF108" s="71">
        <f>Financials20263[[#This Row],[Apr AC]]-Financials20263[[#This Row],[Apr FC]]</f>
        <v>0</v>
      </c>
      <c r="BG108" s="71">
        <f>Financials20263[[#This Row],[May AC]]-Financials20263[[#This Row],[May FC]]</f>
        <v>0</v>
      </c>
      <c r="BH108" s="71">
        <f>Financials20263[[#This Row],[Jun AC]]-Financials20263[[#This Row],[Jun FC]]</f>
        <v>0</v>
      </c>
      <c r="BI108" s="71">
        <f>Financials20263[[#This Row],[Jul AC]]-Financials20263[[#This Row],[Jul FC]]</f>
        <v>0</v>
      </c>
      <c r="BJ108" s="71">
        <f>Financials20263[[#This Row],[Aug AC]]-Financials20263[[#This Row],[Aug FC]]</f>
        <v>0</v>
      </c>
      <c r="BK108" s="71">
        <f>Financials20263[[#This Row],[Sep AC]]-Financials20263[[#This Row],[Sep FC]]</f>
        <v>0</v>
      </c>
      <c r="BL108" s="71">
        <f>Financials20263[[#This Row],[Oct AC]]-Financials20263[[#This Row],[Oct FC]]</f>
        <v>0</v>
      </c>
      <c r="BM108" s="71">
        <f>Financials20263[[#This Row],[Nov AC]]-Financials20263[[#This Row],[Nov FC]]</f>
        <v>0</v>
      </c>
      <c r="BN108" s="71">
        <f>Financials20263[[#This Row],[Dec AC]]-Financials20263[[#This Row],[Dec FC]]</f>
        <v>0</v>
      </c>
      <c r="BO108" s="71">
        <f>SUM(Financials20263[[#This Row],[Jan Opp/Risk]:[Dec Opp./Risk]])</f>
        <v>-400</v>
      </c>
      <c r="BP108" s="87" t="s">
        <v>519</v>
      </c>
      <c r="BQ108" s="47">
        <f>SUM(Financials20263[[#This Row],[Jan AC]:[May AC]])</f>
        <v>8000</v>
      </c>
      <c r="BR108" s="6">
        <f>Financials20263[[#This Row],[2026 (Actuals + Forecast)]]-Financials20263[[#This Row],[Jan-May Actuals]]-Financials20263[[#This Row],[Jun-Dec FC]]</f>
        <v>0</v>
      </c>
      <c r="BS108" s="6">
        <f>Financials20263[[#This Row],[Jun-Dec FC]]+Financials20263[[#This Row],[Jan-May Forecast ]]</f>
        <v>0</v>
      </c>
      <c r="BT108" s="6">
        <f>SUM(Financials20263[[#This Row],[Jan FC]:[May FC]])</f>
        <v>8400</v>
      </c>
      <c r="BU108" s="6">
        <f>Financials20263[[#This Row],[Jan-May Actuals]]+Financials20263[[#This Row],[Forecast Jun-Dec]]</f>
        <v>8000</v>
      </c>
      <c r="BV108" s="6"/>
      <c r="BW108" s="6"/>
      <c r="BX108" s="6"/>
    </row>
    <row r="109" spans="1:76" x14ac:dyDescent="0.3">
      <c r="A109" s="22" t="s">
        <v>101</v>
      </c>
      <c r="B109" s="21" t="s">
        <v>69</v>
      </c>
      <c r="C109" s="21"/>
      <c r="D109" s="10" t="s">
        <v>17</v>
      </c>
      <c r="E109" s="7" t="s">
        <v>103</v>
      </c>
      <c r="F109" s="3" t="s">
        <v>104</v>
      </c>
      <c r="G109" s="3" t="s">
        <v>49</v>
      </c>
      <c r="H109" s="4">
        <v>46028</v>
      </c>
      <c r="I109" s="4">
        <v>46393</v>
      </c>
      <c r="J109" s="3"/>
      <c r="K109" s="3" t="str">
        <f t="shared" si="28"/>
        <v>Prj000350-Support - Infrastructure for Tech</v>
      </c>
      <c r="L109" s="21" t="s">
        <v>106</v>
      </c>
      <c r="M109" s="21" t="s">
        <v>4</v>
      </c>
      <c r="N109" s="21" t="s">
        <v>4</v>
      </c>
      <c r="O109" s="21"/>
      <c r="P109" s="21" t="s">
        <v>151</v>
      </c>
      <c r="Q109" s="21" t="s">
        <v>152</v>
      </c>
      <c r="R109" s="21" t="s">
        <v>365</v>
      </c>
      <c r="S109" s="21" t="s">
        <v>132</v>
      </c>
      <c r="T109" s="5">
        <v>3000</v>
      </c>
      <c r="U109" s="15">
        <v>3150</v>
      </c>
      <c r="V109" s="15">
        <v>3150</v>
      </c>
      <c r="W109" s="15">
        <f t="shared" si="29"/>
        <v>3000</v>
      </c>
      <c r="X109" s="15">
        <f t="shared" si="33"/>
        <v>-150</v>
      </c>
      <c r="Y109" s="15">
        <f t="shared" si="30"/>
        <v>0</v>
      </c>
      <c r="Z109" s="15">
        <f>SUM(Financials20263[[#This Row],[2026 Opportunity]:[2026 Risk]])</f>
        <v>-150</v>
      </c>
      <c r="AA109" s="3" t="s">
        <v>120</v>
      </c>
      <c r="AB109" s="52"/>
      <c r="AC109" s="52">
        <v>3150</v>
      </c>
      <c r="AD109" s="52"/>
      <c r="AE109" s="52"/>
      <c r="AF109" s="52"/>
      <c r="AG109" s="52"/>
      <c r="AH109" s="52"/>
      <c r="AI109" s="52"/>
      <c r="AJ109" s="52"/>
      <c r="AK109" s="52"/>
      <c r="AL109" s="52"/>
      <c r="AM109" s="52"/>
      <c r="AN109" s="52">
        <f>SUM(Financials20263[[#This Row],[Jan FC]:[Dec FC]])</f>
        <v>3150</v>
      </c>
      <c r="AO109" s="15">
        <f t="shared" si="31"/>
        <v>0</v>
      </c>
      <c r="AP109" s="61"/>
      <c r="AQ109" s="61">
        <v>3000</v>
      </c>
      <c r="AR109" s="61"/>
      <c r="AS109" s="61"/>
      <c r="AT109" s="61"/>
      <c r="AU109" s="61"/>
      <c r="AV109" s="61"/>
      <c r="AW109" s="61"/>
      <c r="AX109" s="61"/>
      <c r="AY109" s="61"/>
      <c r="AZ109" s="61"/>
      <c r="BA109" s="61"/>
      <c r="BB109" s="80">
        <f>SUM(Financials20263[[#This Row],[Jan AC]:[Dec AC]])</f>
        <v>3000</v>
      </c>
      <c r="BC109" s="71">
        <f>Financials20263[[#This Row],[Jan AC]]-Financials20263[[#This Row],[Jan FC]]</f>
        <v>0</v>
      </c>
      <c r="BD109" s="71">
        <f>Financials20263[[#This Row],[Feb AC]]-Financials20263[[#This Row],[Feb FC]]</f>
        <v>-150</v>
      </c>
      <c r="BE109" s="71">
        <f>Financials20263[[#This Row],[Mar AC]]-Financials20263[[#This Row],[Mar FC]]</f>
        <v>0</v>
      </c>
      <c r="BF109" s="71">
        <f>Financials20263[[#This Row],[Apr AC]]-Financials20263[[#This Row],[Apr FC]]</f>
        <v>0</v>
      </c>
      <c r="BG109" s="71">
        <f>Financials20263[[#This Row],[May AC]]-Financials20263[[#This Row],[May FC]]</f>
        <v>0</v>
      </c>
      <c r="BH109" s="71">
        <f>Financials20263[[#This Row],[Jun AC]]-Financials20263[[#This Row],[Jun FC]]</f>
        <v>0</v>
      </c>
      <c r="BI109" s="71">
        <f>Financials20263[[#This Row],[Jul AC]]-Financials20263[[#This Row],[Jul FC]]</f>
        <v>0</v>
      </c>
      <c r="BJ109" s="71">
        <f>Financials20263[[#This Row],[Aug AC]]-Financials20263[[#This Row],[Aug FC]]</f>
        <v>0</v>
      </c>
      <c r="BK109" s="71">
        <f>Financials20263[[#This Row],[Sep AC]]-Financials20263[[#This Row],[Sep FC]]</f>
        <v>0</v>
      </c>
      <c r="BL109" s="71">
        <f>Financials20263[[#This Row],[Oct AC]]-Financials20263[[#This Row],[Oct FC]]</f>
        <v>0</v>
      </c>
      <c r="BM109" s="71">
        <f>Financials20263[[#This Row],[Nov AC]]-Financials20263[[#This Row],[Nov FC]]</f>
        <v>0</v>
      </c>
      <c r="BN109" s="71">
        <f>Financials20263[[#This Row],[Dec AC]]-Financials20263[[#This Row],[Dec FC]]</f>
        <v>0</v>
      </c>
      <c r="BO109" s="71">
        <f>SUM(Financials20263[[#This Row],[Jan Opp/Risk]:[Dec Opp./Risk]])</f>
        <v>-150</v>
      </c>
      <c r="BP109" s="87" t="s">
        <v>519</v>
      </c>
      <c r="BQ109" s="47">
        <f>SUM(Financials20263[[#This Row],[Jan AC]:[May AC]])</f>
        <v>3000</v>
      </c>
      <c r="BR109" s="6">
        <f>Financials20263[[#This Row],[2026 (Actuals + Forecast)]]-Financials20263[[#This Row],[Jan-May Actuals]]-Financials20263[[#This Row],[Jun-Dec FC]]</f>
        <v>0</v>
      </c>
      <c r="BS109" s="6">
        <f>Financials20263[[#This Row],[Jun-Dec FC]]+Financials20263[[#This Row],[Jan-May Forecast ]]</f>
        <v>0</v>
      </c>
      <c r="BT109" s="6">
        <f>SUM(Financials20263[[#This Row],[Jan FC]:[May FC]])</f>
        <v>3150</v>
      </c>
      <c r="BU109" s="6">
        <f>Financials20263[[#This Row],[Jan-May Actuals]]+Financials20263[[#This Row],[Forecast Jun-Dec]]</f>
        <v>3000</v>
      </c>
      <c r="BV109" s="6"/>
      <c r="BW109" s="6"/>
      <c r="BX109" s="6"/>
    </row>
    <row r="110" spans="1:76" x14ac:dyDescent="0.3">
      <c r="A110" s="22" t="s">
        <v>157</v>
      </c>
      <c r="B110" s="21" t="s">
        <v>61</v>
      </c>
      <c r="C110" s="21"/>
      <c r="D110" s="10" t="s">
        <v>17</v>
      </c>
      <c r="E110" s="7" t="s">
        <v>103</v>
      </c>
      <c r="F110" s="3" t="s">
        <v>104</v>
      </c>
      <c r="G110" s="3" t="s">
        <v>49</v>
      </c>
      <c r="H110" s="4" t="s">
        <v>115</v>
      </c>
      <c r="I110" s="4" t="s">
        <v>115</v>
      </c>
      <c r="J110" s="3"/>
      <c r="K110" s="3" t="str">
        <f t="shared" si="28"/>
        <v>Prj000350-Support - Infrastructure for Tech</v>
      </c>
      <c r="L110" s="21" t="s">
        <v>106</v>
      </c>
      <c r="M110" s="21" t="s">
        <v>4</v>
      </c>
      <c r="N110" s="21" t="s">
        <v>4</v>
      </c>
      <c r="O110" s="21" t="s">
        <v>367</v>
      </c>
      <c r="P110" s="21" t="s">
        <v>151</v>
      </c>
      <c r="Q110" s="21" t="s">
        <v>152</v>
      </c>
      <c r="R110" s="21" t="s">
        <v>153</v>
      </c>
      <c r="S110" s="21" t="s">
        <v>129</v>
      </c>
      <c r="T110" s="5">
        <v>1594</v>
      </c>
      <c r="U110" s="15">
        <v>1674</v>
      </c>
      <c r="V110" s="15">
        <v>1674</v>
      </c>
      <c r="W110" s="15">
        <f t="shared" si="29"/>
        <v>0</v>
      </c>
      <c r="X110" s="15">
        <f t="shared" si="33"/>
        <v>-1674</v>
      </c>
      <c r="Y110" s="15">
        <f t="shared" si="30"/>
        <v>0</v>
      </c>
      <c r="Z110" s="15">
        <f>SUM(Financials20263[[#This Row],[2026 Opportunity]:[2026 Risk]])</f>
        <v>-1674</v>
      </c>
      <c r="AA110" s="3" t="s">
        <v>540</v>
      </c>
      <c r="AB110" s="52"/>
      <c r="AC110" s="52"/>
      <c r="AD110" s="52"/>
      <c r="AE110" s="52"/>
      <c r="AF110" s="52"/>
      <c r="AG110" s="52"/>
      <c r="AH110" s="52"/>
      <c r="AI110" s="52"/>
      <c r="AJ110" s="52"/>
      <c r="AK110" s="52"/>
      <c r="AL110" s="52"/>
      <c r="AM110" s="52"/>
      <c r="AN110" s="52">
        <f>SUM(Financials20263[[#This Row],[Jan FC]:[Dec FC]])</f>
        <v>0</v>
      </c>
      <c r="AO110" s="15">
        <f t="shared" si="31"/>
        <v>0</v>
      </c>
      <c r="AP110" s="61"/>
      <c r="AQ110" s="61"/>
      <c r="AR110" s="61"/>
      <c r="AS110" s="61"/>
      <c r="AT110" s="61"/>
      <c r="AU110" s="61"/>
      <c r="AV110" s="61"/>
      <c r="AW110" s="61"/>
      <c r="AX110" s="61"/>
      <c r="AY110" s="61"/>
      <c r="AZ110" s="61"/>
      <c r="BA110" s="61"/>
      <c r="BB110" s="80">
        <f>SUM(Financials20263[[#This Row],[Jan AC]:[Dec AC]])</f>
        <v>0</v>
      </c>
      <c r="BC110" s="71">
        <f>Financials20263[[#This Row],[Jan AC]]-Financials20263[[#This Row],[Jan FC]]</f>
        <v>0</v>
      </c>
      <c r="BD110" s="71">
        <f>Financials20263[[#This Row],[Feb AC]]-Financials20263[[#This Row],[Feb FC]]</f>
        <v>0</v>
      </c>
      <c r="BE110" s="71">
        <f>Financials20263[[#This Row],[Mar AC]]-Financials20263[[#This Row],[Mar FC]]</f>
        <v>0</v>
      </c>
      <c r="BF110" s="71">
        <f>Financials20263[[#This Row],[Apr AC]]-Financials20263[[#This Row],[Apr FC]]</f>
        <v>0</v>
      </c>
      <c r="BG110" s="71">
        <f>Financials20263[[#This Row],[May AC]]-Financials20263[[#This Row],[May FC]]</f>
        <v>0</v>
      </c>
      <c r="BH110" s="71">
        <f>Financials20263[[#This Row],[Jun AC]]-Financials20263[[#This Row],[Jun FC]]</f>
        <v>0</v>
      </c>
      <c r="BI110" s="71">
        <f>Financials20263[[#This Row],[Jul AC]]-Financials20263[[#This Row],[Jul FC]]</f>
        <v>0</v>
      </c>
      <c r="BJ110" s="71">
        <f>Financials20263[[#This Row],[Aug AC]]-Financials20263[[#This Row],[Aug FC]]</f>
        <v>0</v>
      </c>
      <c r="BK110" s="71">
        <f>Financials20263[[#This Row],[Sep AC]]-Financials20263[[#This Row],[Sep FC]]</f>
        <v>0</v>
      </c>
      <c r="BL110" s="71">
        <f>Financials20263[[#This Row],[Oct AC]]-Financials20263[[#This Row],[Oct FC]]</f>
        <v>0</v>
      </c>
      <c r="BM110" s="71">
        <f>Financials20263[[#This Row],[Nov AC]]-Financials20263[[#This Row],[Nov FC]]</f>
        <v>0</v>
      </c>
      <c r="BN110" s="71">
        <f>Financials20263[[#This Row],[Dec AC]]-Financials20263[[#This Row],[Dec FC]]</f>
        <v>0</v>
      </c>
      <c r="BO110" s="71">
        <f>SUM(Financials20263[[#This Row],[Jan Opp/Risk]:[Dec Opp./Risk]])</f>
        <v>0</v>
      </c>
      <c r="BP110" s="3" t="s">
        <v>540</v>
      </c>
      <c r="BQ110" s="47">
        <f>SUM(Financials20263[[#This Row],[Jan AC]:[May AC]])</f>
        <v>0</v>
      </c>
      <c r="BR110" s="6">
        <f>Financials20263[[#This Row],[2026 (Actuals + Forecast)]]-Financials20263[[#This Row],[Jan-May Actuals]]-Financials20263[[#This Row],[Jun-Dec FC]]</f>
        <v>0</v>
      </c>
      <c r="BS110" s="6">
        <f>Financials20263[[#This Row],[Jun-Dec FC]]+Financials20263[[#This Row],[Jan-May Forecast ]]</f>
        <v>0</v>
      </c>
      <c r="BT110" s="6">
        <f>SUM(Financials20263[[#This Row],[Jan FC]:[May FC]])</f>
        <v>0</v>
      </c>
      <c r="BU110" s="6">
        <f>Financials20263[[#This Row],[Jan-May Actuals]]+Financials20263[[#This Row],[Forecast Jun-Dec]]</f>
        <v>0</v>
      </c>
      <c r="BV110" s="6"/>
      <c r="BW110" s="6"/>
      <c r="BX110" s="6"/>
    </row>
    <row r="111" spans="1:76" x14ac:dyDescent="0.3">
      <c r="A111" s="22" t="s">
        <v>157</v>
      </c>
      <c r="B111" s="21" t="s">
        <v>64</v>
      </c>
      <c r="C111" s="21"/>
      <c r="D111" s="10" t="s">
        <v>17</v>
      </c>
      <c r="E111" s="7" t="s">
        <v>103</v>
      </c>
      <c r="F111" s="3" t="s">
        <v>104</v>
      </c>
      <c r="G111" s="3" t="s">
        <v>49</v>
      </c>
      <c r="H111" s="4" t="s">
        <v>142</v>
      </c>
      <c r="I111" s="4" t="s">
        <v>142</v>
      </c>
      <c r="J111" s="3"/>
      <c r="K111" s="3" t="str">
        <f t="shared" si="28"/>
        <v>Prj000350-Support - Infrastructure for Tech</v>
      </c>
      <c r="L111" s="21" t="s">
        <v>106</v>
      </c>
      <c r="M111" s="21" t="s">
        <v>4</v>
      </c>
      <c r="N111" s="21" t="s">
        <v>4</v>
      </c>
      <c r="O111" s="21"/>
      <c r="P111" s="21" t="s">
        <v>151</v>
      </c>
      <c r="Q111" s="21" t="s">
        <v>152</v>
      </c>
      <c r="R111" s="21" t="s">
        <v>153</v>
      </c>
      <c r="S111" s="21" t="s">
        <v>129</v>
      </c>
      <c r="T111" s="5">
        <v>17438</v>
      </c>
      <c r="U111" s="15">
        <v>18865</v>
      </c>
      <c r="V111" s="15">
        <v>18865</v>
      </c>
      <c r="W111" s="15">
        <f t="shared" si="29"/>
        <v>19510.98</v>
      </c>
      <c r="X111" s="15">
        <f t="shared" si="33"/>
        <v>0</v>
      </c>
      <c r="Y111" s="15">
        <f t="shared" si="30"/>
        <v>645.97999999999956</v>
      </c>
      <c r="Z111" s="15">
        <f>SUM(Financials20263[[#This Row],[2026 Opportunity]:[2026 Risk]])</f>
        <v>645.97999999999956</v>
      </c>
      <c r="AA111" s="3" t="s">
        <v>120</v>
      </c>
      <c r="AB111" s="52">
        <v>1450.9</v>
      </c>
      <c r="AC111" s="52">
        <v>1585</v>
      </c>
      <c r="AD111" s="52">
        <v>1500</v>
      </c>
      <c r="AE111" s="52">
        <v>1500</v>
      </c>
      <c r="AF111" s="52">
        <v>1500</v>
      </c>
      <c r="AG111" s="52">
        <v>1500</v>
      </c>
      <c r="AH111" s="52">
        <v>1500</v>
      </c>
      <c r="AI111" s="52">
        <v>1500</v>
      </c>
      <c r="AJ111" s="52">
        <v>1500</v>
      </c>
      <c r="AK111" s="52">
        <v>1500</v>
      </c>
      <c r="AL111" s="52">
        <v>1500</v>
      </c>
      <c r="AM111" s="52">
        <v>2329</v>
      </c>
      <c r="AN111" s="52">
        <f>SUM(Financials20263[[#This Row],[Jan FC]:[Dec FC]])</f>
        <v>18864.900000000001</v>
      </c>
      <c r="AO111" s="15">
        <f t="shared" si="31"/>
        <v>11329</v>
      </c>
      <c r="AP111" s="61">
        <v>1450.9</v>
      </c>
      <c r="AQ111" s="61">
        <v>1585</v>
      </c>
      <c r="AR111" s="61">
        <v>1823.33</v>
      </c>
      <c r="AS111" s="61">
        <v>1822.75</v>
      </c>
      <c r="AT111" s="61"/>
      <c r="AU111" s="61"/>
      <c r="AV111" s="61"/>
      <c r="AW111" s="61"/>
      <c r="AX111" s="61"/>
      <c r="AY111" s="61"/>
      <c r="AZ111" s="61"/>
      <c r="BA111" s="61"/>
      <c r="BB111" s="80">
        <f>SUM(Financials20263[[#This Row],[Jan AC]:[Dec AC]])</f>
        <v>6681.98</v>
      </c>
      <c r="BC111" s="71">
        <f>Financials20263[[#This Row],[Jan AC]]-Financials20263[[#This Row],[Jan FC]]</f>
        <v>0</v>
      </c>
      <c r="BD111" s="71">
        <f>Financials20263[[#This Row],[Feb AC]]-Financials20263[[#This Row],[Feb FC]]</f>
        <v>0</v>
      </c>
      <c r="BE111" s="71">
        <f>Financials20263[[#This Row],[Mar AC]]-Financials20263[[#This Row],[Mar FC]]</f>
        <v>323.32999999999993</v>
      </c>
      <c r="BF111" s="71">
        <f>Financials20263[[#This Row],[Apr AC]]-Financials20263[[#This Row],[Apr FC]]</f>
        <v>322.75</v>
      </c>
      <c r="BG111" s="71">
        <f>Financials20263[[#This Row],[May AC]]-Financials20263[[#This Row],[May FC]]</f>
        <v>-1500</v>
      </c>
      <c r="BH111" s="71">
        <f>Financials20263[[#This Row],[Jun AC]]-Financials20263[[#This Row],[Jun FC]]</f>
        <v>-1500</v>
      </c>
      <c r="BI111" s="71">
        <f>Financials20263[[#This Row],[Jul AC]]-Financials20263[[#This Row],[Jul FC]]</f>
        <v>-1500</v>
      </c>
      <c r="BJ111" s="71">
        <f>Financials20263[[#This Row],[Aug AC]]-Financials20263[[#This Row],[Aug FC]]</f>
        <v>-1500</v>
      </c>
      <c r="BK111" s="71">
        <f>Financials20263[[#This Row],[Sep AC]]-Financials20263[[#This Row],[Sep FC]]</f>
        <v>-1500</v>
      </c>
      <c r="BL111" s="71">
        <f>Financials20263[[#This Row],[Oct AC]]-Financials20263[[#This Row],[Oct FC]]</f>
        <v>-1500</v>
      </c>
      <c r="BM111" s="71">
        <f>Financials20263[[#This Row],[Nov AC]]-Financials20263[[#This Row],[Nov FC]]</f>
        <v>-1500</v>
      </c>
      <c r="BN111" s="71">
        <f>Financials20263[[#This Row],[Dec AC]]-Financials20263[[#This Row],[Dec FC]]</f>
        <v>-2329</v>
      </c>
      <c r="BO111" s="71">
        <f>SUM(Financials20263[[#This Row],[Jan Opp/Risk]:[Dec Opp./Risk]])</f>
        <v>-12182.92</v>
      </c>
      <c r="BP111" s="87" t="s">
        <v>519</v>
      </c>
      <c r="BQ111" s="47">
        <f>SUM(Financials20263[[#This Row],[Jan AC]:[May AC]])</f>
        <v>6681.98</v>
      </c>
      <c r="BR111" s="6">
        <f>Financials20263[[#This Row],[2026 (Actuals + Forecast)]]-Financials20263[[#This Row],[Jan-May Actuals]]-Financials20263[[#This Row],[Jun-Dec FC]]</f>
        <v>1500</v>
      </c>
      <c r="BS111" s="6">
        <f>Financials20263[[#This Row],[Jun-Dec FC]]+Financials20263[[#This Row],[Jan-May Forecast ]]</f>
        <v>12829</v>
      </c>
      <c r="BT111" s="6">
        <f>SUM(Financials20263[[#This Row],[Jan FC]:[May FC]])</f>
        <v>7535.9</v>
      </c>
      <c r="BU111" s="6">
        <f>Financials20263[[#This Row],[Jan-May Actuals]]+Financials20263[[#This Row],[Forecast Jun-Dec]]</f>
        <v>19510.98</v>
      </c>
      <c r="BV111" s="6"/>
      <c r="BW111" s="6"/>
      <c r="BX111" s="6"/>
    </row>
    <row r="112" spans="1:76" x14ac:dyDescent="0.3">
      <c r="A112" s="22" t="s">
        <v>157</v>
      </c>
      <c r="B112" s="21" t="s">
        <v>66</v>
      </c>
      <c r="C112" s="21"/>
      <c r="D112" s="10" t="s">
        <v>17</v>
      </c>
      <c r="E112" s="7" t="s">
        <v>103</v>
      </c>
      <c r="F112" s="3" t="s">
        <v>104</v>
      </c>
      <c r="G112" s="3" t="s">
        <v>49</v>
      </c>
      <c r="H112" s="4" t="s">
        <v>142</v>
      </c>
      <c r="I112" s="4" t="s">
        <v>142</v>
      </c>
      <c r="J112" s="3"/>
      <c r="K112" s="3" t="str">
        <f t="shared" si="28"/>
        <v>Prj000350-Support - Infrastructure for Tech</v>
      </c>
      <c r="L112" s="21" t="s">
        <v>106</v>
      </c>
      <c r="M112" s="21" t="s">
        <v>4</v>
      </c>
      <c r="N112" s="21" t="s">
        <v>4</v>
      </c>
      <c r="O112" s="21"/>
      <c r="P112" s="21" t="s">
        <v>151</v>
      </c>
      <c r="Q112" s="21" t="s">
        <v>152</v>
      </c>
      <c r="R112" s="21" t="s">
        <v>153</v>
      </c>
      <c r="S112" s="21" t="s">
        <v>129</v>
      </c>
      <c r="T112" s="5">
        <v>32897.4</v>
      </c>
      <c r="U112" s="15">
        <v>34537</v>
      </c>
      <c r="V112" s="15">
        <v>34537</v>
      </c>
      <c r="W112" s="15">
        <f t="shared" si="29"/>
        <v>33853.833333333336</v>
      </c>
      <c r="X112" s="15">
        <f t="shared" si="33"/>
        <v>-683.16666666666424</v>
      </c>
      <c r="Y112" s="15">
        <f t="shared" si="30"/>
        <v>0</v>
      </c>
      <c r="Z112" s="15">
        <f>SUM(Financials20263[[#This Row],[2026 Opportunity]:[2026 Risk]])</f>
        <v>-683.16666666666424</v>
      </c>
      <c r="AA112" s="3"/>
      <c r="AB112" s="52">
        <f>Financials20263[[#This Row],[2026 Final Budget]]/12</f>
        <v>2878.0833333333335</v>
      </c>
      <c r="AC112" s="52">
        <f>Financials20263[[#This Row],[2026 Final Budget]]/12</f>
        <v>2878.0833333333335</v>
      </c>
      <c r="AD112" s="52">
        <f>Financials20263[[#This Row],[2026 Final Budget]]/12</f>
        <v>2878.0833333333335</v>
      </c>
      <c r="AE112" s="52">
        <f>Financials20263[[#This Row],[2026 Final Budget]]/12</f>
        <v>2878.0833333333335</v>
      </c>
      <c r="AF112" s="52">
        <f>Financials20263[[#This Row],[2026 Final Budget]]/12</f>
        <v>2878.0833333333335</v>
      </c>
      <c r="AG112" s="52">
        <f>Financials20263[[#This Row],[2026 Final Budget]]/12</f>
        <v>2878.0833333333335</v>
      </c>
      <c r="AH112" s="52">
        <f>Financials20263[[#This Row],[2026 Final Budget]]/12</f>
        <v>2878.0833333333335</v>
      </c>
      <c r="AI112" s="52">
        <f>Financials20263[[#This Row],[2026 Final Budget]]/12</f>
        <v>2878.0833333333335</v>
      </c>
      <c r="AJ112" s="52">
        <f>Financials20263[[#This Row],[2026 Final Budget]]/12</f>
        <v>2878.0833333333335</v>
      </c>
      <c r="AK112" s="52">
        <f>Financials20263[[#This Row],[2026 Final Budget]]/12</f>
        <v>2878.0833333333335</v>
      </c>
      <c r="AL112" s="52">
        <f>Financials20263[[#This Row],[2026 Final Budget]]/12</f>
        <v>2878.0833333333335</v>
      </c>
      <c r="AM112" s="52">
        <f>Financials20263[[#This Row],[2026 Final Budget]]/12</f>
        <v>2878.0833333333335</v>
      </c>
      <c r="AN112" s="75">
        <f>SUM(Financials20263[[#This Row],[Jan FC]:[Dec FC]])</f>
        <v>34536.999999999993</v>
      </c>
      <c r="AO112" s="15">
        <f t="shared" si="31"/>
        <v>20146.583333333332</v>
      </c>
      <c r="AP112" s="61">
        <v>2741.45</v>
      </c>
      <c r="AQ112" s="61">
        <v>2741.45</v>
      </c>
      <c r="AR112" s="61">
        <v>2741.45</v>
      </c>
      <c r="AS112" s="61">
        <v>2741.45</v>
      </c>
      <c r="AT112" s="61">
        <v>2741.45</v>
      </c>
      <c r="AU112" s="61"/>
      <c r="AV112" s="61"/>
      <c r="AW112" s="61"/>
      <c r="AX112" s="61"/>
      <c r="AY112" s="61"/>
      <c r="AZ112" s="61"/>
      <c r="BA112" s="61"/>
      <c r="BB112" s="80">
        <f>SUM(Financials20263[[#This Row],[Jan AC]:[Dec AC]])</f>
        <v>13707.25</v>
      </c>
      <c r="BC112" s="71">
        <f>Financials20263[[#This Row],[Jan AC]]-Financials20263[[#This Row],[Jan FC]]</f>
        <v>-136.63333333333367</v>
      </c>
      <c r="BD112" s="71">
        <f>Financials20263[[#This Row],[Feb AC]]-Financials20263[[#This Row],[Feb FC]]</f>
        <v>-136.63333333333367</v>
      </c>
      <c r="BE112" s="71">
        <f>Financials20263[[#This Row],[Mar AC]]-Financials20263[[#This Row],[Mar FC]]</f>
        <v>-136.63333333333367</v>
      </c>
      <c r="BF112" s="71">
        <f>Financials20263[[#This Row],[Apr AC]]-Financials20263[[#This Row],[Apr FC]]</f>
        <v>-136.63333333333367</v>
      </c>
      <c r="BG112" s="71">
        <f>Financials20263[[#This Row],[May AC]]-Financials20263[[#This Row],[May FC]]</f>
        <v>-136.63333333333367</v>
      </c>
      <c r="BH112" s="71">
        <f>Financials20263[[#This Row],[Jun AC]]-Financials20263[[#This Row],[Jun FC]]</f>
        <v>-2878.0833333333335</v>
      </c>
      <c r="BI112" s="71">
        <f>Financials20263[[#This Row],[Jul AC]]-Financials20263[[#This Row],[Jul FC]]</f>
        <v>-2878.0833333333335</v>
      </c>
      <c r="BJ112" s="71">
        <f>Financials20263[[#This Row],[Aug AC]]-Financials20263[[#This Row],[Aug FC]]</f>
        <v>-2878.0833333333335</v>
      </c>
      <c r="BK112" s="71">
        <f>Financials20263[[#This Row],[Sep AC]]-Financials20263[[#This Row],[Sep FC]]</f>
        <v>-2878.0833333333335</v>
      </c>
      <c r="BL112" s="71">
        <f>Financials20263[[#This Row],[Oct AC]]-Financials20263[[#This Row],[Oct FC]]</f>
        <v>-2878.0833333333335</v>
      </c>
      <c r="BM112" s="71">
        <f>Financials20263[[#This Row],[Nov AC]]-Financials20263[[#This Row],[Nov FC]]</f>
        <v>-2878.0833333333335</v>
      </c>
      <c r="BN112" s="71">
        <f>Financials20263[[#This Row],[Dec AC]]-Financials20263[[#This Row],[Dec FC]]</f>
        <v>-2878.0833333333335</v>
      </c>
      <c r="BO112" s="71">
        <f>SUM(Financials20263[[#This Row],[Jan Opp/Risk]:[Dec Opp./Risk]])</f>
        <v>-20829.750000000004</v>
      </c>
      <c r="BP112" s="87" t="s">
        <v>519</v>
      </c>
      <c r="BQ112" s="47">
        <f>SUM(Financials20263[[#This Row],[Jan AC]:[May AC]])</f>
        <v>13707.25</v>
      </c>
      <c r="BR112" s="6">
        <f>Financials20263[[#This Row],[2026 (Actuals + Forecast)]]-Financials20263[[#This Row],[Jan-May Actuals]]-Financials20263[[#This Row],[Jun-Dec FC]]</f>
        <v>0</v>
      </c>
      <c r="BS112" s="6">
        <f>Financials20263[[#This Row],[Jun-Dec FC]]+Financials20263[[#This Row],[Jan-May Forecast ]]</f>
        <v>20146.583333333332</v>
      </c>
      <c r="BT112" s="6">
        <f>SUM(Financials20263[[#This Row],[Jan FC]:[May FC]])</f>
        <v>14390.416666666668</v>
      </c>
      <c r="BU112" s="6">
        <f>Financials20263[[#This Row],[Jan-May Actuals]]+Financials20263[[#This Row],[Forecast Jun-Dec]]</f>
        <v>33853.833333333328</v>
      </c>
      <c r="BV112" s="6"/>
      <c r="BW112" s="6"/>
      <c r="BX112" s="6"/>
    </row>
    <row r="113" spans="1:76" x14ac:dyDescent="0.3">
      <c r="A113" s="22" t="s">
        <v>157</v>
      </c>
      <c r="B113" s="21" t="s">
        <v>71</v>
      </c>
      <c r="C113" s="21"/>
      <c r="D113" s="10" t="s">
        <v>17</v>
      </c>
      <c r="E113" s="7" t="s">
        <v>103</v>
      </c>
      <c r="F113" s="3" t="s">
        <v>104</v>
      </c>
      <c r="G113" s="3" t="s">
        <v>49</v>
      </c>
      <c r="H113" s="4" t="s">
        <v>142</v>
      </c>
      <c r="I113" s="4" t="s">
        <v>142</v>
      </c>
      <c r="J113" s="3"/>
      <c r="K113" s="3" t="str">
        <f t="shared" si="28"/>
        <v>Prj000350-Support - Infrastructure for Tech</v>
      </c>
      <c r="L113" s="21" t="s">
        <v>106</v>
      </c>
      <c r="M113" s="21" t="s">
        <v>4</v>
      </c>
      <c r="N113" s="21" t="s">
        <v>4</v>
      </c>
      <c r="O113" s="21"/>
      <c r="P113" s="21" t="s">
        <v>151</v>
      </c>
      <c r="Q113" s="21" t="s">
        <v>152</v>
      </c>
      <c r="R113" s="21" t="s">
        <v>153</v>
      </c>
      <c r="S113" s="21" t="s">
        <v>129</v>
      </c>
      <c r="T113" s="5">
        <v>401632</v>
      </c>
      <c r="U113" s="15">
        <v>421713.07500000007</v>
      </c>
      <c r="V113" s="15">
        <v>421713.07500000007</v>
      </c>
      <c r="W113" s="15">
        <f>AO113+IF(ISBLANK(AP113),AB113,AP113)+IF(ISBLANK(AQ113),AC113,AQ113)+IF(ISBLANK(AR113),AD113,AR113)+IF(ISBLANK(AS113),AE113,AS113)+IF(ISBLANK(AT113),AF113,AT113)</f>
        <v>407892.6966666666</v>
      </c>
      <c r="X113" s="15">
        <f t="shared" si="33"/>
        <v>-13820.378333333472</v>
      </c>
      <c r="Y113" s="15">
        <f t="shared" si="30"/>
        <v>0</v>
      </c>
      <c r="Z113" s="15">
        <f>SUM(Financials20263[[#This Row],[2026 Opportunity]:[2026 Risk]])</f>
        <v>-13820.378333333472</v>
      </c>
      <c r="AA113" s="3"/>
      <c r="AB113" s="52">
        <v>30215.78</v>
      </c>
      <c r="AC113" s="52">
        <v>35893.14</v>
      </c>
      <c r="AD113" s="52">
        <v>35143.583333333336</v>
      </c>
      <c r="AE113" s="52">
        <v>35143.583333333336</v>
      </c>
      <c r="AF113" s="52">
        <v>35143.583333333336</v>
      </c>
      <c r="AG113" s="52">
        <v>35143.583333333336</v>
      </c>
      <c r="AH113" s="52">
        <v>35143.583333333336</v>
      </c>
      <c r="AI113" s="52">
        <v>35143.583333333336</v>
      </c>
      <c r="AJ113" s="52">
        <v>35143.583333333336</v>
      </c>
      <c r="AK113" s="52">
        <v>35143.583333333336</v>
      </c>
      <c r="AL113" s="52">
        <v>35143.583333333336</v>
      </c>
      <c r="AM113" s="52">
        <v>39311.583333333299</v>
      </c>
      <c r="AN113" s="52">
        <f>SUM(Financials20263[[#This Row],[Jan FC]:[Dec FC]])</f>
        <v>421712.7533333333</v>
      </c>
      <c r="AO113" s="15">
        <f t="shared" si="31"/>
        <v>250173.08333333331</v>
      </c>
      <c r="AP113" s="61">
        <v>30215.78</v>
      </c>
      <c r="AQ113" s="61">
        <v>35893.14</v>
      </c>
      <c r="AR113" s="61">
        <v>28032.44</v>
      </c>
      <c r="AS113" s="61">
        <v>28434.67</v>
      </c>
      <c r="AT113" s="61"/>
      <c r="AU113" s="61"/>
      <c r="AV113" s="61"/>
      <c r="AW113" s="61"/>
      <c r="AX113" s="61"/>
      <c r="AY113" s="61"/>
      <c r="AZ113" s="61"/>
      <c r="BA113" s="61"/>
      <c r="BB113" s="80">
        <f>SUM(Financials20263[[#This Row],[Jan AC]:[Dec AC]])</f>
        <v>122576.03</v>
      </c>
      <c r="BC113" s="71">
        <f>Financials20263[[#This Row],[Jan AC]]-Financials20263[[#This Row],[Jan FC]]</f>
        <v>0</v>
      </c>
      <c r="BD113" s="71">
        <f>Financials20263[[#This Row],[Feb AC]]-Financials20263[[#This Row],[Feb FC]]</f>
        <v>0</v>
      </c>
      <c r="BE113" s="71">
        <f>Financials20263[[#This Row],[Mar AC]]-Financials20263[[#This Row],[Mar FC]]</f>
        <v>-7111.1433333333371</v>
      </c>
      <c r="BF113" s="71">
        <f>Financials20263[[#This Row],[Apr AC]]-Financials20263[[#This Row],[Apr FC]]</f>
        <v>-6708.9133333333375</v>
      </c>
      <c r="BG113" s="71">
        <f>Financials20263[[#This Row],[May AC]]-Financials20263[[#This Row],[May FC]]</f>
        <v>-35143.583333333336</v>
      </c>
      <c r="BH113" s="71">
        <f>Financials20263[[#This Row],[Jun AC]]-Financials20263[[#This Row],[Jun FC]]</f>
        <v>-35143.583333333336</v>
      </c>
      <c r="BI113" s="71">
        <f>Financials20263[[#This Row],[Jul AC]]-Financials20263[[#This Row],[Jul FC]]</f>
        <v>-35143.583333333336</v>
      </c>
      <c r="BJ113" s="71">
        <f>Financials20263[[#This Row],[Aug AC]]-Financials20263[[#This Row],[Aug FC]]</f>
        <v>-35143.583333333336</v>
      </c>
      <c r="BK113" s="71">
        <f>Financials20263[[#This Row],[Sep AC]]-Financials20263[[#This Row],[Sep FC]]</f>
        <v>-35143.583333333336</v>
      </c>
      <c r="BL113" s="71">
        <f>Financials20263[[#This Row],[Oct AC]]-Financials20263[[#This Row],[Oct FC]]</f>
        <v>-35143.583333333336</v>
      </c>
      <c r="BM113" s="71">
        <f>Financials20263[[#This Row],[Nov AC]]-Financials20263[[#This Row],[Nov FC]]</f>
        <v>-35143.583333333336</v>
      </c>
      <c r="BN113" s="71">
        <f>Financials20263[[#This Row],[Dec AC]]-Financials20263[[#This Row],[Dec FC]]</f>
        <v>-39311.583333333299</v>
      </c>
      <c r="BO113" s="71">
        <f>SUM(Financials20263[[#This Row],[Jan Opp/Risk]:[Dec Opp./Risk]])</f>
        <v>-299136.72333333339</v>
      </c>
      <c r="BP113" s="88"/>
      <c r="BQ113" s="47">
        <f>SUM(Financials20263[[#This Row],[Jan AC]:[May AC]])</f>
        <v>122576.03</v>
      </c>
      <c r="BR113" s="6">
        <f>Financials20263[[#This Row],[2026 (Actuals + Forecast)]]-Financials20263[[#This Row],[Jan-May Actuals]]-Financials20263[[#This Row],[Jun-Dec FC]]</f>
        <v>35143.583333333314</v>
      </c>
      <c r="BS113" s="6">
        <f>Financials20263[[#This Row],[Jun-Dec FC]]+Financials20263[[#This Row],[Jan-May Forecast ]]</f>
        <v>285316.66666666663</v>
      </c>
      <c r="BT113" s="6">
        <f>SUM(Financials20263[[#This Row],[Jan FC]:[May FC]])</f>
        <v>171539.67</v>
      </c>
      <c r="BU113" s="6">
        <f>Financials20263[[#This Row],[Jan-May Actuals]]+Financials20263[[#This Row],[Forecast Jun-Dec]]</f>
        <v>407892.69666666666</v>
      </c>
      <c r="BV113" s="6"/>
      <c r="BW113" s="6"/>
      <c r="BX113" s="6"/>
    </row>
    <row r="114" spans="1:76" x14ac:dyDescent="0.3">
      <c r="A114" s="22" t="s">
        <v>101</v>
      </c>
      <c r="B114" s="21" t="s">
        <v>368</v>
      </c>
      <c r="C114" s="21"/>
      <c r="D114" s="10" t="s">
        <v>31</v>
      </c>
      <c r="E114" s="7" t="s">
        <v>204</v>
      </c>
      <c r="F114" s="3" t="s">
        <v>205</v>
      </c>
      <c r="G114" s="3" t="s">
        <v>50</v>
      </c>
      <c r="H114" s="4">
        <v>46023</v>
      </c>
      <c r="I114" s="4">
        <v>46387</v>
      </c>
      <c r="J114" s="3"/>
      <c r="K114" s="3" t="str">
        <f t="shared" si="28"/>
        <v>Prj000469-Support - Prod Support for Ops Apps</v>
      </c>
      <c r="L114" s="21" t="s">
        <v>106</v>
      </c>
      <c r="M114" s="21" t="s">
        <v>6</v>
      </c>
      <c r="N114" s="21" t="s">
        <v>6</v>
      </c>
      <c r="O114" s="21" t="s">
        <v>162</v>
      </c>
      <c r="P114" s="21" t="s">
        <v>163</v>
      </c>
      <c r="Q114" s="21" t="s">
        <v>163</v>
      </c>
      <c r="R114" s="21" t="s">
        <v>164</v>
      </c>
      <c r="S114" s="21" t="s">
        <v>132</v>
      </c>
      <c r="T114" s="5">
        <v>4914</v>
      </c>
      <c r="U114" s="15">
        <v>4409</v>
      </c>
      <c r="V114" s="15">
        <v>4409</v>
      </c>
      <c r="W114" s="15">
        <f t="shared" si="29"/>
        <v>4982.8</v>
      </c>
      <c r="X114" s="15">
        <f t="shared" si="33"/>
        <v>0</v>
      </c>
      <c r="Y114" s="15">
        <f t="shared" si="30"/>
        <v>573.80000000000018</v>
      </c>
      <c r="Z114" s="15">
        <f>SUM(Financials20263[[#This Row],[2026 Opportunity]:[2026 Risk]])</f>
        <v>573.80000000000018</v>
      </c>
      <c r="AA114" s="3" t="s">
        <v>369</v>
      </c>
      <c r="AB114" s="52">
        <v>4409</v>
      </c>
      <c r="AC114" s="52"/>
      <c r="AD114" s="52"/>
      <c r="AE114" s="52"/>
      <c r="AF114" s="52"/>
      <c r="AG114" s="52"/>
      <c r="AH114" s="52"/>
      <c r="AI114" s="52"/>
      <c r="AJ114" s="52"/>
      <c r="AK114" s="52"/>
      <c r="AL114" s="52"/>
      <c r="AM114" s="52"/>
      <c r="AN114" s="52">
        <f>SUM(Financials20263[[#This Row],[Jan FC]:[Dec FC]])</f>
        <v>4409</v>
      </c>
      <c r="AO114" s="15">
        <f t="shared" si="31"/>
        <v>0</v>
      </c>
      <c r="AP114" s="61">
        <v>4982.8</v>
      </c>
      <c r="AQ114" s="61"/>
      <c r="AR114" s="61"/>
      <c r="AS114" s="61"/>
      <c r="AT114" s="61"/>
      <c r="AU114" s="61"/>
      <c r="AV114" s="61"/>
      <c r="AW114" s="61"/>
      <c r="AX114" s="61"/>
      <c r="AY114" s="61"/>
      <c r="AZ114" s="61"/>
      <c r="BA114" s="61"/>
      <c r="BB114" s="80">
        <f>SUM(Financials20263[[#This Row],[Jan AC]:[Dec AC]])</f>
        <v>4982.8</v>
      </c>
      <c r="BC114" s="71">
        <f>Financials20263[[#This Row],[Jan AC]]-Financials20263[[#This Row],[Jan FC]]</f>
        <v>573.80000000000018</v>
      </c>
      <c r="BD114" s="71">
        <f>Financials20263[[#This Row],[Feb AC]]-Financials20263[[#This Row],[Feb FC]]</f>
        <v>0</v>
      </c>
      <c r="BE114" s="71">
        <f>Financials20263[[#This Row],[Mar AC]]-Financials20263[[#This Row],[Mar FC]]</f>
        <v>0</v>
      </c>
      <c r="BF114" s="71">
        <f>Financials20263[[#This Row],[Apr AC]]-Financials20263[[#This Row],[Apr FC]]</f>
        <v>0</v>
      </c>
      <c r="BG114" s="71">
        <f>Financials20263[[#This Row],[May AC]]-Financials20263[[#This Row],[May FC]]</f>
        <v>0</v>
      </c>
      <c r="BH114" s="71">
        <f>Financials20263[[#This Row],[Jun AC]]-Financials20263[[#This Row],[Jun FC]]</f>
        <v>0</v>
      </c>
      <c r="BI114" s="71">
        <f>Financials20263[[#This Row],[Jul AC]]-Financials20263[[#This Row],[Jul FC]]</f>
        <v>0</v>
      </c>
      <c r="BJ114" s="71">
        <f>Financials20263[[#This Row],[Aug AC]]-Financials20263[[#This Row],[Aug FC]]</f>
        <v>0</v>
      </c>
      <c r="BK114" s="71">
        <f>Financials20263[[#This Row],[Sep AC]]-Financials20263[[#This Row],[Sep FC]]</f>
        <v>0</v>
      </c>
      <c r="BL114" s="71">
        <f>Financials20263[[#This Row],[Oct AC]]-Financials20263[[#This Row],[Oct FC]]</f>
        <v>0</v>
      </c>
      <c r="BM114" s="71">
        <f>Financials20263[[#This Row],[Nov AC]]-Financials20263[[#This Row],[Nov FC]]</f>
        <v>0</v>
      </c>
      <c r="BN114" s="71">
        <f>Financials20263[[#This Row],[Dec AC]]-Financials20263[[#This Row],[Dec FC]]</f>
        <v>0</v>
      </c>
      <c r="BO114" s="71">
        <f>SUM(Financials20263[[#This Row],[Jan Opp/Risk]:[Dec Opp./Risk]])</f>
        <v>573.80000000000018</v>
      </c>
      <c r="BP114" s="87" t="s">
        <v>519</v>
      </c>
      <c r="BQ114" s="47">
        <f>SUM(Financials20263[[#This Row],[Jan AC]:[May AC]])</f>
        <v>4982.8</v>
      </c>
      <c r="BR114" s="6">
        <f>Financials20263[[#This Row],[2026 (Actuals + Forecast)]]-Financials20263[[#This Row],[Jan-May Actuals]]-Financials20263[[#This Row],[Jun-Dec FC]]</f>
        <v>0</v>
      </c>
      <c r="BS114" s="6">
        <f>Financials20263[[#This Row],[Jun-Dec FC]]+Financials20263[[#This Row],[Jan-May Forecast ]]</f>
        <v>0</v>
      </c>
      <c r="BT114" s="6">
        <f>SUM(Financials20263[[#This Row],[Jan FC]:[May FC]])</f>
        <v>4409</v>
      </c>
      <c r="BU114" s="6">
        <f>Financials20263[[#This Row],[Jan-May Actuals]]+Financials20263[[#This Row],[Forecast Jun-Dec]]</f>
        <v>4982.8</v>
      </c>
      <c r="BV114" s="6"/>
      <c r="BW114" s="6"/>
      <c r="BX114" s="6"/>
    </row>
    <row r="115" spans="1:76" x14ac:dyDescent="0.3">
      <c r="A115" s="22" t="s">
        <v>101</v>
      </c>
      <c r="B115" s="21" t="s">
        <v>370</v>
      </c>
      <c r="C115" s="21"/>
      <c r="D115" s="10" t="s">
        <v>13</v>
      </c>
      <c r="E115" s="7" t="s">
        <v>140</v>
      </c>
      <c r="F115" s="3" t="s">
        <v>141</v>
      </c>
      <c r="G115" s="3" t="s">
        <v>52</v>
      </c>
      <c r="H115" s="4"/>
      <c r="I115" s="4"/>
      <c r="J115" s="3"/>
      <c r="K115" s="3" t="str">
        <f t="shared" si="28"/>
        <v>Prj000290-Support - Asset Management Applications</v>
      </c>
      <c r="L115" s="21" t="s">
        <v>106</v>
      </c>
      <c r="M115" s="21" t="s">
        <v>6</v>
      </c>
      <c r="N115" s="21" t="s">
        <v>6</v>
      </c>
      <c r="O115" s="21"/>
      <c r="P115" s="21" t="s">
        <v>163</v>
      </c>
      <c r="Q115" s="21" t="s">
        <v>163</v>
      </c>
      <c r="R115" s="21" t="s">
        <v>164</v>
      </c>
      <c r="S115" s="21" t="s">
        <v>132</v>
      </c>
      <c r="T115" s="5">
        <v>342</v>
      </c>
      <c r="U115" s="15">
        <v>359</v>
      </c>
      <c r="V115" s="15">
        <v>359</v>
      </c>
      <c r="W115" s="15">
        <f t="shared" si="29"/>
        <v>359</v>
      </c>
      <c r="X115" s="15">
        <f t="shared" si="33"/>
        <v>0</v>
      </c>
      <c r="Y115" s="15">
        <f t="shared" si="30"/>
        <v>0</v>
      </c>
      <c r="Z115" s="15">
        <f>SUM(Financials20263[[#This Row],[2026 Opportunity]:[2026 Risk]])</f>
        <v>0</v>
      </c>
      <c r="AA115" s="3" t="s">
        <v>120</v>
      </c>
      <c r="AB115" s="52"/>
      <c r="AC115" s="52"/>
      <c r="AD115" s="52">
        <v>359</v>
      </c>
      <c r="AE115" s="52"/>
      <c r="AF115" s="52"/>
      <c r="AG115" s="52"/>
      <c r="AH115" s="52"/>
      <c r="AI115" s="52"/>
      <c r="AJ115" s="52"/>
      <c r="AK115" s="52"/>
      <c r="AL115" s="52"/>
      <c r="AM115" s="52"/>
      <c r="AN115" s="52">
        <f>SUM(Financials20263[[#This Row],[Jan FC]:[Dec FC]])</f>
        <v>359</v>
      </c>
      <c r="AO115" s="15">
        <f t="shared" si="31"/>
        <v>0</v>
      </c>
      <c r="AP115" s="61"/>
      <c r="AQ115" s="61"/>
      <c r="AR115" s="61"/>
      <c r="AS115" s="61"/>
      <c r="AT115" s="61"/>
      <c r="AU115" s="61"/>
      <c r="AV115" s="61"/>
      <c r="AW115" s="61"/>
      <c r="AX115" s="61"/>
      <c r="AY115" s="61"/>
      <c r="AZ115" s="61"/>
      <c r="BA115" s="61"/>
      <c r="BB115" s="80">
        <f>SUM(Financials20263[[#This Row],[Jan AC]:[Dec AC]])</f>
        <v>0</v>
      </c>
      <c r="BC115" s="71">
        <f>Financials20263[[#This Row],[Jan AC]]-Financials20263[[#This Row],[Jan FC]]</f>
        <v>0</v>
      </c>
      <c r="BD115" s="71">
        <f>Financials20263[[#This Row],[Feb AC]]-Financials20263[[#This Row],[Feb FC]]</f>
        <v>0</v>
      </c>
      <c r="BE115" s="71">
        <f>Financials20263[[#This Row],[Mar AC]]-Financials20263[[#This Row],[Mar FC]]</f>
        <v>-359</v>
      </c>
      <c r="BF115" s="71">
        <f>Financials20263[[#This Row],[Apr AC]]-Financials20263[[#This Row],[Apr FC]]</f>
        <v>0</v>
      </c>
      <c r="BG115" s="71">
        <f>Financials20263[[#This Row],[May AC]]-Financials20263[[#This Row],[May FC]]</f>
        <v>0</v>
      </c>
      <c r="BH115" s="71">
        <f>Financials20263[[#This Row],[Jun AC]]-Financials20263[[#This Row],[Jun FC]]</f>
        <v>0</v>
      </c>
      <c r="BI115" s="71">
        <f>Financials20263[[#This Row],[Jul AC]]-Financials20263[[#This Row],[Jul FC]]</f>
        <v>0</v>
      </c>
      <c r="BJ115" s="71">
        <f>Financials20263[[#This Row],[Aug AC]]-Financials20263[[#This Row],[Aug FC]]</f>
        <v>0</v>
      </c>
      <c r="BK115" s="71">
        <f>Financials20263[[#This Row],[Sep AC]]-Financials20263[[#This Row],[Sep FC]]</f>
        <v>0</v>
      </c>
      <c r="BL115" s="71">
        <f>Financials20263[[#This Row],[Oct AC]]-Financials20263[[#This Row],[Oct FC]]</f>
        <v>0</v>
      </c>
      <c r="BM115" s="71">
        <f>Financials20263[[#This Row],[Nov AC]]-Financials20263[[#This Row],[Nov FC]]</f>
        <v>0</v>
      </c>
      <c r="BN115" s="71">
        <f>Financials20263[[#This Row],[Dec AC]]-Financials20263[[#This Row],[Dec FC]]</f>
        <v>0</v>
      </c>
      <c r="BO115" s="71">
        <f>SUM(Financials20263[[#This Row],[Jan Opp/Risk]:[Dec Opp./Risk]])</f>
        <v>-359</v>
      </c>
      <c r="BP115" s="87"/>
      <c r="BQ115" s="47">
        <f>SUM(Financials20263[[#This Row],[Jan AC]:[May AC]])</f>
        <v>0</v>
      </c>
      <c r="BR115" s="6">
        <f>Financials20263[[#This Row],[2026 (Actuals + Forecast)]]-Financials20263[[#This Row],[Jan-May Actuals]]-Financials20263[[#This Row],[Jun-Dec FC]]</f>
        <v>359</v>
      </c>
      <c r="BS115" s="6">
        <f>Financials20263[[#This Row],[Jun-Dec FC]]+Financials20263[[#This Row],[Jan-May Forecast ]]</f>
        <v>359</v>
      </c>
      <c r="BT115" s="6">
        <f>SUM(Financials20263[[#This Row],[Jan FC]:[May FC]])</f>
        <v>359</v>
      </c>
      <c r="BU115" s="6">
        <f>Financials20263[[#This Row],[Jan-May Actuals]]+Financials20263[[#This Row],[Forecast Jun-Dec]]</f>
        <v>359</v>
      </c>
      <c r="BV115" s="6"/>
      <c r="BW115" s="6"/>
      <c r="BX115" s="6"/>
    </row>
    <row r="116" spans="1:76" x14ac:dyDescent="0.3">
      <c r="A116" s="22" t="s">
        <v>101</v>
      </c>
      <c r="B116" s="21" t="s">
        <v>371</v>
      </c>
      <c r="C116" s="21" t="s">
        <v>372</v>
      </c>
      <c r="D116" s="10" t="s">
        <v>31</v>
      </c>
      <c r="E116" s="7" t="s">
        <v>204</v>
      </c>
      <c r="F116" s="3" t="s">
        <v>205</v>
      </c>
      <c r="G116" s="3" t="s">
        <v>50</v>
      </c>
      <c r="H116" s="4"/>
      <c r="I116" s="4"/>
      <c r="J116" s="3"/>
      <c r="K116" s="3" t="str">
        <f t="shared" si="28"/>
        <v>Prj000469-Support - Prod Support for Ops Apps</v>
      </c>
      <c r="L116" s="21" t="s">
        <v>106</v>
      </c>
      <c r="M116" s="21" t="s">
        <v>6</v>
      </c>
      <c r="N116" s="21" t="s">
        <v>6</v>
      </c>
      <c r="O116" s="21" t="s">
        <v>373</v>
      </c>
      <c r="P116" s="21" t="s">
        <v>163</v>
      </c>
      <c r="Q116" s="21" t="s">
        <v>163</v>
      </c>
      <c r="R116" s="21" t="s">
        <v>164</v>
      </c>
      <c r="S116" s="21" t="s">
        <v>154</v>
      </c>
      <c r="T116" s="5">
        <v>64257.05</v>
      </c>
      <c r="U116" s="15">
        <v>67470</v>
      </c>
      <c r="V116" s="15">
        <v>67470</v>
      </c>
      <c r="W116" s="15">
        <f t="shared" si="29"/>
        <v>67977.899999999994</v>
      </c>
      <c r="X116" s="15">
        <f t="shared" si="33"/>
        <v>0</v>
      </c>
      <c r="Y116" s="15">
        <f t="shared" si="30"/>
        <v>507.89999999999418</v>
      </c>
      <c r="Z116" s="15">
        <f>SUM(Financials20263[[#This Row],[2026 Opportunity]:[2026 Risk]])</f>
        <v>507.89999999999418</v>
      </c>
      <c r="AA116" s="3" t="s">
        <v>120</v>
      </c>
      <c r="AB116" s="52">
        <v>16878.150000000001</v>
      </c>
      <c r="AC116" s="52"/>
      <c r="AD116" s="52"/>
      <c r="AE116" s="52">
        <v>16867.5</v>
      </c>
      <c r="AF116" s="52"/>
      <c r="AG116" s="52"/>
      <c r="AH116" s="52">
        <v>16867.5</v>
      </c>
      <c r="AI116" s="52"/>
      <c r="AJ116" s="52"/>
      <c r="AK116" s="52">
        <v>16867.5</v>
      </c>
      <c r="AL116" s="52"/>
      <c r="AM116" s="52"/>
      <c r="AN116" s="75">
        <f>SUM(Financials20263[[#This Row],[Jan FC]:[Dec FC]])</f>
        <v>67480.649999999994</v>
      </c>
      <c r="AO116" s="15">
        <f t="shared" si="31"/>
        <v>33735</v>
      </c>
      <c r="AP116" s="61">
        <v>16878.150000000001</v>
      </c>
      <c r="AQ116" s="61"/>
      <c r="AR116" s="61"/>
      <c r="AS116" s="61">
        <v>17364.75</v>
      </c>
      <c r="AT116" s="61"/>
      <c r="AU116" s="61"/>
      <c r="AV116" s="61"/>
      <c r="AW116" s="61"/>
      <c r="AX116" s="61"/>
      <c r="AY116" s="61"/>
      <c r="AZ116" s="61"/>
      <c r="BA116" s="61"/>
      <c r="BB116" s="80">
        <f>SUM(Financials20263[[#This Row],[Jan AC]:[Dec AC]])</f>
        <v>34242.9</v>
      </c>
      <c r="BC116" s="71">
        <f>Financials20263[[#This Row],[Jan AC]]-Financials20263[[#This Row],[Jan FC]]</f>
        <v>0</v>
      </c>
      <c r="BD116" s="71">
        <f>Financials20263[[#This Row],[Feb AC]]-Financials20263[[#This Row],[Feb FC]]</f>
        <v>0</v>
      </c>
      <c r="BE116" s="71">
        <f>Financials20263[[#This Row],[Mar AC]]-Financials20263[[#This Row],[Mar FC]]</f>
        <v>0</v>
      </c>
      <c r="BF116" s="71">
        <f>Financials20263[[#This Row],[Apr AC]]-Financials20263[[#This Row],[Apr FC]]</f>
        <v>497.25</v>
      </c>
      <c r="BG116" s="71">
        <f>Financials20263[[#This Row],[May AC]]-Financials20263[[#This Row],[May FC]]</f>
        <v>0</v>
      </c>
      <c r="BH116" s="71">
        <f>Financials20263[[#This Row],[Jun AC]]-Financials20263[[#This Row],[Jun FC]]</f>
        <v>0</v>
      </c>
      <c r="BI116" s="71">
        <f>Financials20263[[#This Row],[Jul AC]]-Financials20263[[#This Row],[Jul FC]]</f>
        <v>-16867.5</v>
      </c>
      <c r="BJ116" s="71">
        <f>Financials20263[[#This Row],[Aug AC]]-Financials20263[[#This Row],[Aug FC]]</f>
        <v>0</v>
      </c>
      <c r="BK116" s="71">
        <f>Financials20263[[#This Row],[Sep AC]]-Financials20263[[#This Row],[Sep FC]]</f>
        <v>0</v>
      </c>
      <c r="BL116" s="71">
        <f>Financials20263[[#This Row],[Oct AC]]-Financials20263[[#This Row],[Oct FC]]</f>
        <v>-16867.5</v>
      </c>
      <c r="BM116" s="71">
        <f>Financials20263[[#This Row],[Nov AC]]-Financials20263[[#This Row],[Nov FC]]</f>
        <v>0</v>
      </c>
      <c r="BN116" s="71">
        <f>Financials20263[[#This Row],[Dec AC]]-Financials20263[[#This Row],[Dec FC]]</f>
        <v>0</v>
      </c>
      <c r="BO116" s="71">
        <f>SUM(Financials20263[[#This Row],[Jan Opp/Risk]:[Dec Opp./Risk]])</f>
        <v>-33237.75</v>
      </c>
      <c r="BP116" s="87"/>
      <c r="BQ116" s="47">
        <f>SUM(Financials20263[[#This Row],[Jan AC]:[May AC]])</f>
        <v>34242.9</v>
      </c>
      <c r="BR116" s="6">
        <f>Financials20263[[#This Row],[2026 (Actuals + Forecast)]]-Financials20263[[#This Row],[Jan-May Actuals]]-Financials20263[[#This Row],[Jun-Dec FC]]</f>
        <v>0</v>
      </c>
      <c r="BS116" s="6">
        <f>Financials20263[[#This Row],[Jun-Dec FC]]+Financials20263[[#This Row],[Jan-May Forecast ]]</f>
        <v>33735</v>
      </c>
      <c r="BT116" s="6">
        <f>SUM(Financials20263[[#This Row],[Jan FC]:[May FC]])</f>
        <v>33745.65</v>
      </c>
      <c r="BU116" s="6">
        <f>Financials20263[[#This Row],[Jan-May Actuals]]+Financials20263[[#This Row],[Forecast Jun-Dec]]</f>
        <v>67977.899999999994</v>
      </c>
      <c r="BV116" s="6"/>
      <c r="BW116" s="6"/>
      <c r="BX116" s="6"/>
    </row>
    <row r="117" spans="1:76" x14ac:dyDescent="0.3">
      <c r="A117" s="22" t="s">
        <v>101</v>
      </c>
      <c r="B117" s="21" t="s">
        <v>374</v>
      </c>
      <c r="C117" s="21"/>
      <c r="D117" s="10" t="s">
        <v>31</v>
      </c>
      <c r="E117" s="7" t="s">
        <v>204</v>
      </c>
      <c r="F117" s="3" t="s">
        <v>205</v>
      </c>
      <c r="G117" s="3" t="s">
        <v>50</v>
      </c>
      <c r="H117" s="4">
        <v>45962</v>
      </c>
      <c r="I117" s="4">
        <v>46326</v>
      </c>
      <c r="J117" s="3"/>
      <c r="K117" s="3" t="str">
        <f t="shared" si="28"/>
        <v>Prj000469-Support - Prod Support for Ops Apps</v>
      </c>
      <c r="L117" s="21" t="s">
        <v>106</v>
      </c>
      <c r="M117" s="21" t="s">
        <v>6</v>
      </c>
      <c r="N117" s="21" t="s">
        <v>6</v>
      </c>
      <c r="O117" s="21"/>
      <c r="P117" s="21" t="s">
        <v>163</v>
      </c>
      <c r="Q117" s="21" t="s">
        <v>163</v>
      </c>
      <c r="R117" s="21" t="s">
        <v>164</v>
      </c>
      <c r="S117" s="21" t="s">
        <v>132</v>
      </c>
      <c r="T117" s="5">
        <v>10000</v>
      </c>
      <c r="U117" s="5">
        <v>25000</v>
      </c>
      <c r="V117" s="5">
        <v>25000</v>
      </c>
      <c r="W117" s="15">
        <f t="shared" si="29"/>
        <v>25000</v>
      </c>
      <c r="X117" s="15">
        <f t="shared" si="33"/>
        <v>0</v>
      </c>
      <c r="Y117" s="15">
        <f t="shared" si="30"/>
        <v>0</v>
      </c>
      <c r="Z117" s="15">
        <f>SUM(Financials20263[[#This Row],[2026 Opportunity]:[2026 Risk]])</f>
        <v>0</v>
      </c>
      <c r="AA117" s="3" t="s">
        <v>120</v>
      </c>
      <c r="AB117" s="52"/>
      <c r="AC117" s="52"/>
      <c r="AD117" s="52"/>
      <c r="AE117" s="52"/>
      <c r="AF117" s="52"/>
      <c r="AG117" s="52"/>
      <c r="AH117" s="52"/>
      <c r="AI117" s="52"/>
      <c r="AJ117" s="52"/>
      <c r="AK117" s="52"/>
      <c r="AL117" s="52">
        <v>25000</v>
      </c>
      <c r="AM117" s="52"/>
      <c r="AN117" s="52">
        <f>SUM(Financials20263[[#This Row],[Jan FC]:[Dec FC]])</f>
        <v>25000</v>
      </c>
      <c r="AO117" s="15">
        <f t="shared" si="31"/>
        <v>25000</v>
      </c>
      <c r="AP117" s="61"/>
      <c r="AQ117" s="61"/>
      <c r="AR117" s="61"/>
      <c r="AS117" s="61"/>
      <c r="AT117" s="61"/>
      <c r="AU117" s="61"/>
      <c r="AV117" s="61"/>
      <c r="AW117" s="61"/>
      <c r="AX117" s="61"/>
      <c r="AY117" s="61"/>
      <c r="AZ117" s="61"/>
      <c r="BA117" s="61"/>
      <c r="BB117" s="80">
        <f>SUM(Financials20263[[#This Row],[Jan AC]:[Dec AC]])</f>
        <v>0</v>
      </c>
      <c r="BC117" s="71">
        <f>Financials20263[[#This Row],[Jan AC]]-Financials20263[[#This Row],[Jan FC]]</f>
        <v>0</v>
      </c>
      <c r="BD117" s="71">
        <f>Financials20263[[#This Row],[Feb AC]]-Financials20263[[#This Row],[Feb FC]]</f>
        <v>0</v>
      </c>
      <c r="BE117" s="71">
        <f>Financials20263[[#This Row],[Mar AC]]-Financials20263[[#This Row],[Mar FC]]</f>
        <v>0</v>
      </c>
      <c r="BF117" s="71">
        <f>Financials20263[[#This Row],[Apr AC]]-Financials20263[[#This Row],[Apr FC]]</f>
        <v>0</v>
      </c>
      <c r="BG117" s="71">
        <f>Financials20263[[#This Row],[May AC]]-Financials20263[[#This Row],[May FC]]</f>
        <v>0</v>
      </c>
      <c r="BH117" s="71">
        <f>Financials20263[[#This Row],[Jun AC]]-Financials20263[[#This Row],[Jun FC]]</f>
        <v>0</v>
      </c>
      <c r="BI117" s="71">
        <f>Financials20263[[#This Row],[Jul AC]]-Financials20263[[#This Row],[Jul FC]]</f>
        <v>0</v>
      </c>
      <c r="BJ117" s="71">
        <f>Financials20263[[#This Row],[Aug AC]]-Financials20263[[#This Row],[Aug FC]]</f>
        <v>0</v>
      </c>
      <c r="BK117" s="71">
        <f>Financials20263[[#This Row],[Sep AC]]-Financials20263[[#This Row],[Sep FC]]</f>
        <v>0</v>
      </c>
      <c r="BL117" s="71">
        <f>Financials20263[[#This Row],[Oct AC]]-Financials20263[[#This Row],[Oct FC]]</f>
        <v>0</v>
      </c>
      <c r="BM117" s="71">
        <f>Financials20263[[#This Row],[Nov AC]]-Financials20263[[#This Row],[Nov FC]]</f>
        <v>-25000</v>
      </c>
      <c r="BN117" s="71">
        <f>Financials20263[[#This Row],[Dec AC]]-Financials20263[[#This Row],[Dec FC]]</f>
        <v>0</v>
      </c>
      <c r="BO117" s="71">
        <f>SUM(Financials20263[[#This Row],[Jan Opp/Risk]:[Dec Opp./Risk]])</f>
        <v>-25000</v>
      </c>
      <c r="BP117" s="87"/>
      <c r="BQ117" s="47">
        <f>SUM(Financials20263[[#This Row],[Jan AC]:[May AC]])</f>
        <v>0</v>
      </c>
      <c r="BR117" s="6">
        <f>Financials20263[[#This Row],[2026 (Actuals + Forecast)]]-Financials20263[[#This Row],[Jan-May Actuals]]-Financials20263[[#This Row],[Jun-Dec FC]]</f>
        <v>0</v>
      </c>
      <c r="BS117" s="6">
        <f>Financials20263[[#This Row],[Jun-Dec FC]]+Financials20263[[#This Row],[Jan-May Forecast ]]</f>
        <v>25000</v>
      </c>
      <c r="BT117" s="6">
        <f>SUM(Financials20263[[#This Row],[Jan FC]:[May FC]])</f>
        <v>0</v>
      </c>
      <c r="BU117" s="6">
        <f>Financials20263[[#This Row],[Jan-May Actuals]]+Financials20263[[#This Row],[Forecast Jun-Dec]]</f>
        <v>25000</v>
      </c>
      <c r="BV117" s="6"/>
      <c r="BW117" s="6"/>
      <c r="BX117" s="6"/>
    </row>
    <row r="118" spans="1:76" x14ac:dyDescent="0.3">
      <c r="A118" s="22" t="s">
        <v>157</v>
      </c>
      <c r="B118" s="21" t="s">
        <v>57</v>
      </c>
      <c r="C118" s="21"/>
      <c r="D118" s="10" t="s">
        <v>17</v>
      </c>
      <c r="E118" s="7" t="s">
        <v>103</v>
      </c>
      <c r="F118" s="3" t="s">
        <v>104</v>
      </c>
      <c r="G118" s="3" t="s">
        <v>49</v>
      </c>
      <c r="H118" s="4" t="s">
        <v>115</v>
      </c>
      <c r="I118" s="4" t="s">
        <v>115</v>
      </c>
      <c r="J118" s="3"/>
      <c r="K118" s="3" t="str">
        <f t="shared" si="28"/>
        <v>Prj000350-Support - Infrastructure for Tech</v>
      </c>
      <c r="L118" s="21" t="s">
        <v>106</v>
      </c>
      <c r="M118" s="21" t="s">
        <v>3</v>
      </c>
      <c r="N118" s="21" t="s">
        <v>3</v>
      </c>
      <c r="O118" s="21"/>
      <c r="P118" s="21" t="s">
        <v>107</v>
      </c>
      <c r="Q118" s="21" t="s">
        <v>378</v>
      </c>
      <c r="R118" s="21" t="s">
        <v>378</v>
      </c>
      <c r="S118" s="21" t="s">
        <v>129</v>
      </c>
      <c r="T118" s="5">
        <v>79902.28</v>
      </c>
      <c r="U118" s="15">
        <v>34646</v>
      </c>
      <c r="V118" s="15">
        <v>34646</v>
      </c>
      <c r="W118" s="15">
        <f t="shared" si="29"/>
        <v>25341.853333333336</v>
      </c>
      <c r="X118" s="15">
        <f t="shared" si="33"/>
        <v>-9304.1466666666638</v>
      </c>
      <c r="Y118" s="15">
        <f t="shared" si="30"/>
        <v>0</v>
      </c>
      <c r="Z118" s="15">
        <f>SUM(Financials20263[[#This Row],[2026 Opportunity]:[2026 Risk]])</f>
        <v>-9304.1466666666638</v>
      </c>
      <c r="AA118" s="3"/>
      <c r="AB118" s="52">
        <v>2887.1666666666665</v>
      </c>
      <c r="AC118" s="52">
        <v>2887.1666666666665</v>
      </c>
      <c r="AD118" s="52">
        <v>2887.1666666666665</v>
      </c>
      <c r="AE118" s="52">
        <v>2887.1666666666665</v>
      </c>
      <c r="AF118" s="52">
        <v>2887.1666666666665</v>
      </c>
      <c r="AG118" s="52">
        <v>2887.1666666666665</v>
      </c>
      <c r="AH118" s="52">
        <v>2887.1666666666665</v>
      </c>
      <c r="AI118" s="52">
        <v>2887.1666666666665</v>
      </c>
      <c r="AJ118" s="52">
        <v>2887.1666666666665</v>
      </c>
      <c r="AK118" s="52">
        <v>2887.1666666666665</v>
      </c>
      <c r="AL118" s="52">
        <v>2887.1666666666665</v>
      </c>
      <c r="AM118" s="52">
        <v>2887.1666666666665</v>
      </c>
      <c r="AN118" s="46">
        <f>SUM(Financials20263[[#This Row],[Jan FC]:[Dec FC]])</f>
        <v>34646.000000000007</v>
      </c>
      <c r="AO118" s="15">
        <f t="shared" si="31"/>
        <v>20210.166666666668</v>
      </c>
      <c r="AP118" s="61">
        <f>112.17+163.93+258.09+260.79+176.54</f>
        <v>971.52</v>
      </c>
      <c r="AQ118" s="61">
        <v>142.37</v>
      </c>
      <c r="AR118" s="61">
        <v>349.61</v>
      </c>
      <c r="AS118" s="61">
        <f>608.43+172.59</f>
        <v>781.02</v>
      </c>
      <c r="AT118" s="61"/>
      <c r="AU118" s="61"/>
      <c r="AV118" s="61"/>
      <c r="AW118" s="61"/>
      <c r="AX118" s="61"/>
      <c r="AY118" s="61"/>
      <c r="AZ118" s="61"/>
      <c r="BA118" s="61"/>
      <c r="BB118" s="80">
        <f>SUM(Financials20263[[#This Row],[Jan AC]:[Dec AC]])</f>
        <v>2244.52</v>
      </c>
      <c r="BC118" s="71">
        <f>Financials20263[[#This Row],[Jan AC]]-Financials20263[[#This Row],[Jan FC]]</f>
        <v>-1915.6466666666665</v>
      </c>
      <c r="BD118" s="71">
        <f>Financials20263[[#This Row],[Feb AC]]-Financials20263[[#This Row],[Feb FC]]</f>
        <v>-2744.7966666666666</v>
      </c>
      <c r="BE118" s="71">
        <f>Financials20263[[#This Row],[Mar AC]]-Financials20263[[#This Row],[Mar FC]]</f>
        <v>-2537.5566666666664</v>
      </c>
      <c r="BF118" s="71">
        <f>Financials20263[[#This Row],[Apr AC]]-Financials20263[[#This Row],[Apr FC]]</f>
        <v>-2106.1466666666665</v>
      </c>
      <c r="BG118" s="71">
        <f>Financials20263[[#This Row],[May AC]]-Financials20263[[#This Row],[May FC]]</f>
        <v>-2887.1666666666665</v>
      </c>
      <c r="BH118" s="71">
        <f>Financials20263[[#This Row],[Jun AC]]-Financials20263[[#This Row],[Jun FC]]</f>
        <v>-2887.1666666666665</v>
      </c>
      <c r="BI118" s="71">
        <f>Financials20263[[#This Row],[Jul AC]]-Financials20263[[#This Row],[Jul FC]]</f>
        <v>-2887.1666666666665</v>
      </c>
      <c r="BJ118" s="71">
        <f>Financials20263[[#This Row],[Aug AC]]-Financials20263[[#This Row],[Aug FC]]</f>
        <v>-2887.1666666666665</v>
      </c>
      <c r="BK118" s="71">
        <f>Financials20263[[#This Row],[Sep AC]]-Financials20263[[#This Row],[Sep FC]]</f>
        <v>-2887.1666666666665</v>
      </c>
      <c r="BL118" s="71">
        <f>Financials20263[[#This Row],[Oct AC]]-Financials20263[[#This Row],[Oct FC]]</f>
        <v>-2887.1666666666665</v>
      </c>
      <c r="BM118" s="71">
        <f>Financials20263[[#This Row],[Nov AC]]-Financials20263[[#This Row],[Nov FC]]</f>
        <v>-2887.1666666666665</v>
      </c>
      <c r="BN118" s="71">
        <f>Financials20263[[#This Row],[Dec AC]]-Financials20263[[#This Row],[Dec FC]]</f>
        <v>-2887.1666666666665</v>
      </c>
      <c r="BO118" s="71">
        <f>SUM(Financials20263[[#This Row],[Jan Opp/Risk]:[Dec Opp./Risk]])</f>
        <v>-32401.480000000003</v>
      </c>
      <c r="BP118" s="87" t="s">
        <v>575</v>
      </c>
      <c r="BQ118" s="47">
        <f>SUM(Financials20263[[#This Row],[Jan AC]:[May AC]])</f>
        <v>2244.52</v>
      </c>
      <c r="BR118" s="6">
        <f>Financials20263[[#This Row],[2026 (Actuals + Forecast)]]-Financials20263[[#This Row],[Jan-May Actuals]]-Financials20263[[#This Row],[Jun-Dec FC]]</f>
        <v>2887.1666666666679</v>
      </c>
      <c r="BS118" s="6">
        <f>Financials20263[[#This Row],[Jun-Dec FC]]+Financials20263[[#This Row],[Jan-May Forecast ]]</f>
        <v>23097.333333333336</v>
      </c>
      <c r="BT118" s="6">
        <f>SUM(Financials20263[[#This Row],[Jan FC]:[May FC]])</f>
        <v>14435.833333333332</v>
      </c>
      <c r="BU118" s="6">
        <f>Financials20263[[#This Row],[Jan-May Actuals]]+Financials20263[[#This Row],[Forecast Jun-Dec]]</f>
        <v>25341.853333333336</v>
      </c>
      <c r="BV118" s="6"/>
      <c r="BW118" s="6"/>
      <c r="BX118" s="6"/>
    </row>
    <row r="119" spans="1:76" x14ac:dyDescent="0.3">
      <c r="A119" s="22" t="s">
        <v>101</v>
      </c>
      <c r="B119" s="21" t="s">
        <v>70</v>
      </c>
      <c r="C119" s="21" t="s">
        <v>288</v>
      </c>
      <c r="D119" s="10" t="s">
        <v>17</v>
      </c>
      <c r="E119" s="7" t="s">
        <v>103</v>
      </c>
      <c r="F119" s="3" t="s">
        <v>104</v>
      </c>
      <c r="G119" s="3" t="s">
        <v>49</v>
      </c>
      <c r="H119" s="4">
        <v>46052</v>
      </c>
      <c r="I119" s="4">
        <v>46416</v>
      </c>
      <c r="J119" s="3" t="s">
        <v>379</v>
      </c>
      <c r="K119" s="3" t="str">
        <f t="shared" si="28"/>
        <v>Prj000350-Support - Infrastructure for Tech</v>
      </c>
      <c r="L119" s="21" t="s">
        <v>106</v>
      </c>
      <c r="M119" s="21" t="s">
        <v>3</v>
      </c>
      <c r="N119" s="21" t="s">
        <v>3</v>
      </c>
      <c r="O119" s="21"/>
      <c r="P119" s="21" t="s">
        <v>107</v>
      </c>
      <c r="Q119" s="21" t="s">
        <v>378</v>
      </c>
      <c r="R119" s="21" t="s">
        <v>378</v>
      </c>
      <c r="S119" s="21" t="s">
        <v>132</v>
      </c>
      <c r="T119" s="5">
        <v>0</v>
      </c>
      <c r="U119" s="15">
        <v>0</v>
      </c>
      <c r="V119" s="15">
        <v>81590</v>
      </c>
      <c r="W119" s="15">
        <f t="shared" si="29"/>
        <v>81589.55</v>
      </c>
      <c r="X119" s="15">
        <f t="shared" si="33"/>
        <v>-0.44999999999708962</v>
      </c>
      <c r="Y119" s="15">
        <f t="shared" si="30"/>
        <v>0</v>
      </c>
      <c r="Z119" s="15">
        <f>SUM(Financials20263[[#This Row],[2026 Opportunity]:[2026 Risk]])</f>
        <v>-0.44999999999708962</v>
      </c>
      <c r="AA119" s="3" t="s">
        <v>744</v>
      </c>
      <c r="AB119" s="52"/>
      <c r="AC119" s="52"/>
      <c r="AD119" s="52"/>
      <c r="AE119" s="52"/>
      <c r="AF119" s="52"/>
      <c r="AG119" s="52"/>
      <c r="AH119" s="52"/>
      <c r="AI119" s="52"/>
      <c r="AJ119" s="52"/>
      <c r="AK119" s="52"/>
      <c r="AL119" s="52"/>
      <c r="AM119" s="46">
        <v>60891</v>
      </c>
      <c r="AN119" s="52">
        <f>SUM(Financials20263[[#This Row],[Jan FC]:[Dec FC]])</f>
        <v>60891</v>
      </c>
      <c r="AO119" s="15">
        <f t="shared" si="31"/>
        <v>60891</v>
      </c>
      <c r="AP119" s="61">
        <v>0</v>
      </c>
      <c r="AQ119" s="61">
        <v>0</v>
      </c>
      <c r="AR119" s="61">
        <f>5153.97+1278.65+336.91+5114.71</f>
        <v>11884.240000000002</v>
      </c>
      <c r="AS119" s="61">
        <v>8814.31</v>
      </c>
      <c r="AT119" s="61">
        <v>0</v>
      </c>
      <c r="AU119" s="61">
        <v>7764.78</v>
      </c>
      <c r="AV119" s="61">
        <v>0</v>
      </c>
      <c r="AW119" s="61">
        <v>0</v>
      </c>
      <c r="AX119" s="61">
        <v>0</v>
      </c>
      <c r="AY119" s="61">
        <v>0</v>
      </c>
      <c r="AZ119" s="61">
        <v>0</v>
      </c>
      <c r="BA119" s="61">
        <v>0</v>
      </c>
      <c r="BB119" s="80">
        <f>SUM(Financials20263[[#This Row],[Jan AC]:[Dec AC]])</f>
        <v>28463.33</v>
      </c>
      <c r="BC119" s="71">
        <f>Financials20263[[#This Row],[Jan AC]]-Financials20263[[#This Row],[Jan FC]]</f>
        <v>0</v>
      </c>
      <c r="BD119" s="71">
        <f>Financials20263[[#This Row],[Feb AC]]-Financials20263[[#This Row],[Feb FC]]</f>
        <v>0</v>
      </c>
      <c r="BE119" s="71">
        <f>Financials20263[[#This Row],[Mar AC]]-Financials20263[[#This Row],[Mar FC]]</f>
        <v>11884.240000000002</v>
      </c>
      <c r="BF119" s="71">
        <f>Financials20263[[#This Row],[Apr AC]]-Financials20263[[#This Row],[Apr FC]]</f>
        <v>8814.31</v>
      </c>
      <c r="BG119" s="71">
        <f>Financials20263[[#This Row],[May AC]]-Financials20263[[#This Row],[May FC]]</f>
        <v>0</v>
      </c>
      <c r="BH119" s="71">
        <f>Financials20263[[#This Row],[Jun AC]]-Financials20263[[#This Row],[Jun FC]]</f>
        <v>7764.78</v>
      </c>
      <c r="BI119" s="71">
        <f>Financials20263[[#This Row],[Jul AC]]-Financials20263[[#This Row],[Jul FC]]</f>
        <v>0</v>
      </c>
      <c r="BJ119" s="71">
        <f>Financials20263[[#This Row],[Aug AC]]-Financials20263[[#This Row],[Aug FC]]</f>
        <v>0</v>
      </c>
      <c r="BK119" s="71">
        <f>Financials20263[[#This Row],[Sep AC]]-Financials20263[[#This Row],[Sep FC]]</f>
        <v>0</v>
      </c>
      <c r="BL119" s="71">
        <f>Financials20263[[#This Row],[Oct AC]]-Financials20263[[#This Row],[Oct FC]]</f>
        <v>0</v>
      </c>
      <c r="BM119" s="71">
        <f>Financials20263[[#This Row],[Nov AC]]-Financials20263[[#This Row],[Nov FC]]</f>
        <v>0</v>
      </c>
      <c r="BN119" s="71">
        <f>Financials20263[[#This Row],[Dec AC]]-Financials20263[[#This Row],[Dec FC]]</f>
        <v>-60891</v>
      </c>
      <c r="BO119" s="71">
        <f>SUM(Financials20263[[#This Row],[Jan Opp/Risk]:[Dec Opp./Risk]])</f>
        <v>-32427.67</v>
      </c>
      <c r="BP119" s="87" t="s">
        <v>654</v>
      </c>
      <c r="BQ119" s="47">
        <f>SUM(Financials20263[[#This Row],[Jan AC]:[May AC]])</f>
        <v>20698.550000000003</v>
      </c>
      <c r="BR119" s="6">
        <f>Financials20263[[#This Row],[2026 (Actuals + Forecast)]]-Financials20263[[#This Row],[Jan-May Actuals]]-Financials20263[[#This Row],[Jun-Dec FC]]</f>
        <v>0</v>
      </c>
      <c r="BS119" s="6">
        <f>Financials20263[[#This Row],[Jun-Dec FC]]+Financials20263[[#This Row],[Jan-May Forecast ]]</f>
        <v>60891</v>
      </c>
      <c r="BT119" s="6">
        <f>SUM(Financials20263[[#This Row],[Jan FC]:[May FC]])</f>
        <v>0</v>
      </c>
      <c r="BU119" s="6">
        <f>Financials20263[[#This Row],[Jan-May Actuals]]+Financials20263[[#This Row],[Forecast Jun-Dec]]</f>
        <v>81589.55</v>
      </c>
      <c r="BV119" s="6"/>
      <c r="BW119" s="6"/>
      <c r="BX119" s="6"/>
    </row>
    <row r="120" spans="1:76" x14ac:dyDescent="0.3">
      <c r="A120" s="22" t="s">
        <v>101</v>
      </c>
      <c r="B120" s="21" t="s">
        <v>70</v>
      </c>
      <c r="C120" s="21" t="s">
        <v>288</v>
      </c>
      <c r="D120" s="10" t="s">
        <v>17</v>
      </c>
      <c r="E120" s="7" t="s">
        <v>103</v>
      </c>
      <c r="F120" s="3" t="s">
        <v>104</v>
      </c>
      <c r="G120" s="3" t="s">
        <v>49</v>
      </c>
      <c r="H120" s="1" t="s">
        <v>142</v>
      </c>
      <c r="I120" s="1" t="s">
        <v>142</v>
      </c>
      <c r="J120" s="3" t="s">
        <v>380</v>
      </c>
      <c r="K120" s="3" t="str">
        <f t="shared" si="28"/>
        <v>Prj000350-Support - Infrastructure for Tech</v>
      </c>
      <c r="L120" s="21" t="s">
        <v>106</v>
      </c>
      <c r="M120" s="21" t="s">
        <v>4</v>
      </c>
      <c r="N120" s="21" t="s">
        <v>4</v>
      </c>
      <c r="O120" s="21" t="s">
        <v>220</v>
      </c>
      <c r="P120" s="21" t="s">
        <v>107</v>
      </c>
      <c r="Q120" s="21" t="s">
        <v>221</v>
      </c>
      <c r="R120" s="21" t="s">
        <v>221</v>
      </c>
      <c r="S120" s="21" t="s">
        <v>129</v>
      </c>
      <c r="T120" s="5">
        <v>211</v>
      </c>
      <c r="U120" s="15">
        <v>0</v>
      </c>
      <c r="V120" s="15">
        <v>0</v>
      </c>
      <c r="W120" s="15">
        <f t="shared" si="29"/>
        <v>139.94</v>
      </c>
      <c r="X120" s="15">
        <f t="shared" si="33"/>
        <v>0</v>
      </c>
      <c r="Y120" s="15">
        <f t="shared" si="30"/>
        <v>139.94</v>
      </c>
      <c r="Z120" s="15">
        <f>SUM(Financials20263[[#This Row],[2026 Opportunity]:[2026 Risk]])</f>
        <v>139.94</v>
      </c>
      <c r="AA120" s="3" t="s">
        <v>628</v>
      </c>
      <c r="AB120" s="52"/>
      <c r="AC120" s="52"/>
      <c r="AD120" s="52"/>
      <c r="AE120" s="52"/>
      <c r="AF120" s="52"/>
      <c r="AG120" s="52"/>
      <c r="AH120" s="52"/>
      <c r="AI120" s="52"/>
      <c r="AJ120" s="52"/>
      <c r="AK120" s="52"/>
      <c r="AL120" s="52"/>
      <c r="AM120" s="52"/>
      <c r="AN120" s="52">
        <f>SUM(Financials20263[[#This Row],[Jan FC]:[Dec FC]])</f>
        <v>0</v>
      </c>
      <c r="AO120" s="15">
        <f t="shared" si="31"/>
        <v>0</v>
      </c>
      <c r="AP120" s="61">
        <v>26.13</v>
      </c>
      <c r="AQ120" s="61">
        <v>24.41</v>
      </c>
      <c r="AR120" s="61">
        <v>23.21</v>
      </c>
      <c r="AS120" s="61">
        <f>22.11+21.28</f>
        <v>43.39</v>
      </c>
      <c r="AT120" s="61">
        <v>22.8</v>
      </c>
      <c r="AU120" s="61"/>
      <c r="AV120" s="61"/>
      <c r="AW120" s="61"/>
      <c r="AX120" s="61"/>
      <c r="AY120" s="61"/>
      <c r="AZ120" s="61"/>
      <c r="BA120" s="61"/>
      <c r="BB120" s="80">
        <f>SUM(Financials20263[[#This Row],[Jan AC]:[Dec AC]])</f>
        <v>139.94</v>
      </c>
      <c r="BC120" s="71">
        <f>Financials20263[[#This Row],[Jan AC]]-Financials20263[[#This Row],[Jan FC]]</f>
        <v>26.13</v>
      </c>
      <c r="BD120" s="71">
        <f>Financials20263[[#This Row],[Feb AC]]-Financials20263[[#This Row],[Feb FC]]</f>
        <v>24.41</v>
      </c>
      <c r="BE120" s="71">
        <f>Financials20263[[#This Row],[Mar AC]]-Financials20263[[#This Row],[Mar FC]]</f>
        <v>23.21</v>
      </c>
      <c r="BF120" s="71">
        <f>Financials20263[[#This Row],[Apr AC]]-Financials20263[[#This Row],[Apr FC]]</f>
        <v>43.39</v>
      </c>
      <c r="BG120" s="71">
        <f>Financials20263[[#This Row],[May AC]]-Financials20263[[#This Row],[May FC]]</f>
        <v>22.8</v>
      </c>
      <c r="BH120" s="71">
        <f>Financials20263[[#This Row],[Jun AC]]-Financials20263[[#This Row],[Jun FC]]</f>
        <v>0</v>
      </c>
      <c r="BI120" s="71">
        <f>Financials20263[[#This Row],[Jul AC]]-Financials20263[[#This Row],[Jul FC]]</f>
        <v>0</v>
      </c>
      <c r="BJ120" s="71">
        <f>Financials20263[[#This Row],[Aug AC]]-Financials20263[[#This Row],[Aug FC]]</f>
        <v>0</v>
      </c>
      <c r="BK120" s="71">
        <f>Financials20263[[#This Row],[Sep AC]]-Financials20263[[#This Row],[Sep FC]]</f>
        <v>0</v>
      </c>
      <c r="BL120" s="71">
        <f>Financials20263[[#This Row],[Oct AC]]-Financials20263[[#This Row],[Oct FC]]</f>
        <v>0</v>
      </c>
      <c r="BM120" s="71">
        <f>Financials20263[[#This Row],[Nov AC]]-Financials20263[[#This Row],[Nov FC]]</f>
        <v>0</v>
      </c>
      <c r="BN120" s="71">
        <f>Financials20263[[#This Row],[Dec AC]]-Financials20263[[#This Row],[Dec FC]]</f>
        <v>0</v>
      </c>
      <c r="BO120" s="71">
        <f>SUM(Financials20263[[#This Row],[Jan Opp/Risk]:[Dec Opp./Risk]])</f>
        <v>139.94</v>
      </c>
      <c r="BP120" s="87" t="s">
        <v>533</v>
      </c>
      <c r="BQ120" s="47">
        <f>SUM(Financials20263[[#This Row],[Jan AC]:[May AC]])</f>
        <v>139.94</v>
      </c>
      <c r="BR120" s="6">
        <f>Financials20263[[#This Row],[2026 (Actuals + Forecast)]]-Financials20263[[#This Row],[Jan-May Actuals]]-Financials20263[[#This Row],[Jun-Dec FC]]</f>
        <v>0</v>
      </c>
      <c r="BS120" s="6">
        <f>Financials20263[[#This Row],[Jun-Dec FC]]+Financials20263[[#This Row],[Jan-May Forecast ]]</f>
        <v>0</v>
      </c>
      <c r="BT120" s="6">
        <f>SUM(Financials20263[[#This Row],[Jan FC]:[May FC]])</f>
        <v>0</v>
      </c>
      <c r="BU120" s="6">
        <f>Financials20263[[#This Row],[Jan-May Actuals]]+Financials20263[[#This Row],[Forecast Jun-Dec]]</f>
        <v>139.94</v>
      </c>
      <c r="BV120" s="6"/>
      <c r="BW120" s="6"/>
      <c r="BX120" s="6"/>
    </row>
    <row r="121" spans="1:76" x14ac:dyDescent="0.3">
      <c r="A121" s="22" t="s">
        <v>157</v>
      </c>
      <c r="B121" s="21" t="s">
        <v>70</v>
      </c>
      <c r="C121" s="21" t="s">
        <v>288</v>
      </c>
      <c r="D121" s="10" t="s">
        <v>30</v>
      </c>
      <c r="E121" s="7" t="s">
        <v>193</v>
      </c>
      <c r="F121" s="3" t="s">
        <v>183</v>
      </c>
      <c r="G121" s="3" t="s">
        <v>48</v>
      </c>
      <c r="H121" s="4" t="s">
        <v>115</v>
      </c>
      <c r="I121" s="4" t="s">
        <v>115</v>
      </c>
      <c r="J121" s="3"/>
      <c r="K121" s="3" t="str">
        <f t="shared" si="28"/>
        <v>Prj000467-Support - Enterprise Tech Helpdesk</v>
      </c>
      <c r="L121" s="21" t="s">
        <v>106</v>
      </c>
      <c r="M121" s="21" t="s">
        <v>3</v>
      </c>
      <c r="N121" s="21" t="s">
        <v>3</v>
      </c>
      <c r="O121" s="21"/>
      <c r="P121" s="21" t="s">
        <v>107</v>
      </c>
      <c r="Q121" s="21" t="s">
        <v>378</v>
      </c>
      <c r="R121" s="21" t="s">
        <v>378</v>
      </c>
      <c r="S121" s="21" t="s">
        <v>154</v>
      </c>
      <c r="T121" s="5">
        <v>77705</v>
      </c>
      <c r="U121" s="15">
        <v>81590</v>
      </c>
      <c r="V121" s="15">
        <f>81590*0</f>
        <v>0</v>
      </c>
      <c r="W121" s="15">
        <f t="shared" si="29"/>
        <v>0</v>
      </c>
      <c r="X121" s="15">
        <f t="shared" si="33"/>
        <v>0</v>
      </c>
      <c r="Y121" s="15">
        <f t="shared" si="30"/>
        <v>0</v>
      </c>
      <c r="Z121" s="15">
        <f>SUM(Financials20263[[#This Row],[2026 Opportunity]:[2026 Risk]])</f>
        <v>0</v>
      </c>
      <c r="AA121" s="14" t="s">
        <v>745</v>
      </c>
      <c r="AB121" s="52"/>
      <c r="AC121" s="52"/>
      <c r="AD121" s="52"/>
      <c r="AE121" s="52"/>
      <c r="AF121" s="52"/>
      <c r="AG121" s="52"/>
      <c r="AH121" s="52"/>
      <c r="AI121" s="52"/>
      <c r="AJ121" s="52"/>
      <c r="AK121" s="52"/>
      <c r="AL121" s="52"/>
      <c r="AM121" s="52"/>
      <c r="AN121" s="52">
        <f>SUM(Financials20263[[#This Row],[Jan FC]:[Dec FC]])</f>
        <v>0</v>
      </c>
      <c r="AO121" s="15">
        <f t="shared" si="31"/>
        <v>0</v>
      </c>
      <c r="AP121" s="61"/>
      <c r="AQ121" s="61"/>
      <c r="AR121" s="61"/>
      <c r="AS121" s="61"/>
      <c r="AT121" s="61"/>
      <c r="AU121" s="61"/>
      <c r="AV121" s="61"/>
      <c r="AW121" s="61"/>
      <c r="AX121" s="61"/>
      <c r="AY121" s="61"/>
      <c r="AZ121" s="61"/>
      <c r="BA121" s="61"/>
      <c r="BB121" s="80">
        <f>SUM(Financials20263[[#This Row],[Jan AC]:[Dec AC]])</f>
        <v>0</v>
      </c>
      <c r="BC121" s="71">
        <f>Financials20263[[#This Row],[Jan AC]]-Financials20263[[#This Row],[Jan FC]]</f>
        <v>0</v>
      </c>
      <c r="BD121" s="71">
        <f>Financials20263[[#This Row],[Feb AC]]-Financials20263[[#This Row],[Feb FC]]</f>
        <v>0</v>
      </c>
      <c r="BE121" s="71">
        <f>Financials20263[[#This Row],[Mar AC]]-Financials20263[[#This Row],[Mar FC]]</f>
        <v>0</v>
      </c>
      <c r="BF121" s="71">
        <f>Financials20263[[#This Row],[Apr AC]]-Financials20263[[#This Row],[Apr FC]]</f>
        <v>0</v>
      </c>
      <c r="BG121" s="71">
        <f>Financials20263[[#This Row],[May AC]]-Financials20263[[#This Row],[May FC]]</f>
        <v>0</v>
      </c>
      <c r="BH121" s="71">
        <f>Financials20263[[#This Row],[Jun AC]]-Financials20263[[#This Row],[Jun FC]]</f>
        <v>0</v>
      </c>
      <c r="BI121" s="71">
        <f>Financials20263[[#This Row],[Jul AC]]-Financials20263[[#This Row],[Jul FC]]</f>
        <v>0</v>
      </c>
      <c r="BJ121" s="71">
        <f>Financials20263[[#This Row],[Aug AC]]-Financials20263[[#This Row],[Aug FC]]</f>
        <v>0</v>
      </c>
      <c r="BK121" s="71">
        <f>Financials20263[[#This Row],[Sep AC]]-Financials20263[[#This Row],[Sep FC]]</f>
        <v>0</v>
      </c>
      <c r="BL121" s="71">
        <f>Financials20263[[#This Row],[Oct AC]]-Financials20263[[#This Row],[Oct FC]]</f>
        <v>0</v>
      </c>
      <c r="BM121" s="71">
        <f>Financials20263[[#This Row],[Nov AC]]-Financials20263[[#This Row],[Nov FC]]</f>
        <v>0</v>
      </c>
      <c r="BN121" s="71">
        <f>Financials20263[[#This Row],[Dec AC]]-Financials20263[[#This Row],[Dec FC]]</f>
        <v>0</v>
      </c>
      <c r="BO121" s="71">
        <f>SUM(Financials20263[[#This Row],[Jan Opp/Risk]:[Dec Opp./Risk]])</f>
        <v>0</v>
      </c>
      <c r="BP121" s="87"/>
      <c r="BQ121" s="47">
        <f>SUM(Financials20263[[#This Row],[Jan AC]:[May AC]])</f>
        <v>0</v>
      </c>
      <c r="BR121" s="6">
        <f>Financials20263[[#This Row],[2026 (Actuals + Forecast)]]-Financials20263[[#This Row],[Jan-May Actuals]]-Financials20263[[#This Row],[Jun-Dec FC]]</f>
        <v>0</v>
      </c>
      <c r="BS121" s="6">
        <f>Financials20263[[#This Row],[Jun-Dec FC]]+Financials20263[[#This Row],[Jan-May Forecast ]]</f>
        <v>0</v>
      </c>
      <c r="BT121" s="6">
        <f>SUM(Financials20263[[#This Row],[Jan FC]:[May FC]])</f>
        <v>0</v>
      </c>
      <c r="BU121" s="6">
        <f>Financials20263[[#This Row],[Jan-May Actuals]]+Financials20263[[#This Row],[Forecast Jun-Dec]]</f>
        <v>0</v>
      </c>
      <c r="BV121" s="6"/>
      <c r="BW121" s="6"/>
      <c r="BX121" s="6"/>
    </row>
    <row r="122" spans="1:76" x14ac:dyDescent="0.3">
      <c r="A122" s="22" t="s">
        <v>101</v>
      </c>
      <c r="B122" s="21" t="s">
        <v>381</v>
      </c>
      <c r="C122" s="21"/>
      <c r="D122" s="10" t="s">
        <v>10</v>
      </c>
      <c r="E122" s="7" t="s">
        <v>382</v>
      </c>
      <c r="F122" s="3" t="s">
        <v>141</v>
      </c>
      <c r="G122" s="3" t="s">
        <v>52</v>
      </c>
      <c r="H122" s="4">
        <v>45931</v>
      </c>
      <c r="I122" s="4">
        <v>46295</v>
      </c>
      <c r="J122" s="3"/>
      <c r="K122" s="3" t="str">
        <f t="shared" si="28"/>
        <v>Prj000228-Implement - Portfolio Optimization Tool for LC</v>
      </c>
      <c r="L122" s="21" t="s">
        <v>106</v>
      </c>
      <c r="M122" s="21" t="s">
        <v>7</v>
      </c>
      <c r="N122" s="21" t="s">
        <v>7</v>
      </c>
      <c r="O122" s="21"/>
      <c r="P122" s="21" t="s">
        <v>107</v>
      </c>
      <c r="Q122" s="21" t="s">
        <v>201</v>
      </c>
      <c r="R122" s="21" t="s">
        <v>201</v>
      </c>
      <c r="S122" s="21" t="s">
        <v>109</v>
      </c>
      <c r="T122" s="5">
        <v>37500</v>
      </c>
      <c r="U122" s="5">
        <v>160000</v>
      </c>
      <c r="V122" s="5">
        <v>160000</v>
      </c>
      <c r="W122" s="15">
        <f t="shared" si="29"/>
        <v>160000</v>
      </c>
      <c r="X122" s="15">
        <f t="shared" si="33"/>
        <v>0</v>
      </c>
      <c r="Y122" s="15">
        <f t="shared" si="30"/>
        <v>0</v>
      </c>
      <c r="Z122" s="15">
        <f>SUM(Financials20263[[#This Row],[2026 Opportunity]:[2026 Risk]])</f>
        <v>0</v>
      </c>
      <c r="AA122" s="3" t="s">
        <v>383</v>
      </c>
      <c r="AB122" s="52">
        <f t="shared" ref="AB122:AJ122" si="45">150000/12</f>
        <v>12500</v>
      </c>
      <c r="AC122" s="52">
        <f t="shared" si="45"/>
        <v>12500</v>
      </c>
      <c r="AD122" s="52">
        <f t="shared" si="45"/>
        <v>12500</v>
      </c>
      <c r="AE122" s="52">
        <f t="shared" si="45"/>
        <v>12500</v>
      </c>
      <c r="AF122" s="52">
        <f t="shared" si="45"/>
        <v>12500</v>
      </c>
      <c r="AG122" s="52">
        <f t="shared" si="45"/>
        <v>12500</v>
      </c>
      <c r="AH122" s="52">
        <f t="shared" si="45"/>
        <v>12500</v>
      </c>
      <c r="AI122" s="52">
        <f t="shared" si="45"/>
        <v>12500</v>
      </c>
      <c r="AJ122" s="52">
        <f t="shared" si="45"/>
        <v>12500</v>
      </c>
      <c r="AK122" s="52">
        <v>15833</v>
      </c>
      <c r="AL122" s="52">
        <v>15833</v>
      </c>
      <c r="AM122" s="52">
        <v>15834</v>
      </c>
      <c r="AN122" s="52">
        <f>SUM(Financials20263[[#This Row],[Jan FC]:[Dec FC]])</f>
        <v>160000</v>
      </c>
      <c r="AO122" s="15">
        <f t="shared" si="31"/>
        <v>97500</v>
      </c>
      <c r="AP122" s="61">
        <f t="shared" ref="AP122:AX122" si="46">150000/12</f>
        <v>12500</v>
      </c>
      <c r="AQ122" s="61">
        <f t="shared" si="46"/>
        <v>12500</v>
      </c>
      <c r="AR122" s="61">
        <f t="shared" si="46"/>
        <v>12500</v>
      </c>
      <c r="AS122" s="61">
        <f t="shared" si="46"/>
        <v>12500</v>
      </c>
      <c r="AT122" s="61">
        <f t="shared" si="46"/>
        <v>12500</v>
      </c>
      <c r="AU122" s="61">
        <f t="shared" si="46"/>
        <v>12500</v>
      </c>
      <c r="AV122" s="61">
        <f t="shared" si="46"/>
        <v>12500</v>
      </c>
      <c r="AW122" s="61">
        <f t="shared" si="46"/>
        <v>12500</v>
      </c>
      <c r="AX122" s="61">
        <f t="shared" si="46"/>
        <v>12500</v>
      </c>
      <c r="AY122" s="61"/>
      <c r="AZ122" s="61"/>
      <c r="BA122" s="61"/>
      <c r="BB122" s="80">
        <f>SUM(Financials20263[[#This Row],[Jan AC]:[Dec AC]])</f>
        <v>112500</v>
      </c>
      <c r="BC122" s="71">
        <f>Financials20263[[#This Row],[Jan AC]]-Financials20263[[#This Row],[Jan FC]]</f>
        <v>0</v>
      </c>
      <c r="BD122" s="71">
        <f>Financials20263[[#This Row],[Feb AC]]-Financials20263[[#This Row],[Feb FC]]</f>
        <v>0</v>
      </c>
      <c r="BE122" s="71">
        <f>Financials20263[[#This Row],[Mar AC]]-Financials20263[[#This Row],[Mar FC]]</f>
        <v>0</v>
      </c>
      <c r="BF122" s="71">
        <f>Financials20263[[#This Row],[Apr AC]]-Financials20263[[#This Row],[Apr FC]]</f>
        <v>0</v>
      </c>
      <c r="BG122" s="71">
        <f>Financials20263[[#This Row],[May AC]]-Financials20263[[#This Row],[May FC]]</f>
        <v>0</v>
      </c>
      <c r="BH122" s="71">
        <f>Financials20263[[#This Row],[Jun AC]]-Financials20263[[#This Row],[Jun FC]]</f>
        <v>0</v>
      </c>
      <c r="BI122" s="71">
        <f>Financials20263[[#This Row],[Jul AC]]-Financials20263[[#This Row],[Jul FC]]</f>
        <v>0</v>
      </c>
      <c r="BJ122" s="71">
        <f>Financials20263[[#This Row],[Aug AC]]-Financials20263[[#This Row],[Aug FC]]</f>
        <v>0</v>
      </c>
      <c r="BK122" s="71">
        <f>Financials20263[[#This Row],[Sep AC]]-Financials20263[[#This Row],[Sep FC]]</f>
        <v>0</v>
      </c>
      <c r="BL122" s="71">
        <f>Financials20263[[#This Row],[Oct AC]]-Financials20263[[#This Row],[Oct FC]]</f>
        <v>-15833</v>
      </c>
      <c r="BM122" s="71">
        <f>Financials20263[[#This Row],[Nov AC]]-Financials20263[[#This Row],[Nov FC]]</f>
        <v>-15833</v>
      </c>
      <c r="BN122" s="71">
        <f>Financials20263[[#This Row],[Dec AC]]-Financials20263[[#This Row],[Dec FC]]</f>
        <v>-15834</v>
      </c>
      <c r="BO122" s="71">
        <f>SUM(Financials20263[[#This Row],[Jan Opp/Risk]:[Dec Opp./Risk]])</f>
        <v>-47500</v>
      </c>
      <c r="BP122" s="87"/>
      <c r="BQ122" s="47">
        <f>SUM(Financials20263[[#This Row],[Jan AC]:[May AC]])</f>
        <v>62500</v>
      </c>
      <c r="BR122" s="6">
        <f>Financials20263[[#This Row],[2026 (Actuals + Forecast)]]-Financials20263[[#This Row],[Jan-May Actuals]]-Financials20263[[#This Row],[Jun-Dec FC]]</f>
        <v>0</v>
      </c>
      <c r="BS122" s="6">
        <f>Financials20263[[#This Row],[Jun-Dec FC]]+Financials20263[[#This Row],[Jan-May Forecast ]]</f>
        <v>97500</v>
      </c>
      <c r="BT122" s="6">
        <f>SUM(Financials20263[[#This Row],[Jan FC]:[May FC]])</f>
        <v>62500</v>
      </c>
      <c r="BU122" s="6">
        <f>Financials20263[[#This Row],[Jan-May Actuals]]+Financials20263[[#This Row],[Forecast Jun-Dec]]</f>
        <v>160000</v>
      </c>
      <c r="BV122" s="6"/>
      <c r="BW122" s="6"/>
      <c r="BX122" s="6"/>
    </row>
    <row r="123" spans="1:76" x14ac:dyDescent="0.3">
      <c r="A123" s="22" t="s">
        <v>101</v>
      </c>
      <c r="B123" s="21" t="s">
        <v>181</v>
      </c>
      <c r="C123" s="21"/>
      <c r="D123" s="10" t="s">
        <v>38</v>
      </c>
      <c r="E123" s="7" t="s">
        <v>384</v>
      </c>
      <c r="F123" s="3" t="s">
        <v>183</v>
      </c>
      <c r="G123" s="3" t="s">
        <v>51</v>
      </c>
      <c r="H123" s="4"/>
      <c r="I123" s="4"/>
      <c r="J123" s="3"/>
      <c r="K123" s="3" t="str">
        <f t="shared" si="28"/>
        <v>Prj000556-Implement - QA CoE to Additional Platforms</v>
      </c>
      <c r="L123" s="21" t="s">
        <v>124</v>
      </c>
      <c r="M123" s="21" t="s">
        <v>2</v>
      </c>
      <c r="N123" s="21" t="s">
        <v>341</v>
      </c>
      <c r="O123" s="21"/>
      <c r="P123" s="21" t="s">
        <v>126</v>
      </c>
      <c r="Q123" s="21" t="s">
        <v>127</v>
      </c>
      <c r="R123" s="21" t="s">
        <v>128</v>
      </c>
      <c r="S123" s="3" t="s">
        <v>385</v>
      </c>
      <c r="T123" s="15">
        <v>0</v>
      </c>
      <c r="U123" s="15">
        <v>250000</v>
      </c>
      <c r="V123" s="15">
        <v>250000</v>
      </c>
      <c r="W123" s="15">
        <f t="shared" si="29"/>
        <v>150000</v>
      </c>
      <c r="X123" s="15">
        <f t="shared" si="33"/>
        <v>-100000</v>
      </c>
      <c r="Y123" s="15">
        <f t="shared" si="30"/>
        <v>0</v>
      </c>
      <c r="Z123" s="15">
        <f>SUM(Financials20263[[#This Row],[2026 Opportunity]:[2026 Risk]])</f>
        <v>-100000</v>
      </c>
      <c r="AA123" s="3" t="s">
        <v>385</v>
      </c>
      <c r="AB123" s="53"/>
      <c r="AC123" s="53"/>
      <c r="AD123" s="53"/>
      <c r="AE123" s="53"/>
      <c r="AF123" s="53"/>
      <c r="AG123" s="53"/>
      <c r="AH123" s="53"/>
      <c r="AI123" s="53"/>
      <c r="AJ123" s="53"/>
      <c r="AK123" s="53"/>
      <c r="AL123" s="53"/>
      <c r="AM123" s="136">
        <v>150000</v>
      </c>
      <c r="AN123" s="76">
        <f>SUM(Financials20263[[#This Row],[Jan FC]:[Dec FC]])</f>
        <v>150000</v>
      </c>
      <c r="AO123" s="15">
        <f t="shared" si="31"/>
        <v>150000</v>
      </c>
      <c r="AP123" s="62"/>
      <c r="AQ123" s="62"/>
      <c r="AR123" s="62"/>
      <c r="AS123" s="62"/>
      <c r="AT123" s="62"/>
      <c r="AU123" s="62"/>
      <c r="AV123" s="62"/>
      <c r="AW123" s="62"/>
      <c r="AX123" s="62"/>
      <c r="AY123" s="62"/>
      <c r="AZ123" s="62"/>
      <c r="BA123" s="62"/>
      <c r="BB123" s="81">
        <f>SUM(Financials20263[[#This Row],[Jan AC]:[Dec AC]])</f>
        <v>0</v>
      </c>
      <c r="BC123" s="71">
        <f>Financials20263[[#This Row],[Jan AC]]-Financials20263[[#This Row],[Jan FC]]</f>
        <v>0</v>
      </c>
      <c r="BD123" s="71">
        <f>Financials20263[[#This Row],[Feb AC]]-Financials20263[[#This Row],[Feb FC]]</f>
        <v>0</v>
      </c>
      <c r="BE123" s="71">
        <f>Financials20263[[#This Row],[Mar AC]]-Financials20263[[#This Row],[Mar FC]]</f>
        <v>0</v>
      </c>
      <c r="BF123" s="71">
        <f>Financials20263[[#This Row],[Apr AC]]-Financials20263[[#This Row],[Apr FC]]</f>
        <v>0</v>
      </c>
      <c r="BG123" s="71">
        <f>Financials20263[[#This Row],[May AC]]-Financials20263[[#This Row],[May FC]]</f>
        <v>0</v>
      </c>
      <c r="BH123" s="71">
        <f>Financials20263[[#This Row],[Jun AC]]-Financials20263[[#This Row],[Jun FC]]</f>
        <v>0</v>
      </c>
      <c r="BI123" s="71">
        <f>Financials20263[[#This Row],[Jul AC]]-Financials20263[[#This Row],[Jul FC]]</f>
        <v>0</v>
      </c>
      <c r="BJ123" s="71">
        <f>Financials20263[[#This Row],[Aug AC]]-Financials20263[[#This Row],[Aug FC]]</f>
        <v>0</v>
      </c>
      <c r="BK123" s="71">
        <f>Financials20263[[#This Row],[Sep AC]]-Financials20263[[#This Row],[Sep FC]]</f>
        <v>0</v>
      </c>
      <c r="BL123" s="71">
        <f>Financials20263[[#This Row],[Oct AC]]-Financials20263[[#This Row],[Oct FC]]</f>
        <v>0</v>
      </c>
      <c r="BM123" s="71">
        <f>Financials20263[[#This Row],[Nov AC]]-Financials20263[[#This Row],[Nov FC]]</f>
        <v>0</v>
      </c>
      <c r="BN123" s="71">
        <f>Financials20263[[#This Row],[Dec AC]]-Financials20263[[#This Row],[Dec FC]]</f>
        <v>-150000</v>
      </c>
      <c r="BO123" s="71">
        <f>SUM(Financials20263[[#This Row],[Jan Opp/Risk]:[Dec Opp./Risk]])</f>
        <v>-150000</v>
      </c>
      <c r="BP123" s="87" t="s">
        <v>623</v>
      </c>
      <c r="BQ123" s="47">
        <f>SUM(Financials20263[[#This Row],[Jan AC]:[May AC]])</f>
        <v>0</v>
      </c>
      <c r="BR123" s="6">
        <f>Financials20263[[#This Row],[2026 (Actuals + Forecast)]]-Financials20263[[#This Row],[Jan-May Actuals]]-Financials20263[[#This Row],[Jun-Dec FC]]</f>
        <v>0</v>
      </c>
      <c r="BS123" s="6">
        <f>Financials20263[[#This Row],[Jun-Dec FC]]+Financials20263[[#This Row],[Jan-May Forecast ]]</f>
        <v>150000</v>
      </c>
      <c r="BT123" s="6">
        <f>SUM(Financials20263[[#This Row],[Jan FC]:[May FC]])</f>
        <v>0</v>
      </c>
      <c r="BU123" s="6">
        <f>Financials20263[[#This Row],[Jan-May Actuals]]+Financials20263[[#This Row],[Forecast Jun-Dec]]</f>
        <v>150000</v>
      </c>
      <c r="BV123" s="6" t="s">
        <v>751</v>
      </c>
      <c r="BW123" s="6"/>
      <c r="BX123" s="6"/>
    </row>
    <row r="124" spans="1:76" x14ac:dyDescent="0.3">
      <c r="A124" s="22" t="s">
        <v>101</v>
      </c>
      <c r="B124" s="21" t="s">
        <v>181</v>
      </c>
      <c r="C124" s="21"/>
      <c r="D124" s="10" t="s">
        <v>18</v>
      </c>
      <c r="E124" s="7" t="s">
        <v>386</v>
      </c>
      <c r="F124" s="3" t="s">
        <v>183</v>
      </c>
      <c r="G124" s="3" t="s">
        <v>48</v>
      </c>
      <c r="H124" s="4"/>
      <c r="I124" s="4"/>
      <c r="J124" s="3"/>
      <c r="K124" s="3" t="str">
        <f t="shared" si="28"/>
        <v>Prj000353-Implement - L1/L2 CoE for Additional Platforms</v>
      </c>
      <c r="L124" s="21" t="s">
        <v>124</v>
      </c>
      <c r="M124" s="21" t="s">
        <v>5</v>
      </c>
      <c r="N124" s="21" t="s">
        <v>125</v>
      </c>
      <c r="O124" s="21"/>
      <c r="P124" s="21" t="s">
        <v>126</v>
      </c>
      <c r="Q124" s="21" t="s">
        <v>127</v>
      </c>
      <c r="R124" s="21" t="s">
        <v>128</v>
      </c>
      <c r="S124" s="3" t="s">
        <v>385</v>
      </c>
      <c r="T124" s="5">
        <v>0</v>
      </c>
      <c r="U124" s="5">
        <v>165000</v>
      </c>
      <c r="V124" s="5">
        <f>165000-95195</f>
        <v>69805</v>
      </c>
      <c r="W124" s="15">
        <f t="shared" si="29"/>
        <v>0</v>
      </c>
      <c r="X124" s="15">
        <f t="shared" si="33"/>
        <v>-69805</v>
      </c>
      <c r="Y124" s="15">
        <f t="shared" si="30"/>
        <v>0</v>
      </c>
      <c r="Z124" s="15">
        <f>SUM(Financials20263[[#This Row],[2026 Opportunity]:[2026 Risk]])</f>
        <v>-69805</v>
      </c>
      <c r="AA124" s="3" t="s">
        <v>743</v>
      </c>
      <c r="AB124" s="52"/>
      <c r="AC124" s="52"/>
      <c r="AD124" s="52"/>
      <c r="AE124" s="52"/>
      <c r="AF124" s="52"/>
      <c r="AG124" s="52"/>
      <c r="AH124" s="52"/>
      <c r="AI124" s="52"/>
      <c r="AJ124" s="52"/>
      <c r="AK124" s="52"/>
      <c r="AL124" s="52"/>
      <c r="AM124" s="46">
        <v>0</v>
      </c>
      <c r="AN124" s="52">
        <f>SUM(Financials20263[[#This Row],[Jan FC]:[Dec FC]])</f>
        <v>0</v>
      </c>
      <c r="AO124" s="15">
        <f t="shared" si="31"/>
        <v>0</v>
      </c>
      <c r="AP124" s="61"/>
      <c r="AQ124" s="61"/>
      <c r="AR124" s="61"/>
      <c r="AS124" s="61"/>
      <c r="AT124" s="61"/>
      <c r="AU124" s="61"/>
      <c r="AV124" s="61"/>
      <c r="AW124" s="61"/>
      <c r="AX124" s="61"/>
      <c r="AY124" s="61"/>
      <c r="AZ124" s="61"/>
      <c r="BA124" s="61"/>
      <c r="BB124" s="80">
        <f>SUM(Financials20263[[#This Row],[Jan AC]:[Dec AC]])</f>
        <v>0</v>
      </c>
      <c r="BC124" s="71">
        <f>Financials20263[[#This Row],[Jan AC]]-Financials20263[[#This Row],[Jan FC]]</f>
        <v>0</v>
      </c>
      <c r="BD124" s="71">
        <f>Financials20263[[#This Row],[Feb AC]]-Financials20263[[#This Row],[Feb FC]]</f>
        <v>0</v>
      </c>
      <c r="BE124" s="71">
        <f>Financials20263[[#This Row],[Mar AC]]-Financials20263[[#This Row],[Mar FC]]</f>
        <v>0</v>
      </c>
      <c r="BF124" s="71">
        <f>Financials20263[[#This Row],[Apr AC]]-Financials20263[[#This Row],[Apr FC]]</f>
        <v>0</v>
      </c>
      <c r="BG124" s="71">
        <f>Financials20263[[#This Row],[May AC]]-Financials20263[[#This Row],[May FC]]</f>
        <v>0</v>
      </c>
      <c r="BH124" s="71">
        <f>Financials20263[[#This Row],[Jun AC]]-Financials20263[[#This Row],[Jun FC]]</f>
        <v>0</v>
      </c>
      <c r="BI124" s="71">
        <f>Financials20263[[#This Row],[Jul AC]]-Financials20263[[#This Row],[Jul FC]]</f>
        <v>0</v>
      </c>
      <c r="BJ124" s="71">
        <f>Financials20263[[#This Row],[Aug AC]]-Financials20263[[#This Row],[Aug FC]]</f>
        <v>0</v>
      </c>
      <c r="BK124" s="71">
        <f>Financials20263[[#This Row],[Sep AC]]-Financials20263[[#This Row],[Sep FC]]</f>
        <v>0</v>
      </c>
      <c r="BL124" s="71">
        <f>Financials20263[[#This Row],[Oct AC]]-Financials20263[[#This Row],[Oct FC]]</f>
        <v>0</v>
      </c>
      <c r="BM124" s="71">
        <f>Financials20263[[#This Row],[Nov AC]]-Financials20263[[#This Row],[Nov FC]]</f>
        <v>0</v>
      </c>
      <c r="BN124" s="71">
        <f>Financials20263[[#This Row],[Dec AC]]-Financials20263[[#This Row],[Dec FC]]</f>
        <v>0</v>
      </c>
      <c r="BO124" s="71">
        <f>SUM(Financials20263[[#This Row],[Jan Opp/Risk]:[Dec Opp./Risk]])</f>
        <v>0</v>
      </c>
      <c r="BP124" s="87" t="s">
        <v>623</v>
      </c>
      <c r="BQ124" s="47">
        <f>SUM(Financials20263[[#This Row],[Jan AC]:[May AC]])</f>
        <v>0</v>
      </c>
      <c r="BR124" s="6">
        <f>Financials20263[[#This Row],[2026 (Actuals + Forecast)]]-Financials20263[[#This Row],[Jan-May Actuals]]-Financials20263[[#This Row],[Jun-Dec FC]]</f>
        <v>0</v>
      </c>
      <c r="BS124" s="6">
        <f>Financials20263[[#This Row],[Jun-Dec FC]]+Financials20263[[#This Row],[Jan-May Forecast ]]</f>
        <v>0</v>
      </c>
      <c r="BT124" s="6">
        <f>SUM(Financials20263[[#This Row],[Jan FC]:[May FC]])</f>
        <v>0</v>
      </c>
      <c r="BU124" s="6">
        <f>Financials20263[[#This Row],[Jan-May Actuals]]+Financials20263[[#This Row],[Forecast Jun-Dec]]</f>
        <v>0</v>
      </c>
      <c r="BV124" s="6"/>
      <c r="BW124" s="6"/>
      <c r="BX124" s="6"/>
    </row>
    <row r="125" spans="1:76" x14ac:dyDescent="0.3">
      <c r="A125" s="22" t="s">
        <v>101</v>
      </c>
      <c r="B125" s="21" t="s">
        <v>56</v>
      </c>
      <c r="C125" s="21" t="s">
        <v>203</v>
      </c>
      <c r="D125" s="10" t="s">
        <v>36</v>
      </c>
      <c r="E125" s="7" t="s">
        <v>387</v>
      </c>
      <c r="F125" s="3" t="s">
        <v>205</v>
      </c>
      <c r="G125" s="3" t="s">
        <v>50</v>
      </c>
      <c r="H125" s="4"/>
      <c r="I125" s="4"/>
      <c r="J125" s="3"/>
      <c r="K125" s="3" t="str">
        <f t="shared" si="28"/>
        <v>Prj000489-Implement - Strategic Modules for LIQ</v>
      </c>
      <c r="L125" s="21" t="s">
        <v>124</v>
      </c>
      <c r="M125" s="21" t="s">
        <v>2</v>
      </c>
      <c r="N125" s="21" t="s">
        <v>341</v>
      </c>
      <c r="O125" s="21"/>
      <c r="P125" s="21" t="s">
        <v>107</v>
      </c>
      <c r="Q125" s="21" t="s">
        <v>134</v>
      </c>
      <c r="R125" s="21" t="s">
        <v>128</v>
      </c>
      <c r="S125" s="3" t="s">
        <v>385</v>
      </c>
      <c r="T125" s="5">
        <v>0</v>
      </c>
      <c r="U125" s="5">
        <v>50000</v>
      </c>
      <c r="V125" s="5">
        <v>50000</v>
      </c>
      <c r="W125" s="15">
        <f t="shared" si="29"/>
        <v>0</v>
      </c>
      <c r="X125" s="15">
        <f t="shared" si="33"/>
        <v>-50000</v>
      </c>
      <c r="Y125" s="15">
        <f t="shared" si="30"/>
        <v>0</v>
      </c>
      <c r="Z125" s="15">
        <f>SUM(Financials20263[[#This Row],[2026 Opportunity]:[2026 Risk]])</f>
        <v>-50000</v>
      </c>
      <c r="AA125" s="3" t="s">
        <v>388</v>
      </c>
      <c r="AB125" s="52"/>
      <c r="AC125" s="52"/>
      <c r="AD125" s="52"/>
      <c r="AE125" s="52"/>
      <c r="AF125" s="52"/>
      <c r="AG125" s="52"/>
      <c r="AH125" s="52"/>
      <c r="AI125" s="52"/>
      <c r="AJ125" s="52"/>
      <c r="AK125" s="52"/>
      <c r="AL125" s="52"/>
      <c r="AM125" s="52"/>
      <c r="AN125" s="52">
        <f>SUM(Financials20263[[#This Row],[Jan FC]:[Dec FC]])</f>
        <v>0</v>
      </c>
      <c r="AO125" s="15">
        <f t="shared" si="31"/>
        <v>0</v>
      </c>
      <c r="AP125" s="61"/>
      <c r="AQ125" s="61"/>
      <c r="AR125" s="61"/>
      <c r="AS125" s="61"/>
      <c r="AT125" s="61"/>
      <c r="AU125" s="61"/>
      <c r="AV125" s="61"/>
      <c r="AW125" s="61"/>
      <c r="AX125" s="61"/>
      <c r="AY125" s="61"/>
      <c r="AZ125" s="61"/>
      <c r="BA125" s="61"/>
      <c r="BB125" s="80">
        <f>SUM(Financials20263[[#This Row],[Jan AC]:[Dec AC]])</f>
        <v>0</v>
      </c>
      <c r="BC125" s="71">
        <f>Financials20263[[#This Row],[Jan AC]]-Financials20263[[#This Row],[Jan FC]]</f>
        <v>0</v>
      </c>
      <c r="BD125" s="71">
        <f>Financials20263[[#This Row],[Feb AC]]-Financials20263[[#This Row],[Feb FC]]</f>
        <v>0</v>
      </c>
      <c r="BE125" s="71">
        <f>Financials20263[[#This Row],[Mar AC]]-Financials20263[[#This Row],[Mar FC]]</f>
        <v>0</v>
      </c>
      <c r="BF125" s="71">
        <f>Financials20263[[#This Row],[Apr AC]]-Financials20263[[#This Row],[Apr FC]]</f>
        <v>0</v>
      </c>
      <c r="BG125" s="71">
        <f>Financials20263[[#This Row],[May AC]]-Financials20263[[#This Row],[May FC]]</f>
        <v>0</v>
      </c>
      <c r="BH125" s="71">
        <f>Financials20263[[#This Row],[Jun AC]]-Financials20263[[#This Row],[Jun FC]]</f>
        <v>0</v>
      </c>
      <c r="BI125" s="71">
        <f>Financials20263[[#This Row],[Jul AC]]-Financials20263[[#This Row],[Jul FC]]</f>
        <v>0</v>
      </c>
      <c r="BJ125" s="71">
        <f>Financials20263[[#This Row],[Aug AC]]-Financials20263[[#This Row],[Aug FC]]</f>
        <v>0</v>
      </c>
      <c r="BK125" s="71">
        <f>Financials20263[[#This Row],[Sep AC]]-Financials20263[[#This Row],[Sep FC]]</f>
        <v>0</v>
      </c>
      <c r="BL125" s="71">
        <f>Financials20263[[#This Row],[Oct AC]]-Financials20263[[#This Row],[Oct FC]]</f>
        <v>0</v>
      </c>
      <c r="BM125" s="71">
        <f>Financials20263[[#This Row],[Nov AC]]-Financials20263[[#This Row],[Nov FC]]</f>
        <v>0</v>
      </c>
      <c r="BN125" s="71">
        <f>Financials20263[[#This Row],[Dec AC]]-Financials20263[[#This Row],[Dec FC]]</f>
        <v>0</v>
      </c>
      <c r="BO125" s="71">
        <f>SUM(Financials20263[[#This Row],[Jan Opp/Risk]:[Dec Opp./Risk]])</f>
        <v>0</v>
      </c>
      <c r="BP125" s="87" t="s">
        <v>623</v>
      </c>
      <c r="BQ125" s="47">
        <f>SUM(Financials20263[[#This Row],[Jan AC]:[May AC]])</f>
        <v>0</v>
      </c>
      <c r="BR125" s="6">
        <f>Financials20263[[#This Row],[2026 (Actuals + Forecast)]]-Financials20263[[#This Row],[Jan-May Actuals]]-Financials20263[[#This Row],[Jun-Dec FC]]</f>
        <v>0</v>
      </c>
      <c r="BS125" s="6">
        <f>Financials20263[[#This Row],[Jun-Dec FC]]+Financials20263[[#This Row],[Jan-May Forecast ]]</f>
        <v>0</v>
      </c>
      <c r="BT125" s="6">
        <f>SUM(Financials20263[[#This Row],[Jan FC]:[May FC]])</f>
        <v>0</v>
      </c>
      <c r="BU125" s="6">
        <f>Financials20263[[#This Row],[Jan-May Actuals]]+Financials20263[[#This Row],[Forecast Jun-Dec]]</f>
        <v>0</v>
      </c>
      <c r="BV125" s="6" t="s">
        <v>751</v>
      </c>
      <c r="BW125" s="6"/>
      <c r="BX125" s="6"/>
    </row>
    <row r="126" spans="1:76" x14ac:dyDescent="0.3">
      <c r="A126" s="22" t="s">
        <v>101</v>
      </c>
      <c r="B126" s="21" t="s">
        <v>334</v>
      </c>
      <c r="C126" s="21" t="s">
        <v>335</v>
      </c>
      <c r="D126" s="10" t="s">
        <v>35</v>
      </c>
      <c r="E126" s="7" t="s">
        <v>389</v>
      </c>
      <c r="F126" s="3" t="s">
        <v>205</v>
      </c>
      <c r="G126" s="3" t="s">
        <v>50</v>
      </c>
      <c r="H126" s="4"/>
      <c r="I126" s="4"/>
      <c r="J126" s="3"/>
      <c r="K126" s="3" t="str">
        <f t="shared" si="28"/>
        <v>Prj000482-Implement - WSO Own Instance (AM)</v>
      </c>
      <c r="L126" s="21" t="s">
        <v>124</v>
      </c>
      <c r="M126" s="21" t="s">
        <v>2</v>
      </c>
      <c r="N126" s="21" t="s">
        <v>341</v>
      </c>
      <c r="O126" s="21"/>
      <c r="P126" s="21" t="s">
        <v>107</v>
      </c>
      <c r="Q126" s="21" t="s">
        <v>134</v>
      </c>
      <c r="R126" s="21" t="s">
        <v>128</v>
      </c>
      <c r="S126" s="3" t="s">
        <v>385</v>
      </c>
      <c r="T126" s="5"/>
      <c r="U126" s="17">
        <v>850000</v>
      </c>
      <c r="V126" s="17">
        <v>336000</v>
      </c>
      <c r="W126" s="15">
        <f t="shared" si="29"/>
        <v>0</v>
      </c>
      <c r="X126" s="15">
        <f t="shared" si="33"/>
        <v>-336000</v>
      </c>
      <c r="Y126" s="15">
        <f t="shared" si="30"/>
        <v>0</v>
      </c>
      <c r="Z126" s="15">
        <f>SUM(Financials20263[[#This Row],[2026 Opportunity]:[2026 Risk]])</f>
        <v>-336000</v>
      </c>
      <c r="AA126" s="3" t="s">
        <v>655</v>
      </c>
      <c r="AB126" s="52"/>
      <c r="AC126" s="52"/>
      <c r="AD126" s="52"/>
      <c r="AE126" s="52"/>
      <c r="AF126" s="52"/>
      <c r="AG126" s="52"/>
      <c r="AH126" s="52"/>
      <c r="AI126" s="52"/>
      <c r="AJ126" s="52"/>
      <c r="AK126" s="52"/>
      <c r="AL126" s="52"/>
      <c r="AM126" s="46"/>
      <c r="AN126" s="75">
        <f>SUM(Financials20263[[#This Row],[Jan FC]:[Dec FC]])</f>
        <v>0</v>
      </c>
      <c r="AO126" s="15">
        <f t="shared" si="31"/>
        <v>0</v>
      </c>
      <c r="AP126" s="61"/>
      <c r="AQ126" s="61"/>
      <c r="AR126" s="61"/>
      <c r="AS126" s="61"/>
      <c r="AT126" s="61"/>
      <c r="AU126" s="61"/>
      <c r="AV126" s="61"/>
      <c r="AW126" s="61"/>
      <c r="AX126" s="61"/>
      <c r="AY126" s="61"/>
      <c r="AZ126" s="61"/>
      <c r="BA126" s="61"/>
      <c r="BB126" s="80">
        <f>SUM(Financials20263[[#This Row],[Jan AC]:[Dec AC]])</f>
        <v>0</v>
      </c>
      <c r="BC126" s="71">
        <f>Financials20263[[#This Row],[Jan AC]]-Financials20263[[#This Row],[Jan FC]]</f>
        <v>0</v>
      </c>
      <c r="BD126" s="71">
        <f>Financials20263[[#This Row],[Feb AC]]-Financials20263[[#This Row],[Feb FC]]</f>
        <v>0</v>
      </c>
      <c r="BE126" s="71">
        <f>Financials20263[[#This Row],[Mar AC]]-Financials20263[[#This Row],[Mar FC]]</f>
        <v>0</v>
      </c>
      <c r="BF126" s="71">
        <f>Financials20263[[#This Row],[Apr AC]]-Financials20263[[#This Row],[Apr FC]]</f>
        <v>0</v>
      </c>
      <c r="BG126" s="71">
        <f>Financials20263[[#This Row],[May AC]]-Financials20263[[#This Row],[May FC]]</f>
        <v>0</v>
      </c>
      <c r="BH126" s="71">
        <f>Financials20263[[#This Row],[Jun AC]]-Financials20263[[#This Row],[Jun FC]]</f>
        <v>0</v>
      </c>
      <c r="BI126" s="71">
        <f>Financials20263[[#This Row],[Jul AC]]-Financials20263[[#This Row],[Jul FC]]</f>
        <v>0</v>
      </c>
      <c r="BJ126" s="71">
        <f>Financials20263[[#This Row],[Aug AC]]-Financials20263[[#This Row],[Aug FC]]</f>
        <v>0</v>
      </c>
      <c r="BK126" s="71">
        <f>Financials20263[[#This Row],[Sep AC]]-Financials20263[[#This Row],[Sep FC]]</f>
        <v>0</v>
      </c>
      <c r="BL126" s="71">
        <f>Financials20263[[#This Row],[Oct AC]]-Financials20263[[#This Row],[Oct FC]]</f>
        <v>0</v>
      </c>
      <c r="BM126" s="71">
        <f>Financials20263[[#This Row],[Nov AC]]-Financials20263[[#This Row],[Nov FC]]</f>
        <v>0</v>
      </c>
      <c r="BN126" s="71">
        <f>Financials20263[[#This Row],[Dec AC]]-Financials20263[[#This Row],[Dec FC]]</f>
        <v>0</v>
      </c>
      <c r="BO126" s="71">
        <f>SUM(Financials20263[[#This Row],[Jan Opp/Risk]:[Dec Opp./Risk]])</f>
        <v>0</v>
      </c>
      <c r="BP126" s="87" t="s">
        <v>656</v>
      </c>
      <c r="BQ126" s="47">
        <f>SUM(Financials20263[[#This Row],[Jan AC]:[May AC]])</f>
        <v>0</v>
      </c>
      <c r="BR126" s="6">
        <f>Financials20263[[#This Row],[2026 (Actuals + Forecast)]]-Financials20263[[#This Row],[Jan-May Actuals]]-Financials20263[[#This Row],[Jun-Dec FC]]</f>
        <v>0</v>
      </c>
      <c r="BS126" s="6">
        <f>Financials20263[[#This Row],[Jun-Dec FC]]+Financials20263[[#This Row],[Jan-May Forecast ]]</f>
        <v>0</v>
      </c>
      <c r="BT126" s="6">
        <f>SUM(Financials20263[[#This Row],[Jan FC]:[May FC]])</f>
        <v>0</v>
      </c>
      <c r="BU126" s="6">
        <f>Financials20263[[#This Row],[Jan-May Actuals]]+Financials20263[[#This Row],[Forecast Jun-Dec]]</f>
        <v>0</v>
      </c>
      <c r="BV126" s="6" t="s">
        <v>751</v>
      </c>
      <c r="BW126" s="6"/>
      <c r="BX126" s="6"/>
    </row>
    <row r="127" spans="1:76" x14ac:dyDescent="0.3">
      <c r="A127" s="22" t="s">
        <v>101</v>
      </c>
      <c r="B127" s="21" t="s">
        <v>334</v>
      </c>
      <c r="C127" s="21" t="s">
        <v>335</v>
      </c>
      <c r="D127" s="10" t="s">
        <v>35</v>
      </c>
      <c r="E127" s="7" t="s">
        <v>389</v>
      </c>
      <c r="F127" s="3" t="s">
        <v>205</v>
      </c>
      <c r="G127" s="3" t="s">
        <v>50</v>
      </c>
      <c r="H127" s="4"/>
      <c r="I127" s="4"/>
      <c r="J127" s="3"/>
      <c r="K127" s="3" t="str">
        <f t="shared" si="28"/>
        <v>Prj000482-Implement - WSO Own Instance (AM)</v>
      </c>
      <c r="L127" s="21" t="s">
        <v>124</v>
      </c>
      <c r="M127" s="21" t="s">
        <v>2</v>
      </c>
      <c r="N127" s="21" t="s">
        <v>341</v>
      </c>
      <c r="O127" s="21"/>
      <c r="P127" s="21" t="s">
        <v>107</v>
      </c>
      <c r="Q127" s="21" t="s">
        <v>134</v>
      </c>
      <c r="R127" s="21" t="s">
        <v>128</v>
      </c>
      <c r="S127" s="3" t="s">
        <v>385</v>
      </c>
      <c r="T127" s="5"/>
      <c r="U127" s="17">
        <v>850000</v>
      </c>
      <c r="V127" s="17">
        <v>163600</v>
      </c>
      <c r="W127" s="15">
        <f t="shared" si="29"/>
        <v>293500</v>
      </c>
      <c r="X127" s="15">
        <f t="shared" si="33"/>
        <v>0</v>
      </c>
      <c r="Y127" s="15">
        <f t="shared" si="30"/>
        <v>129900</v>
      </c>
      <c r="Z127" s="15">
        <f>SUM(Financials20263[[#This Row],[2026 Opportunity]:[2026 Risk]])</f>
        <v>129900</v>
      </c>
      <c r="AA127" s="3" t="s">
        <v>657</v>
      </c>
      <c r="AB127" s="52"/>
      <c r="AC127" s="52"/>
      <c r="AD127" s="52"/>
      <c r="AE127" s="52">
        <v>10000</v>
      </c>
      <c r="AF127" s="52"/>
      <c r="AG127" s="52"/>
      <c r="AH127" s="52"/>
      <c r="AI127" s="52"/>
      <c r="AJ127" s="52">
        <v>25000</v>
      </c>
      <c r="AK127" s="52">
        <v>258500</v>
      </c>
      <c r="AL127" s="52"/>
      <c r="AM127" s="52"/>
      <c r="AN127" s="75">
        <f>SUM(Financials20263[[#This Row],[Jan FC]:[Dec FC]])</f>
        <v>293500</v>
      </c>
      <c r="AO127" s="15">
        <f t="shared" si="31"/>
        <v>283500</v>
      </c>
      <c r="AP127" s="61"/>
      <c r="AQ127" s="61"/>
      <c r="AR127" s="61"/>
      <c r="AS127" s="61">
        <v>10000</v>
      </c>
      <c r="AT127" s="61"/>
      <c r="AU127" s="61"/>
      <c r="AV127" s="61"/>
      <c r="AW127" s="61"/>
      <c r="AX127" s="61"/>
      <c r="AY127" s="61"/>
      <c r="AZ127" s="61"/>
      <c r="BA127" s="61"/>
      <c r="BB127" s="80">
        <f>SUM(Financials20263[[#This Row],[Jan AC]:[Dec AC]])</f>
        <v>10000</v>
      </c>
      <c r="BC127" s="71">
        <f>Financials20263[[#This Row],[Jan AC]]-Financials20263[[#This Row],[Jan FC]]</f>
        <v>0</v>
      </c>
      <c r="BD127" s="71">
        <f>Financials20263[[#This Row],[Feb AC]]-Financials20263[[#This Row],[Feb FC]]</f>
        <v>0</v>
      </c>
      <c r="BE127" s="71">
        <f>Financials20263[[#This Row],[Mar AC]]-Financials20263[[#This Row],[Mar FC]]</f>
        <v>0</v>
      </c>
      <c r="BF127" s="71">
        <f>Financials20263[[#This Row],[Apr AC]]-Financials20263[[#This Row],[Apr FC]]</f>
        <v>0</v>
      </c>
      <c r="BG127" s="71">
        <f>Financials20263[[#This Row],[May AC]]-Financials20263[[#This Row],[May FC]]</f>
        <v>0</v>
      </c>
      <c r="BH127" s="71">
        <f>Financials20263[[#This Row],[Jun AC]]-Financials20263[[#This Row],[Jun FC]]</f>
        <v>0</v>
      </c>
      <c r="BI127" s="71">
        <f>Financials20263[[#This Row],[Jul AC]]-Financials20263[[#This Row],[Jul FC]]</f>
        <v>0</v>
      </c>
      <c r="BJ127" s="71">
        <f>Financials20263[[#This Row],[Aug AC]]-Financials20263[[#This Row],[Aug FC]]</f>
        <v>0</v>
      </c>
      <c r="BK127" s="71">
        <f>Financials20263[[#This Row],[Sep AC]]-Financials20263[[#This Row],[Sep FC]]</f>
        <v>-25000</v>
      </c>
      <c r="BL127" s="71">
        <f>Financials20263[[#This Row],[Oct AC]]-Financials20263[[#This Row],[Oct FC]]</f>
        <v>-258500</v>
      </c>
      <c r="BM127" s="71">
        <f>Financials20263[[#This Row],[Nov AC]]-Financials20263[[#This Row],[Nov FC]]</f>
        <v>0</v>
      </c>
      <c r="BN127" s="71">
        <f>Financials20263[[#This Row],[Dec AC]]-Financials20263[[#This Row],[Dec FC]]</f>
        <v>0</v>
      </c>
      <c r="BO127" s="71">
        <f>SUM(Financials20263[[#This Row],[Jan Opp/Risk]:[Dec Opp./Risk]])</f>
        <v>-283500</v>
      </c>
      <c r="BP127" s="87" t="s">
        <v>658</v>
      </c>
      <c r="BQ127" s="47">
        <f>SUM(Financials20263[[#This Row],[Jan AC]:[May AC]])</f>
        <v>10000</v>
      </c>
      <c r="BR127" s="6">
        <f>Financials20263[[#This Row],[2026 (Actuals + Forecast)]]-Financials20263[[#This Row],[Jan-May Actuals]]-Financials20263[[#This Row],[Jun-Dec FC]]</f>
        <v>0</v>
      </c>
      <c r="BS127" s="6">
        <f>Financials20263[[#This Row],[Jun-Dec FC]]+Financials20263[[#This Row],[Jan-May Forecast ]]</f>
        <v>283500</v>
      </c>
      <c r="BT127" s="6">
        <f>SUM(Financials20263[[#This Row],[Jan FC]:[May FC]])</f>
        <v>10000</v>
      </c>
      <c r="BU127" s="6">
        <f>Financials20263[[#This Row],[Jan-May Actuals]]+Financials20263[[#This Row],[Forecast Jun-Dec]]</f>
        <v>293500</v>
      </c>
      <c r="BV127" s="6"/>
      <c r="BW127" s="6"/>
      <c r="BX127" s="6"/>
    </row>
    <row r="128" spans="1:76" x14ac:dyDescent="0.3">
      <c r="A128" s="22" t="s">
        <v>101</v>
      </c>
      <c r="B128" s="21" t="s">
        <v>208</v>
      </c>
      <c r="C128" s="21"/>
      <c r="D128" s="10" t="s">
        <v>35</v>
      </c>
      <c r="E128" s="7" t="s">
        <v>389</v>
      </c>
      <c r="F128" s="3" t="s">
        <v>205</v>
      </c>
      <c r="G128" s="3" t="s">
        <v>50</v>
      </c>
      <c r="H128" s="4">
        <v>46157</v>
      </c>
      <c r="I128" s="4">
        <v>46234</v>
      </c>
      <c r="J128" s="3"/>
      <c r="K128" s="3" t="str">
        <f t="shared" si="28"/>
        <v>Prj000482-Implement - WSO Own Instance (AM)</v>
      </c>
      <c r="L128" s="21" t="s">
        <v>124</v>
      </c>
      <c r="M128" s="21" t="s">
        <v>2</v>
      </c>
      <c r="N128" s="21" t="s">
        <v>341</v>
      </c>
      <c r="O128" s="21"/>
      <c r="P128" s="21" t="s">
        <v>107</v>
      </c>
      <c r="Q128" s="21" t="s">
        <v>134</v>
      </c>
      <c r="R128" s="21" t="s">
        <v>128</v>
      </c>
      <c r="S128" s="21" t="s">
        <v>129</v>
      </c>
      <c r="T128" s="5"/>
      <c r="U128" s="17">
        <v>0</v>
      </c>
      <c r="V128" s="17">
        <v>120000</v>
      </c>
      <c r="W128" s="15">
        <f t="shared" si="29"/>
        <v>120000</v>
      </c>
      <c r="X128" s="15">
        <f t="shared" si="33"/>
        <v>0</v>
      </c>
      <c r="Y128" s="15">
        <f t="shared" si="30"/>
        <v>0</v>
      </c>
      <c r="Z128" s="15">
        <f>SUM(Financials20263[[#This Row],[2026 Opportunity]:[2026 Risk]])</f>
        <v>0</v>
      </c>
      <c r="AA128" s="3" t="s">
        <v>638</v>
      </c>
      <c r="AB128" s="52"/>
      <c r="AC128" s="52"/>
      <c r="AD128" s="52"/>
      <c r="AE128" s="52"/>
      <c r="AF128" s="52">
        <v>40000</v>
      </c>
      <c r="AG128" s="52">
        <v>40000</v>
      </c>
      <c r="AH128" s="52">
        <v>40000</v>
      </c>
      <c r="AI128" s="52"/>
      <c r="AJ128" s="52"/>
      <c r="AK128" s="52"/>
      <c r="AL128" s="52"/>
      <c r="AM128" s="52"/>
      <c r="AN128" s="75">
        <f>SUM(Financials20263[[#This Row],[Jan FC]:[Dec FC]])</f>
        <v>120000</v>
      </c>
      <c r="AO128" s="15">
        <f t="shared" si="31"/>
        <v>80000</v>
      </c>
      <c r="AP128" s="61"/>
      <c r="AQ128" s="61"/>
      <c r="AR128" s="61"/>
      <c r="AS128" s="61"/>
      <c r="AT128" s="61"/>
      <c r="AU128" s="61"/>
      <c r="AV128" s="61"/>
      <c r="AW128" s="61"/>
      <c r="AX128" s="61"/>
      <c r="AY128" s="61"/>
      <c r="AZ128" s="61"/>
      <c r="BA128" s="61"/>
      <c r="BB128" s="80">
        <f>SUM(Financials20263[[#This Row],[Jan AC]:[Dec AC]])</f>
        <v>0</v>
      </c>
      <c r="BC128" s="71">
        <f>Financials20263[[#This Row],[Jan AC]]-Financials20263[[#This Row],[Jan FC]]</f>
        <v>0</v>
      </c>
      <c r="BD128" s="71">
        <f>Financials20263[[#This Row],[Feb AC]]-Financials20263[[#This Row],[Feb FC]]</f>
        <v>0</v>
      </c>
      <c r="BE128" s="71">
        <f>Financials20263[[#This Row],[Mar AC]]-Financials20263[[#This Row],[Mar FC]]</f>
        <v>0</v>
      </c>
      <c r="BF128" s="71">
        <f>Financials20263[[#This Row],[Apr AC]]-Financials20263[[#This Row],[Apr FC]]</f>
        <v>0</v>
      </c>
      <c r="BG128" s="71">
        <f>Financials20263[[#This Row],[May AC]]-Financials20263[[#This Row],[May FC]]</f>
        <v>-40000</v>
      </c>
      <c r="BH128" s="71">
        <f>Financials20263[[#This Row],[Jun AC]]-Financials20263[[#This Row],[Jun FC]]</f>
        <v>-40000</v>
      </c>
      <c r="BI128" s="71">
        <f>Financials20263[[#This Row],[Jul AC]]-Financials20263[[#This Row],[Jul FC]]</f>
        <v>-40000</v>
      </c>
      <c r="BJ128" s="71">
        <f>Financials20263[[#This Row],[Aug AC]]-Financials20263[[#This Row],[Aug FC]]</f>
        <v>0</v>
      </c>
      <c r="BK128" s="71">
        <f>Financials20263[[#This Row],[Sep AC]]-Financials20263[[#This Row],[Sep FC]]</f>
        <v>0</v>
      </c>
      <c r="BL128" s="71">
        <f>Financials20263[[#This Row],[Oct AC]]-Financials20263[[#This Row],[Oct FC]]</f>
        <v>0</v>
      </c>
      <c r="BM128" s="71">
        <f>Financials20263[[#This Row],[Nov AC]]-Financials20263[[#This Row],[Nov FC]]</f>
        <v>0</v>
      </c>
      <c r="BN128" s="71">
        <f>Financials20263[[#This Row],[Dec AC]]-Financials20263[[#This Row],[Dec FC]]</f>
        <v>0</v>
      </c>
      <c r="BO128" s="71">
        <f>SUM(Financials20263[[#This Row],[Jan Opp/Risk]:[Dec Opp./Risk]])</f>
        <v>-120000</v>
      </c>
      <c r="BP128" s="87" t="s">
        <v>617</v>
      </c>
      <c r="BQ128" s="47">
        <f>SUM(Financials20263[[#This Row],[Jan AC]:[May AC]])</f>
        <v>0</v>
      </c>
      <c r="BR128" s="6">
        <f>Financials20263[[#This Row],[2026 (Actuals + Forecast)]]-Financials20263[[#This Row],[Jan-May Actuals]]-Financials20263[[#This Row],[Jun-Dec FC]]</f>
        <v>40000</v>
      </c>
      <c r="BS128" s="6">
        <f>Financials20263[[#This Row],[Jun-Dec FC]]+Financials20263[[#This Row],[Jan-May Forecast ]]</f>
        <v>120000</v>
      </c>
      <c r="BT128" s="6">
        <f>SUM(Financials20263[[#This Row],[Jan FC]:[May FC]])</f>
        <v>40000</v>
      </c>
      <c r="BU128" s="6">
        <f>Financials20263[[#This Row],[Jan-May Actuals]]+Financials20263[[#This Row],[Forecast Jun-Dec]]</f>
        <v>120000</v>
      </c>
      <c r="BV128" s="6"/>
      <c r="BW128" s="6"/>
      <c r="BX128" s="6"/>
    </row>
    <row r="129" spans="1:76" x14ac:dyDescent="0.3">
      <c r="A129" s="22" t="s">
        <v>101</v>
      </c>
      <c r="B129" s="21" t="s">
        <v>334</v>
      </c>
      <c r="C129" s="21" t="s">
        <v>335</v>
      </c>
      <c r="D129" s="10" t="s">
        <v>9</v>
      </c>
      <c r="E129" s="7" t="s">
        <v>390</v>
      </c>
      <c r="F129" s="3" t="s">
        <v>205</v>
      </c>
      <c r="G129" s="3" t="s">
        <v>50</v>
      </c>
      <c r="H129" s="4"/>
      <c r="I129" s="4"/>
      <c r="J129" s="3"/>
      <c r="K129" s="3" t="str">
        <f t="shared" si="28"/>
        <v>Prj000211-Implement - WSO Balance Sheet Mig &amp; Reporting</v>
      </c>
      <c r="L129" s="21" t="s">
        <v>124</v>
      </c>
      <c r="M129" s="21" t="s">
        <v>2</v>
      </c>
      <c r="N129" s="21" t="s">
        <v>341</v>
      </c>
      <c r="O129" s="21"/>
      <c r="P129" s="21" t="s">
        <v>107</v>
      </c>
      <c r="Q129" s="21" t="s">
        <v>134</v>
      </c>
      <c r="R129" s="21" t="s">
        <v>128</v>
      </c>
      <c r="S129" s="3" t="s">
        <v>385</v>
      </c>
      <c r="T129" s="5"/>
      <c r="U129" s="17">
        <v>500000</v>
      </c>
      <c r="V129" s="17">
        <v>500000</v>
      </c>
      <c r="W129" s="15">
        <f t="shared" si="29"/>
        <v>0</v>
      </c>
      <c r="X129" s="15">
        <f t="shared" si="33"/>
        <v>-500000</v>
      </c>
      <c r="Y129" s="15">
        <f t="shared" si="30"/>
        <v>0</v>
      </c>
      <c r="Z129" s="15">
        <f>SUM(Financials20263[[#This Row],[2026 Opportunity]:[2026 Risk]])</f>
        <v>-500000</v>
      </c>
      <c r="AA129" s="3" t="s">
        <v>621</v>
      </c>
      <c r="AB129" s="52"/>
      <c r="AC129" s="52"/>
      <c r="AD129" s="52"/>
      <c r="AE129" s="52"/>
      <c r="AF129" s="52"/>
      <c r="AG129" s="52"/>
      <c r="AH129" s="52"/>
      <c r="AI129" s="52"/>
      <c r="AJ129" s="52"/>
      <c r="AK129" s="52"/>
      <c r="AL129" s="52"/>
      <c r="AM129" s="52"/>
      <c r="AN129" s="75">
        <f>SUM(Financials20263[[#This Row],[Jan FC]:[Dec FC]])</f>
        <v>0</v>
      </c>
      <c r="AO129" s="15">
        <f t="shared" si="31"/>
        <v>0</v>
      </c>
      <c r="AP129" s="61"/>
      <c r="AQ129" s="61"/>
      <c r="AR129" s="61"/>
      <c r="AS129" s="61"/>
      <c r="AT129" s="61"/>
      <c r="AU129" s="61"/>
      <c r="AV129" s="61"/>
      <c r="AW129" s="61"/>
      <c r="AX129" s="61"/>
      <c r="AY129" s="61"/>
      <c r="AZ129" s="61"/>
      <c r="BA129" s="61"/>
      <c r="BB129" s="80">
        <f>SUM(Financials20263[[#This Row],[Jan AC]:[Dec AC]])</f>
        <v>0</v>
      </c>
      <c r="BC129" s="71">
        <f>Financials20263[[#This Row],[Jan AC]]-Financials20263[[#This Row],[Jan FC]]</f>
        <v>0</v>
      </c>
      <c r="BD129" s="71">
        <f>Financials20263[[#This Row],[Feb AC]]-Financials20263[[#This Row],[Feb FC]]</f>
        <v>0</v>
      </c>
      <c r="BE129" s="71">
        <f>Financials20263[[#This Row],[Mar AC]]-Financials20263[[#This Row],[Mar FC]]</f>
        <v>0</v>
      </c>
      <c r="BF129" s="71">
        <f>Financials20263[[#This Row],[Apr AC]]-Financials20263[[#This Row],[Apr FC]]</f>
        <v>0</v>
      </c>
      <c r="BG129" s="71">
        <f>Financials20263[[#This Row],[May AC]]-Financials20263[[#This Row],[May FC]]</f>
        <v>0</v>
      </c>
      <c r="BH129" s="71">
        <f>Financials20263[[#This Row],[Jun AC]]-Financials20263[[#This Row],[Jun FC]]</f>
        <v>0</v>
      </c>
      <c r="BI129" s="71">
        <f>Financials20263[[#This Row],[Jul AC]]-Financials20263[[#This Row],[Jul FC]]</f>
        <v>0</v>
      </c>
      <c r="BJ129" s="71">
        <f>Financials20263[[#This Row],[Aug AC]]-Financials20263[[#This Row],[Aug FC]]</f>
        <v>0</v>
      </c>
      <c r="BK129" s="71">
        <f>Financials20263[[#This Row],[Sep AC]]-Financials20263[[#This Row],[Sep FC]]</f>
        <v>0</v>
      </c>
      <c r="BL129" s="71">
        <f>Financials20263[[#This Row],[Oct AC]]-Financials20263[[#This Row],[Oct FC]]</f>
        <v>0</v>
      </c>
      <c r="BM129" s="71">
        <f>Financials20263[[#This Row],[Nov AC]]-Financials20263[[#This Row],[Nov FC]]</f>
        <v>0</v>
      </c>
      <c r="BN129" s="71">
        <f>Financials20263[[#This Row],[Dec AC]]-Financials20263[[#This Row],[Dec FC]]</f>
        <v>0</v>
      </c>
      <c r="BO129" s="71">
        <f>SUM(Financials20263[[#This Row],[Jan Opp/Risk]:[Dec Opp./Risk]])</f>
        <v>0</v>
      </c>
      <c r="BP129" s="87" t="s">
        <v>623</v>
      </c>
      <c r="BQ129" s="47">
        <f>SUM(Financials20263[[#This Row],[Jan AC]:[May AC]])</f>
        <v>0</v>
      </c>
      <c r="BR129" s="6">
        <f>Financials20263[[#This Row],[2026 (Actuals + Forecast)]]-Financials20263[[#This Row],[Jan-May Actuals]]-Financials20263[[#This Row],[Jun-Dec FC]]</f>
        <v>0</v>
      </c>
      <c r="BS129" s="6">
        <f>Financials20263[[#This Row],[Jun-Dec FC]]+Financials20263[[#This Row],[Jan-May Forecast ]]</f>
        <v>0</v>
      </c>
      <c r="BT129" s="6">
        <f>SUM(Financials20263[[#This Row],[Jan FC]:[May FC]])</f>
        <v>0</v>
      </c>
      <c r="BU129" s="6">
        <f>Financials20263[[#This Row],[Jan-May Actuals]]+Financials20263[[#This Row],[Forecast Jun-Dec]]</f>
        <v>0</v>
      </c>
      <c r="BV129" s="6" t="s">
        <v>751</v>
      </c>
      <c r="BW129" s="6"/>
      <c r="BX129" s="6"/>
    </row>
    <row r="130" spans="1:76" x14ac:dyDescent="0.3">
      <c r="A130" s="22" t="s">
        <v>101</v>
      </c>
      <c r="B130" s="21" t="s">
        <v>208</v>
      </c>
      <c r="C130" s="21" t="s">
        <v>209</v>
      </c>
      <c r="D130" s="10" t="s">
        <v>34</v>
      </c>
      <c r="E130" s="7" t="s">
        <v>391</v>
      </c>
      <c r="F130" s="3" t="s">
        <v>211</v>
      </c>
      <c r="G130" s="3" t="s">
        <v>48</v>
      </c>
      <c r="H130" s="4"/>
      <c r="I130" s="4"/>
      <c r="J130" s="3" t="s">
        <v>392</v>
      </c>
      <c r="K130" s="3" t="str">
        <f t="shared" ref="K130:K142" si="47">D130 &amp; "-" &amp;E130</f>
        <v>Prj000477-Implement - Odyssey Reporting &amp; Exception Mgmt</v>
      </c>
      <c r="L130" s="21" t="s">
        <v>124</v>
      </c>
      <c r="M130" s="21" t="s">
        <v>2</v>
      </c>
      <c r="N130" s="21" t="s">
        <v>341</v>
      </c>
      <c r="O130" s="21"/>
      <c r="P130" s="21" t="s">
        <v>126</v>
      </c>
      <c r="Q130" s="21" t="s">
        <v>127</v>
      </c>
      <c r="R130" s="21" t="s">
        <v>128</v>
      </c>
      <c r="S130" s="3" t="s">
        <v>385</v>
      </c>
      <c r="T130" s="5">
        <v>0</v>
      </c>
      <c r="U130" s="17">
        <v>600000</v>
      </c>
      <c r="V130" s="17">
        <f>600000*0</f>
        <v>0</v>
      </c>
      <c r="W130" s="15">
        <f t="shared" ref="W130:W150" si="48">AO130+IF(ISBLANK(AP130),AB130,AP130)+IF(ISBLANK(AQ130),AC130,AQ130)+IF(ISBLANK(AR130),AD130,AR130)+IF(ISBLANK(AS130),AE130,AS130)+IF(ISBLANK(AT130),AF130,AT130)</f>
        <v>0</v>
      </c>
      <c r="X130" s="15">
        <f t="shared" si="33"/>
        <v>0</v>
      </c>
      <c r="Y130" s="15">
        <f t="shared" ref="Y130:Y148" si="49">IF(W130 &gt; V130, W130 - V130, 0)</f>
        <v>0</v>
      </c>
      <c r="Z130" s="15">
        <f>SUM(Financials20263[[#This Row],[2026 Opportunity]:[2026 Risk]])</f>
        <v>0</v>
      </c>
      <c r="AA130" s="3" t="s">
        <v>742</v>
      </c>
      <c r="AB130" s="52"/>
      <c r="AC130" s="52"/>
      <c r="AD130" s="52"/>
      <c r="AE130" s="52"/>
      <c r="AF130" s="52"/>
      <c r="AG130" s="52"/>
      <c r="AH130" s="52"/>
      <c r="AI130" s="52"/>
      <c r="AJ130" s="52"/>
      <c r="AK130" s="52"/>
      <c r="AL130" s="52"/>
      <c r="AM130" s="46"/>
      <c r="AN130" s="75">
        <f>SUM(Financials20263[[#This Row],[Jan FC]:[Dec FC]])</f>
        <v>0</v>
      </c>
      <c r="AO130" s="15">
        <f t="shared" si="31"/>
        <v>0</v>
      </c>
      <c r="AP130" s="61"/>
      <c r="AQ130" s="61"/>
      <c r="AR130" s="61"/>
      <c r="AS130" s="61"/>
      <c r="AT130" s="61"/>
      <c r="AU130" s="61"/>
      <c r="AV130" s="61"/>
      <c r="AW130" s="61"/>
      <c r="AX130" s="61"/>
      <c r="AY130" s="61"/>
      <c r="AZ130" s="61"/>
      <c r="BA130" s="61"/>
      <c r="BB130" s="80">
        <f>SUM(Financials20263[[#This Row],[Jan AC]:[Dec AC]])</f>
        <v>0</v>
      </c>
      <c r="BC130" s="71">
        <f>Financials20263[[#This Row],[Jan AC]]-Financials20263[[#This Row],[Jan FC]]</f>
        <v>0</v>
      </c>
      <c r="BD130" s="71">
        <f>Financials20263[[#This Row],[Feb AC]]-Financials20263[[#This Row],[Feb FC]]</f>
        <v>0</v>
      </c>
      <c r="BE130" s="71">
        <f>Financials20263[[#This Row],[Mar AC]]-Financials20263[[#This Row],[Mar FC]]</f>
        <v>0</v>
      </c>
      <c r="BF130" s="71">
        <f>Financials20263[[#This Row],[Apr AC]]-Financials20263[[#This Row],[Apr FC]]</f>
        <v>0</v>
      </c>
      <c r="BG130" s="71">
        <f>Financials20263[[#This Row],[May AC]]-Financials20263[[#This Row],[May FC]]</f>
        <v>0</v>
      </c>
      <c r="BH130" s="71">
        <f>Financials20263[[#This Row],[Jun AC]]-Financials20263[[#This Row],[Jun FC]]</f>
        <v>0</v>
      </c>
      <c r="BI130" s="71">
        <f>Financials20263[[#This Row],[Jul AC]]-Financials20263[[#This Row],[Jul FC]]</f>
        <v>0</v>
      </c>
      <c r="BJ130" s="71">
        <f>Financials20263[[#This Row],[Aug AC]]-Financials20263[[#This Row],[Aug FC]]</f>
        <v>0</v>
      </c>
      <c r="BK130" s="71">
        <f>Financials20263[[#This Row],[Sep AC]]-Financials20263[[#This Row],[Sep FC]]</f>
        <v>0</v>
      </c>
      <c r="BL130" s="71">
        <f>Financials20263[[#This Row],[Oct AC]]-Financials20263[[#This Row],[Oct FC]]</f>
        <v>0</v>
      </c>
      <c r="BM130" s="71">
        <f>Financials20263[[#This Row],[Nov AC]]-Financials20263[[#This Row],[Nov FC]]</f>
        <v>0</v>
      </c>
      <c r="BN130" s="71">
        <f>Financials20263[[#This Row],[Dec AC]]-Financials20263[[#This Row],[Dec FC]]</f>
        <v>0</v>
      </c>
      <c r="BO130" s="71">
        <f>SUM(Financials20263[[#This Row],[Jan Opp/Risk]:[Dec Opp./Risk]])</f>
        <v>0</v>
      </c>
      <c r="BP130" s="87" t="s">
        <v>623</v>
      </c>
      <c r="BQ130" s="47">
        <f>SUM(Financials20263[[#This Row],[Jan AC]:[May AC]])</f>
        <v>0</v>
      </c>
      <c r="BR130" s="6">
        <f>Financials20263[[#This Row],[2026 (Actuals + Forecast)]]-Financials20263[[#This Row],[Jan-May Actuals]]-Financials20263[[#This Row],[Jun-Dec FC]]</f>
        <v>0</v>
      </c>
      <c r="BS130" s="6">
        <f>Financials20263[[#This Row],[Jun-Dec FC]]+Financials20263[[#This Row],[Jan-May Forecast ]]</f>
        <v>0</v>
      </c>
      <c r="BT130" s="6">
        <f>SUM(Financials20263[[#This Row],[Jan FC]:[May FC]])</f>
        <v>0</v>
      </c>
      <c r="BU130" s="6">
        <f>Financials20263[[#This Row],[Jan-May Actuals]]+Financials20263[[#This Row],[Forecast Jun-Dec]]</f>
        <v>0</v>
      </c>
      <c r="BV130" s="6"/>
      <c r="BW130" s="6"/>
      <c r="BX130" s="6"/>
    </row>
    <row r="131" spans="1:76" x14ac:dyDescent="0.3">
      <c r="A131" s="22" t="s">
        <v>101</v>
      </c>
      <c r="B131" s="21" t="s">
        <v>208</v>
      </c>
      <c r="C131" s="21" t="s">
        <v>209</v>
      </c>
      <c r="D131" s="10" t="s">
        <v>37</v>
      </c>
      <c r="E131" s="7" t="s">
        <v>213</v>
      </c>
      <c r="F131" s="3" t="s">
        <v>211</v>
      </c>
      <c r="G131" s="3" t="s">
        <v>48</v>
      </c>
      <c r="H131" s="4"/>
      <c r="I131" s="4"/>
      <c r="J131" s="3" t="s">
        <v>392</v>
      </c>
      <c r="K131" s="3" t="str">
        <f t="shared" si="47"/>
        <v>Prj000548-Implement - Reporting for Internal Audit</v>
      </c>
      <c r="L131" s="21" t="s">
        <v>124</v>
      </c>
      <c r="M131" s="21" t="s">
        <v>2</v>
      </c>
      <c r="N131" s="21" t="s">
        <v>341</v>
      </c>
      <c r="O131" s="21"/>
      <c r="P131" s="21" t="s">
        <v>126</v>
      </c>
      <c r="Q131" s="21" t="s">
        <v>127</v>
      </c>
      <c r="R131" s="21" t="s">
        <v>128</v>
      </c>
      <c r="S131" s="3" t="s">
        <v>385</v>
      </c>
      <c r="T131" s="5">
        <v>0</v>
      </c>
      <c r="U131" s="17">
        <v>500000</v>
      </c>
      <c r="V131" s="17">
        <v>500000</v>
      </c>
      <c r="W131" s="15">
        <f t="shared" si="48"/>
        <v>0</v>
      </c>
      <c r="X131" s="15">
        <f t="shared" si="33"/>
        <v>-500000</v>
      </c>
      <c r="Y131" s="15">
        <f t="shared" si="49"/>
        <v>0</v>
      </c>
      <c r="Z131" s="15">
        <f>SUM(Financials20263[[#This Row],[2026 Opportunity]:[2026 Risk]])</f>
        <v>-500000</v>
      </c>
      <c r="AA131" s="3" t="s">
        <v>622</v>
      </c>
      <c r="AB131" s="52"/>
      <c r="AC131" s="52"/>
      <c r="AD131" s="52"/>
      <c r="AE131" s="52"/>
      <c r="AF131" s="52"/>
      <c r="AG131" s="52"/>
      <c r="AH131" s="52"/>
      <c r="AI131" s="52"/>
      <c r="AJ131" s="52"/>
      <c r="AK131" s="52"/>
      <c r="AL131" s="52"/>
      <c r="AM131" s="52"/>
      <c r="AN131" s="75">
        <f>SUM(Financials20263[[#This Row],[Jan FC]:[Dec FC]])</f>
        <v>0</v>
      </c>
      <c r="AO131" s="15">
        <f t="shared" ref="AO131:AO150" si="50">SUM(AG131:AM131)</f>
        <v>0</v>
      </c>
      <c r="AP131" s="61"/>
      <c r="AQ131" s="61"/>
      <c r="AR131" s="61"/>
      <c r="AS131" s="61"/>
      <c r="AT131" s="61"/>
      <c r="AU131" s="61"/>
      <c r="AV131" s="61"/>
      <c r="AW131" s="61"/>
      <c r="AX131" s="61"/>
      <c r="AY131" s="61"/>
      <c r="AZ131" s="61"/>
      <c r="BA131" s="61"/>
      <c r="BB131" s="80">
        <f>SUM(Financials20263[[#This Row],[Jan AC]:[Dec AC]])</f>
        <v>0</v>
      </c>
      <c r="BC131" s="71">
        <f>Financials20263[[#This Row],[Jan AC]]-Financials20263[[#This Row],[Jan FC]]</f>
        <v>0</v>
      </c>
      <c r="BD131" s="71">
        <f>Financials20263[[#This Row],[Feb AC]]-Financials20263[[#This Row],[Feb FC]]</f>
        <v>0</v>
      </c>
      <c r="BE131" s="71">
        <f>Financials20263[[#This Row],[Mar AC]]-Financials20263[[#This Row],[Mar FC]]</f>
        <v>0</v>
      </c>
      <c r="BF131" s="71">
        <f>Financials20263[[#This Row],[Apr AC]]-Financials20263[[#This Row],[Apr FC]]</f>
        <v>0</v>
      </c>
      <c r="BG131" s="71">
        <f>Financials20263[[#This Row],[May AC]]-Financials20263[[#This Row],[May FC]]</f>
        <v>0</v>
      </c>
      <c r="BH131" s="71">
        <f>Financials20263[[#This Row],[Jun AC]]-Financials20263[[#This Row],[Jun FC]]</f>
        <v>0</v>
      </c>
      <c r="BI131" s="71">
        <f>Financials20263[[#This Row],[Jul AC]]-Financials20263[[#This Row],[Jul FC]]</f>
        <v>0</v>
      </c>
      <c r="BJ131" s="71">
        <f>Financials20263[[#This Row],[Aug AC]]-Financials20263[[#This Row],[Aug FC]]</f>
        <v>0</v>
      </c>
      <c r="BK131" s="71">
        <f>Financials20263[[#This Row],[Sep AC]]-Financials20263[[#This Row],[Sep FC]]</f>
        <v>0</v>
      </c>
      <c r="BL131" s="71">
        <f>Financials20263[[#This Row],[Oct AC]]-Financials20263[[#This Row],[Oct FC]]</f>
        <v>0</v>
      </c>
      <c r="BM131" s="71">
        <f>Financials20263[[#This Row],[Nov AC]]-Financials20263[[#This Row],[Nov FC]]</f>
        <v>0</v>
      </c>
      <c r="BN131" s="71">
        <f>Financials20263[[#This Row],[Dec AC]]-Financials20263[[#This Row],[Dec FC]]</f>
        <v>0</v>
      </c>
      <c r="BO131" s="71">
        <f>SUM(Financials20263[[#This Row],[Jan Opp/Risk]:[Dec Opp./Risk]])</f>
        <v>0</v>
      </c>
      <c r="BP131" s="87" t="s">
        <v>623</v>
      </c>
      <c r="BQ131" s="47">
        <f>SUM(Financials20263[[#This Row],[Jan AC]:[May AC]])</f>
        <v>0</v>
      </c>
      <c r="BR131" s="6">
        <f>Financials20263[[#This Row],[2026 (Actuals + Forecast)]]-Financials20263[[#This Row],[Jan-May Actuals]]-Financials20263[[#This Row],[Jun-Dec FC]]</f>
        <v>0</v>
      </c>
      <c r="BS131" s="6">
        <f>Financials20263[[#This Row],[Jun-Dec FC]]+Financials20263[[#This Row],[Jan-May Forecast ]]</f>
        <v>0</v>
      </c>
      <c r="BT131" s="6">
        <f>SUM(Financials20263[[#This Row],[Jan FC]:[May FC]])</f>
        <v>0</v>
      </c>
      <c r="BU131" s="6">
        <f>Financials20263[[#This Row],[Jan-May Actuals]]+Financials20263[[#This Row],[Forecast Jun-Dec]]</f>
        <v>0</v>
      </c>
      <c r="BV131" s="6" t="s">
        <v>751</v>
      </c>
      <c r="BW131" s="6"/>
      <c r="BX131" s="6"/>
    </row>
    <row r="132" spans="1:76" x14ac:dyDescent="0.3">
      <c r="A132" s="22" t="s">
        <v>101</v>
      </c>
      <c r="B132" s="21" t="s">
        <v>74</v>
      </c>
      <c r="C132" s="21" t="s">
        <v>265</v>
      </c>
      <c r="D132" s="10" t="s">
        <v>28</v>
      </c>
      <c r="E132" s="7" t="s">
        <v>393</v>
      </c>
      <c r="F132" s="3" t="s">
        <v>104</v>
      </c>
      <c r="G132" s="3" t="s">
        <v>49</v>
      </c>
      <c r="H132" s="4">
        <v>46023</v>
      </c>
      <c r="I132" s="4">
        <v>46194</v>
      </c>
      <c r="J132" s="3" t="s">
        <v>394</v>
      </c>
      <c r="K132" s="3" t="str">
        <f t="shared" si="47"/>
        <v>Prj000447-Implement - Minor Enhancements SNOW - Phase 2</v>
      </c>
      <c r="L132" s="21" t="s">
        <v>124</v>
      </c>
      <c r="M132" s="21" t="s">
        <v>5</v>
      </c>
      <c r="N132" s="21" t="s">
        <v>125</v>
      </c>
      <c r="O132" s="21" t="s">
        <v>329</v>
      </c>
      <c r="P132" s="21" t="s">
        <v>107</v>
      </c>
      <c r="Q132" s="21" t="s">
        <v>134</v>
      </c>
      <c r="R132" s="21" t="s">
        <v>134</v>
      </c>
      <c r="S132" s="21" t="s">
        <v>129</v>
      </c>
      <c r="T132" s="5">
        <v>0</v>
      </c>
      <c r="U132" s="17">
        <v>178500</v>
      </c>
      <c r="V132" s="17">
        <v>178500</v>
      </c>
      <c r="W132" s="15">
        <f t="shared" si="48"/>
        <v>174169.56</v>
      </c>
      <c r="X132" s="15">
        <f t="shared" si="33"/>
        <v>-4330.4400000000023</v>
      </c>
      <c r="Y132" s="15">
        <f t="shared" si="49"/>
        <v>0</v>
      </c>
      <c r="Z132" s="15">
        <f>SUM(Financials20263[[#This Row],[2026 Opportunity]:[2026 Risk]])</f>
        <v>-4330.4400000000023</v>
      </c>
      <c r="AA132" s="3" t="s">
        <v>395</v>
      </c>
      <c r="AB132" s="52">
        <v>29028.26</v>
      </c>
      <c r="AC132" s="52">
        <v>29028.26</v>
      </c>
      <c r="AD132" s="52">
        <v>29028.26</v>
      </c>
      <c r="AE132" s="52">
        <v>29028.26</v>
      </c>
      <c r="AF132" s="52">
        <v>29028.26</v>
      </c>
      <c r="AG132" s="52">
        <v>29028.26</v>
      </c>
      <c r="AH132" s="52"/>
      <c r="AI132" s="52"/>
      <c r="AJ132" s="52"/>
      <c r="AK132" s="52"/>
      <c r="AL132" s="52"/>
      <c r="AM132" s="52"/>
      <c r="AN132" s="75">
        <f>SUM(Financials20263[[#This Row],[Jan FC]:[Dec FC]])</f>
        <v>174169.56</v>
      </c>
      <c r="AO132" s="15">
        <f t="shared" si="50"/>
        <v>29028.26</v>
      </c>
      <c r="AP132" s="61">
        <v>29028.26</v>
      </c>
      <c r="AQ132" s="61">
        <v>29028.26</v>
      </c>
      <c r="AR132" s="61">
        <v>29028.26</v>
      </c>
      <c r="AS132" s="61">
        <v>29028.26</v>
      </c>
      <c r="AT132" s="61">
        <v>29028.26</v>
      </c>
      <c r="AU132" s="61">
        <v>29028.26</v>
      </c>
      <c r="AV132" s="61"/>
      <c r="AW132" s="61"/>
      <c r="AX132" s="61"/>
      <c r="AY132" s="61"/>
      <c r="AZ132" s="61"/>
      <c r="BA132" s="61"/>
      <c r="BB132" s="80">
        <f>SUM(Financials20263[[#This Row],[Jan AC]:[Dec AC]])</f>
        <v>174169.56</v>
      </c>
      <c r="BC132" s="71">
        <f>Financials20263[[#This Row],[Jan AC]]-Financials20263[[#This Row],[Jan FC]]</f>
        <v>0</v>
      </c>
      <c r="BD132" s="71">
        <f>Financials20263[[#This Row],[Feb AC]]-Financials20263[[#This Row],[Feb FC]]</f>
        <v>0</v>
      </c>
      <c r="BE132" s="71">
        <f>Financials20263[[#This Row],[Mar AC]]-Financials20263[[#This Row],[Mar FC]]</f>
        <v>0</v>
      </c>
      <c r="BF132" s="71">
        <f>Financials20263[[#This Row],[Apr AC]]-Financials20263[[#This Row],[Apr FC]]</f>
        <v>0</v>
      </c>
      <c r="BG132" s="71">
        <f>Financials20263[[#This Row],[May AC]]-Financials20263[[#This Row],[May FC]]</f>
        <v>0</v>
      </c>
      <c r="BH132" s="71">
        <f>Financials20263[[#This Row],[Jun AC]]-Financials20263[[#This Row],[Jun FC]]</f>
        <v>0</v>
      </c>
      <c r="BI132" s="71">
        <f>Financials20263[[#This Row],[Jul AC]]-Financials20263[[#This Row],[Jul FC]]</f>
        <v>0</v>
      </c>
      <c r="BJ132" s="71">
        <f>Financials20263[[#This Row],[Aug AC]]-Financials20263[[#This Row],[Aug FC]]</f>
        <v>0</v>
      </c>
      <c r="BK132" s="71">
        <f>Financials20263[[#This Row],[Sep AC]]-Financials20263[[#This Row],[Sep FC]]</f>
        <v>0</v>
      </c>
      <c r="BL132" s="71">
        <f>Financials20263[[#This Row],[Oct AC]]-Financials20263[[#This Row],[Oct FC]]</f>
        <v>0</v>
      </c>
      <c r="BM132" s="71">
        <f>Financials20263[[#This Row],[Nov AC]]-Financials20263[[#This Row],[Nov FC]]</f>
        <v>0</v>
      </c>
      <c r="BN132" s="71">
        <f>Financials20263[[#This Row],[Dec AC]]-Financials20263[[#This Row],[Dec FC]]</f>
        <v>0</v>
      </c>
      <c r="BO132" s="71">
        <f>SUM(Financials20263[[#This Row],[Jan Opp/Risk]:[Dec Opp./Risk]])</f>
        <v>0</v>
      </c>
      <c r="BP132" s="87" t="s">
        <v>519</v>
      </c>
      <c r="BQ132" s="47">
        <f>SUM(Financials20263[[#This Row],[Jan AC]:[May AC]])</f>
        <v>145141.29999999999</v>
      </c>
      <c r="BR132" s="6">
        <f>Financials20263[[#This Row],[2026 (Actuals + Forecast)]]-Financials20263[[#This Row],[Jan-May Actuals]]-Financials20263[[#This Row],[Jun-Dec FC]]</f>
        <v>0</v>
      </c>
      <c r="BS132" s="6">
        <f>Financials20263[[#This Row],[Jun-Dec FC]]+Financials20263[[#This Row],[Jan-May Forecast ]]</f>
        <v>29028.26</v>
      </c>
      <c r="BT132" s="6">
        <f>SUM(Financials20263[[#This Row],[Jan FC]:[May FC]])</f>
        <v>145141.29999999999</v>
      </c>
      <c r="BU132" s="6">
        <f>Financials20263[[#This Row],[Jan-May Actuals]]+Financials20263[[#This Row],[Forecast Jun-Dec]]</f>
        <v>174169.56</v>
      </c>
      <c r="BV132" s="6"/>
      <c r="BW132" s="6"/>
      <c r="BX132" s="6"/>
    </row>
    <row r="133" spans="1:76" x14ac:dyDescent="0.3">
      <c r="A133" s="22" t="s">
        <v>101</v>
      </c>
      <c r="B133" s="21" t="s">
        <v>278</v>
      </c>
      <c r="C133" s="21" t="s">
        <v>279</v>
      </c>
      <c r="D133" s="10" t="s">
        <v>33</v>
      </c>
      <c r="E133" s="7" t="s">
        <v>396</v>
      </c>
      <c r="F133" s="3" t="s">
        <v>211</v>
      </c>
      <c r="G133" s="3" t="s">
        <v>48</v>
      </c>
      <c r="H133" s="4">
        <v>45943</v>
      </c>
      <c r="I133" s="4">
        <v>46109</v>
      </c>
      <c r="J133" s="3" t="s">
        <v>397</v>
      </c>
      <c r="K133" s="3" t="str">
        <f t="shared" si="47"/>
        <v>Prj000476-Implement - Reporting to Support DGC</v>
      </c>
      <c r="L133" s="21" t="s">
        <v>106</v>
      </c>
      <c r="M133" s="21" t="s">
        <v>7</v>
      </c>
      <c r="N133" s="21" t="s">
        <v>7</v>
      </c>
      <c r="O133" s="21"/>
      <c r="P133" s="21" t="s">
        <v>107</v>
      </c>
      <c r="Q133" s="21" t="s">
        <v>108</v>
      </c>
      <c r="R133" s="21" t="s">
        <v>108</v>
      </c>
      <c r="S133" s="21" t="s">
        <v>132</v>
      </c>
      <c r="T133" s="5">
        <v>3529.53</v>
      </c>
      <c r="U133" s="5">
        <v>7470</v>
      </c>
      <c r="V133" s="5">
        <v>7470</v>
      </c>
      <c r="W133" s="15">
        <f t="shared" si="48"/>
        <v>7470</v>
      </c>
      <c r="X133" s="15">
        <f t="shared" si="33"/>
        <v>0</v>
      </c>
      <c r="Y133" s="15">
        <f t="shared" si="49"/>
        <v>0</v>
      </c>
      <c r="Z133" s="15">
        <f>SUM(Financials20263[[#This Row],[2026 Opportunity]:[2026 Risk]])</f>
        <v>0</v>
      </c>
      <c r="AA133" s="3" t="s">
        <v>398</v>
      </c>
      <c r="AB133" s="52"/>
      <c r="AC133" s="52"/>
      <c r="AD133" s="52"/>
      <c r="AE133" s="52"/>
      <c r="AF133" s="52"/>
      <c r="AG133" s="52"/>
      <c r="AH133" s="52"/>
      <c r="AI133" s="52"/>
      <c r="AJ133" s="52"/>
      <c r="AK133" s="52"/>
      <c r="AL133" s="52">
        <v>7470</v>
      </c>
      <c r="AM133" s="52"/>
      <c r="AN133" s="52">
        <f>SUM(Financials20263[[#This Row],[Jan FC]:[Dec FC]])</f>
        <v>7470</v>
      </c>
      <c r="AO133" s="15">
        <f t="shared" si="50"/>
        <v>7470</v>
      </c>
      <c r="AP133" s="61"/>
      <c r="AQ133" s="61"/>
      <c r="AR133" s="61"/>
      <c r="AS133" s="61"/>
      <c r="AT133" s="61"/>
      <c r="AU133" s="61"/>
      <c r="AV133" s="61"/>
      <c r="AW133" s="61"/>
      <c r="AX133" s="61"/>
      <c r="AY133" s="61"/>
      <c r="AZ133" s="61"/>
      <c r="BA133" s="61"/>
      <c r="BB133" s="80">
        <f>SUM(Financials20263[[#This Row],[Jan AC]:[Dec AC]])</f>
        <v>0</v>
      </c>
      <c r="BC133" s="71">
        <f>Financials20263[[#This Row],[Jan AC]]-Financials20263[[#This Row],[Jan FC]]</f>
        <v>0</v>
      </c>
      <c r="BD133" s="71">
        <f>Financials20263[[#This Row],[Feb AC]]-Financials20263[[#This Row],[Feb FC]]</f>
        <v>0</v>
      </c>
      <c r="BE133" s="71">
        <f>Financials20263[[#This Row],[Mar AC]]-Financials20263[[#This Row],[Mar FC]]</f>
        <v>0</v>
      </c>
      <c r="BF133" s="71">
        <f>Financials20263[[#This Row],[Apr AC]]-Financials20263[[#This Row],[Apr FC]]</f>
        <v>0</v>
      </c>
      <c r="BG133" s="71">
        <f>Financials20263[[#This Row],[May AC]]-Financials20263[[#This Row],[May FC]]</f>
        <v>0</v>
      </c>
      <c r="BH133" s="71">
        <f>Financials20263[[#This Row],[Jun AC]]-Financials20263[[#This Row],[Jun FC]]</f>
        <v>0</v>
      </c>
      <c r="BI133" s="71">
        <f>Financials20263[[#This Row],[Jul AC]]-Financials20263[[#This Row],[Jul FC]]</f>
        <v>0</v>
      </c>
      <c r="BJ133" s="71">
        <f>Financials20263[[#This Row],[Aug AC]]-Financials20263[[#This Row],[Aug FC]]</f>
        <v>0</v>
      </c>
      <c r="BK133" s="71">
        <f>Financials20263[[#This Row],[Sep AC]]-Financials20263[[#This Row],[Sep FC]]</f>
        <v>0</v>
      </c>
      <c r="BL133" s="71">
        <f>Financials20263[[#This Row],[Oct AC]]-Financials20263[[#This Row],[Oct FC]]</f>
        <v>0</v>
      </c>
      <c r="BM133" s="71">
        <f>Financials20263[[#This Row],[Nov AC]]-Financials20263[[#This Row],[Nov FC]]</f>
        <v>-7470</v>
      </c>
      <c r="BN133" s="71">
        <f>Financials20263[[#This Row],[Dec AC]]-Financials20263[[#This Row],[Dec FC]]</f>
        <v>0</v>
      </c>
      <c r="BO133" s="71">
        <f>SUM(Financials20263[[#This Row],[Jan Opp/Risk]:[Dec Opp./Risk]])</f>
        <v>-7470</v>
      </c>
      <c r="BP133" s="87"/>
      <c r="BQ133" s="47">
        <f>SUM(Financials20263[[#This Row],[Jan AC]:[May AC]])</f>
        <v>0</v>
      </c>
      <c r="BR133" s="6">
        <f>Financials20263[[#This Row],[2026 (Actuals + Forecast)]]-Financials20263[[#This Row],[Jan-May Actuals]]-Financials20263[[#This Row],[Jun-Dec FC]]</f>
        <v>0</v>
      </c>
      <c r="BS133" s="6">
        <f>Financials20263[[#This Row],[Jun-Dec FC]]+Financials20263[[#This Row],[Jan-May Forecast ]]</f>
        <v>7470</v>
      </c>
      <c r="BT133" s="6">
        <f>SUM(Financials20263[[#This Row],[Jan FC]:[May FC]])</f>
        <v>0</v>
      </c>
      <c r="BU133" s="6">
        <f>Financials20263[[#This Row],[Jan-May Actuals]]+Financials20263[[#This Row],[Forecast Jun-Dec]]</f>
        <v>7470</v>
      </c>
      <c r="BV133" s="6"/>
      <c r="BW133" s="6"/>
      <c r="BX133" s="6"/>
    </row>
    <row r="134" spans="1:76" x14ac:dyDescent="0.3">
      <c r="A134" s="22" t="s">
        <v>101</v>
      </c>
      <c r="B134" s="21" t="s">
        <v>208</v>
      </c>
      <c r="C134" s="21" t="s">
        <v>209</v>
      </c>
      <c r="D134" s="10" t="s">
        <v>21</v>
      </c>
      <c r="E134" s="7" t="s">
        <v>399</v>
      </c>
      <c r="F134" s="3" t="s">
        <v>168</v>
      </c>
      <c r="G134" s="3" t="s">
        <v>51</v>
      </c>
      <c r="H134" s="4"/>
      <c r="I134" s="4"/>
      <c r="J134" s="3"/>
      <c r="K134" s="3" t="str">
        <f t="shared" si="47"/>
        <v>Prj000402-Implement - Minor Enhancements for Data Services</v>
      </c>
      <c r="L134" s="21" t="s">
        <v>124</v>
      </c>
      <c r="M134" s="21" t="s">
        <v>5</v>
      </c>
      <c r="N134" s="21" t="s">
        <v>125</v>
      </c>
      <c r="O134" s="21"/>
      <c r="P134" s="21" t="s">
        <v>126</v>
      </c>
      <c r="Q134" s="21" t="s">
        <v>127</v>
      </c>
      <c r="R134" s="21" t="s">
        <v>128</v>
      </c>
      <c r="S134" s="3" t="s">
        <v>385</v>
      </c>
      <c r="T134" s="5">
        <v>0</v>
      </c>
      <c r="U134" s="5">
        <v>100000</v>
      </c>
      <c r="V134" s="5">
        <v>100000</v>
      </c>
      <c r="W134" s="15">
        <f t="shared" si="48"/>
        <v>0</v>
      </c>
      <c r="X134" s="15">
        <f t="shared" si="33"/>
        <v>-100000</v>
      </c>
      <c r="Y134" s="15">
        <f t="shared" si="49"/>
        <v>0</v>
      </c>
      <c r="Z134" s="15">
        <f>SUM(Financials20263[[#This Row],[2026 Opportunity]:[2026 Risk]])</f>
        <v>-100000</v>
      </c>
      <c r="AA134" s="3" t="s">
        <v>743</v>
      </c>
      <c r="AB134" s="52"/>
      <c r="AC134" s="52"/>
      <c r="AD134" s="52"/>
      <c r="AE134" s="52"/>
      <c r="AF134" s="52"/>
      <c r="AG134" s="52"/>
      <c r="AH134" s="52"/>
      <c r="AI134" s="52"/>
      <c r="AJ134" s="52"/>
      <c r="AK134" s="52"/>
      <c r="AL134" s="52"/>
      <c r="AM134" s="46"/>
      <c r="AN134" s="52">
        <f>SUM(Financials20263[[#This Row],[Jan FC]:[Dec FC]])</f>
        <v>0</v>
      </c>
      <c r="AO134" s="15">
        <f t="shared" si="50"/>
        <v>0</v>
      </c>
      <c r="AP134" s="61"/>
      <c r="AQ134" s="61"/>
      <c r="AR134" s="61"/>
      <c r="AS134" s="61"/>
      <c r="AT134" s="61"/>
      <c r="AU134" s="61"/>
      <c r="AV134" s="61"/>
      <c r="AW134" s="61"/>
      <c r="AX134" s="61"/>
      <c r="AY134" s="61"/>
      <c r="AZ134" s="61"/>
      <c r="BA134" s="61"/>
      <c r="BB134" s="80">
        <f>SUM(Financials20263[[#This Row],[Jan AC]:[Dec AC]])</f>
        <v>0</v>
      </c>
      <c r="BC134" s="71">
        <f>Financials20263[[#This Row],[Jan AC]]-Financials20263[[#This Row],[Jan FC]]</f>
        <v>0</v>
      </c>
      <c r="BD134" s="71">
        <f>Financials20263[[#This Row],[Feb AC]]-Financials20263[[#This Row],[Feb FC]]</f>
        <v>0</v>
      </c>
      <c r="BE134" s="71">
        <f>Financials20263[[#This Row],[Mar AC]]-Financials20263[[#This Row],[Mar FC]]</f>
        <v>0</v>
      </c>
      <c r="BF134" s="71">
        <f>Financials20263[[#This Row],[Apr AC]]-Financials20263[[#This Row],[Apr FC]]</f>
        <v>0</v>
      </c>
      <c r="BG134" s="71">
        <f>Financials20263[[#This Row],[May AC]]-Financials20263[[#This Row],[May FC]]</f>
        <v>0</v>
      </c>
      <c r="BH134" s="71">
        <f>Financials20263[[#This Row],[Jun AC]]-Financials20263[[#This Row],[Jun FC]]</f>
        <v>0</v>
      </c>
      <c r="BI134" s="71">
        <f>Financials20263[[#This Row],[Jul AC]]-Financials20263[[#This Row],[Jul FC]]</f>
        <v>0</v>
      </c>
      <c r="BJ134" s="71">
        <f>Financials20263[[#This Row],[Aug AC]]-Financials20263[[#This Row],[Aug FC]]</f>
        <v>0</v>
      </c>
      <c r="BK134" s="71">
        <f>Financials20263[[#This Row],[Sep AC]]-Financials20263[[#This Row],[Sep FC]]</f>
        <v>0</v>
      </c>
      <c r="BL134" s="71">
        <f>Financials20263[[#This Row],[Oct AC]]-Financials20263[[#This Row],[Oct FC]]</f>
        <v>0</v>
      </c>
      <c r="BM134" s="71">
        <f>Financials20263[[#This Row],[Nov AC]]-Financials20263[[#This Row],[Nov FC]]</f>
        <v>0</v>
      </c>
      <c r="BN134" s="71">
        <f>Financials20263[[#This Row],[Dec AC]]-Financials20263[[#This Row],[Dec FC]]</f>
        <v>0</v>
      </c>
      <c r="BO134" s="71">
        <f>SUM(Financials20263[[#This Row],[Jan Opp/Risk]:[Dec Opp./Risk]])</f>
        <v>0</v>
      </c>
      <c r="BP134" s="87" t="s">
        <v>623</v>
      </c>
      <c r="BQ134" s="47">
        <f>SUM(Financials20263[[#This Row],[Jan AC]:[May AC]])</f>
        <v>0</v>
      </c>
      <c r="BR134" s="6">
        <f>Financials20263[[#This Row],[2026 (Actuals + Forecast)]]-Financials20263[[#This Row],[Jan-May Actuals]]-Financials20263[[#This Row],[Jun-Dec FC]]</f>
        <v>0</v>
      </c>
      <c r="BS134" s="6">
        <f>Financials20263[[#This Row],[Jun-Dec FC]]+Financials20263[[#This Row],[Jan-May Forecast ]]</f>
        <v>0</v>
      </c>
      <c r="BT134" s="6">
        <f>SUM(Financials20263[[#This Row],[Jan FC]:[May FC]])</f>
        <v>0</v>
      </c>
      <c r="BU134" s="6">
        <f>Financials20263[[#This Row],[Jan-May Actuals]]+Financials20263[[#This Row],[Forecast Jun-Dec]]</f>
        <v>0</v>
      </c>
      <c r="BV134" s="6"/>
      <c r="BW134" s="6"/>
      <c r="BX134" s="6"/>
    </row>
    <row r="135" spans="1:76" x14ac:dyDescent="0.3">
      <c r="A135" s="22" t="s">
        <v>101</v>
      </c>
      <c r="B135" s="21" t="s">
        <v>400</v>
      </c>
      <c r="C135" s="21"/>
      <c r="D135" s="10" t="s">
        <v>12</v>
      </c>
      <c r="E135" s="7" t="s">
        <v>401</v>
      </c>
      <c r="F135" s="3" t="s">
        <v>123</v>
      </c>
      <c r="G135" s="3" t="s">
        <v>50</v>
      </c>
      <c r="H135" s="4"/>
      <c r="I135" s="4"/>
      <c r="J135" s="3"/>
      <c r="K135" s="3" t="str">
        <f t="shared" si="47"/>
        <v>Prj000278-Implement - Fund Acctn Modules to Support BS Transition</v>
      </c>
      <c r="L135" s="21" t="s">
        <v>124</v>
      </c>
      <c r="M135" s="21" t="s">
        <v>2</v>
      </c>
      <c r="N135" s="21" t="s">
        <v>350</v>
      </c>
      <c r="O135" s="21"/>
      <c r="P135" s="21" t="s">
        <v>345</v>
      </c>
      <c r="Q135" s="21" t="s">
        <v>346</v>
      </c>
      <c r="R135" s="21" t="s">
        <v>143</v>
      </c>
      <c r="S135" s="3" t="s">
        <v>385</v>
      </c>
      <c r="T135" s="5">
        <v>0</v>
      </c>
      <c r="U135" s="5">
        <v>250000</v>
      </c>
      <c r="V135" s="5">
        <v>250000</v>
      </c>
      <c r="W135" s="15">
        <f t="shared" si="48"/>
        <v>150000</v>
      </c>
      <c r="X135" s="15">
        <f t="shared" si="33"/>
        <v>-100000</v>
      </c>
      <c r="Y135" s="15">
        <f t="shared" si="49"/>
        <v>0</v>
      </c>
      <c r="Z135" s="15">
        <f>SUM(Financials20263[[#This Row],[2026 Opportunity]:[2026 Risk]])</f>
        <v>-100000</v>
      </c>
      <c r="AA135" s="3" t="s">
        <v>388</v>
      </c>
      <c r="AB135" s="52"/>
      <c r="AC135" s="52"/>
      <c r="AD135" s="52"/>
      <c r="AE135" s="52"/>
      <c r="AF135" s="52"/>
      <c r="AG135" s="52"/>
      <c r="AH135" s="52"/>
      <c r="AI135" s="52"/>
      <c r="AJ135" s="52"/>
      <c r="AK135" s="52"/>
      <c r="AL135" s="52"/>
      <c r="AM135" s="46">
        <v>150000</v>
      </c>
      <c r="AN135" s="52">
        <f>SUM(Financials20263[[#This Row],[Jan FC]:[Dec FC]])</f>
        <v>150000</v>
      </c>
      <c r="AO135" s="15">
        <f t="shared" si="50"/>
        <v>150000</v>
      </c>
      <c r="AP135" s="61"/>
      <c r="AQ135" s="61"/>
      <c r="AR135" s="61"/>
      <c r="AS135" s="61"/>
      <c r="AT135" s="61"/>
      <c r="AU135" s="61"/>
      <c r="AV135" s="61"/>
      <c r="AW135" s="61"/>
      <c r="AX135" s="61"/>
      <c r="AY135" s="61"/>
      <c r="AZ135" s="61"/>
      <c r="BA135" s="61"/>
      <c r="BB135" s="80">
        <f>SUM(Financials20263[[#This Row],[Jan AC]:[Dec AC]])</f>
        <v>0</v>
      </c>
      <c r="BC135" s="71">
        <f>Financials20263[[#This Row],[Jan AC]]-Financials20263[[#This Row],[Jan FC]]</f>
        <v>0</v>
      </c>
      <c r="BD135" s="71">
        <f>Financials20263[[#This Row],[Feb AC]]-Financials20263[[#This Row],[Feb FC]]</f>
        <v>0</v>
      </c>
      <c r="BE135" s="71">
        <f>Financials20263[[#This Row],[Mar AC]]-Financials20263[[#This Row],[Mar FC]]</f>
        <v>0</v>
      </c>
      <c r="BF135" s="71">
        <f>Financials20263[[#This Row],[Apr AC]]-Financials20263[[#This Row],[Apr FC]]</f>
        <v>0</v>
      </c>
      <c r="BG135" s="71">
        <f>Financials20263[[#This Row],[May AC]]-Financials20263[[#This Row],[May FC]]</f>
        <v>0</v>
      </c>
      <c r="BH135" s="71">
        <f>Financials20263[[#This Row],[Jun AC]]-Financials20263[[#This Row],[Jun FC]]</f>
        <v>0</v>
      </c>
      <c r="BI135" s="71">
        <f>Financials20263[[#This Row],[Jul AC]]-Financials20263[[#This Row],[Jul FC]]</f>
        <v>0</v>
      </c>
      <c r="BJ135" s="71">
        <f>Financials20263[[#This Row],[Aug AC]]-Financials20263[[#This Row],[Aug FC]]</f>
        <v>0</v>
      </c>
      <c r="BK135" s="71">
        <f>Financials20263[[#This Row],[Sep AC]]-Financials20263[[#This Row],[Sep FC]]</f>
        <v>0</v>
      </c>
      <c r="BL135" s="71">
        <f>Financials20263[[#This Row],[Oct AC]]-Financials20263[[#This Row],[Oct FC]]</f>
        <v>0</v>
      </c>
      <c r="BM135" s="71">
        <f>Financials20263[[#This Row],[Nov AC]]-Financials20263[[#This Row],[Nov FC]]</f>
        <v>0</v>
      </c>
      <c r="BN135" s="71">
        <f>Financials20263[[#This Row],[Dec AC]]-Financials20263[[#This Row],[Dec FC]]</f>
        <v>-150000</v>
      </c>
      <c r="BO135" s="71">
        <f>SUM(Financials20263[[#This Row],[Jan Opp/Risk]:[Dec Opp./Risk]])</f>
        <v>-150000</v>
      </c>
      <c r="BP135" s="87" t="s">
        <v>623</v>
      </c>
      <c r="BQ135" s="47">
        <f>SUM(Financials20263[[#This Row],[Jan AC]:[May AC]])</f>
        <v>0</v>
      </c>
      <c r="BR135" s="6">
        <f>Financials20263[[#This Row],[2026 (Actuals + Forecast)]]-Financials20263[[#This Row],[Jan-May Actuals]]-Financials20263[[#This Row],[Jun-Dec FC]]</f>
        <v>0</v>
      </c>
      <c r="BS135" s="6">
        <f>Financials20263[[#This Row],[Jun-Dec FC]]+Financials20263[[#This Row],[Jan-May Forecast ]]</f>
        <v>150000</v>
      </c>
      <c r="BT135" s="6">
        <f>SUM(Financials20263[[#This Row],[Jan FC]:[May FC]])</f>
        <v>0</v>
      </c>
      <c r="BU135" s="6">
        <f>Financials20263[[#This Row],[Jan-May Actuals]]+Financials20263[[#This Row],[Forecast Jun-Dec]]</f>
        <v>150000</v>
      </c>
      <c r="BV135" s="6" t="s">
        <v>751</v>
      </c>
      <c r="BW135" s="6"/>
      <c r="BX135" s="6"/>
    </row>
    <row r="136" spans="1:76" x14ac:dyDescent="0.3">
      <c r="A136" s="22" t="s">
        <v>101</v>
      </c>
      <c r="B136" s="21" t="s">
        <v>402</v>
      </c>
      <c r="C136" s="21"/>
      <c r="D136" s="10" t="s">
        <v>14</v>
      </c>
      <c r="E136" s="7" t="s">
        <v>403</v>
      </c>
      <c r="F136" s="3" t="s">
        <v>114</v>
      </c>
      <c r="G136" s="3" t="s">
        <v>53</v>
      </c>
      <c r="H136" s="4">
        <v>45971</v>
      </c>
      <c r="I136" s="4">
        <v>46190</v>
      </c>
      <c r="J136" s="3"/>
      <c r="K136" s="3" t="str">
        <f t="shared" si="47"/>
        <v>Prj000296-Support - PMO Governance &amp; Reporting Activities</v>
      </c>
      <c r="L136" s="21" t="s">
        <v>106</v>
      </c>
      <c r="M136" s="21" t="s">
        <v>7</v>
      </c>
      <c r="N136" s="21" t="s">
        <v>7</v>
      </c>
      <c r="O136" s="21"/>
      <c r="P136" s="21" t="s">
        <v>107</v>
      </c>
      <c r="Q136" s="21" t="s">
        <v>201</v>
      </c>
      <c r="R136" s="21" t="s">
        <v>201</v>
      </c>
      <c r="S136" s="3" t="s">
        <v>109</v>
      </c>
      <c r="T136" s="5">
        <v>52988.05</v>
      </c>
      <c r="U136" s="5">
        <v>100000</v>
      </c>
      <c r="V136" s="5">
        <v>100000</v>
      </c>
      <c r="W136" s="15">
        <f t="shared" si="48"/>
        <v>113850</v>
      </c>
      <c r="X136" s="15">
        <f t="shared" si="33"/>
        <v>0</v>
      </c>
      <c r="Y136" s="15">
        <f t="shared" si="49"/>
        <v>13850</v>
      </c>
      <c r="Z136" s="15">
        <f>SUM(Financials20263[[#This Row],[2026 Opportunity]:[2026 Risk]])</f>
        <v>13850</v>
      </c>
      <c r="AA136" s="3" t="s">
        <v>639</v>
      </c>
      <c r="AB136" s="52"/>
      <c r="AC136" s="52"/>
      <c r="AD136" s="52"/>
      <c r="AE136" s="52"/>
      <c r="AF136" s="52"/>
      <c r="AG136" s="52"/>
      <c r="AH136" s="52"/>
      <c r="AI136" s="52">
        <v>113850</v>
      </c>
      <c r="AJ136" s="52"/>
      <c r="AK136" s="52"/>
      <c r="AL136" s="52"/>
      <c r="AM136" s="52"/>
      <c r="AN136" s="52">
        <f>SUM(Financials20263[[#This Row],[Jan FC]:[Dec FC]])</f>
        <v>113850</v>
      </c>
      <c r="AO136" s="15">
        <f t="shared" si="50"/>
        <v>113850</v>
      </c>
      <c r="AP136" s="61"/>
      <c r="AQ136" s="61"/>
      <c r="AR136" s="61"/>
      <c r="AS136" s="61"/>
      <c r="AT136" s="61"/>
      <c r="AU136" s="61"/>
      <c r="AV136" s="61"/>
      <c r="AW136" s="61"/>
      <c r="AX136" s="61"/>
      <c r="AY136" s="61"/>
      <c r="AZ136" s="61"/>
      <c r="BA136" s="61"/>
      <c r="BB136" s="80">
        <f>SUM(Financials20263[[#This Row],[Jan AC]:[Dec AC]])</f>
        <v>0</v>
      </c>
      <c r="BC136" s="71">
        <f>Financials20263[[#This Row],[Jan AC]]-Financials20263[[#This Row],[Jan FC]]</f>
        <v>0</v>
      </c>
      <c r="BD136" s="71">
        <f>Financials20263[[#This Row],[Feb AC]]-Financials20263[[#This Row],[Feb FC]]</f>
        <v>0</v>
      </c>
      <c r="BE136" s="71">
        <f>Financials20263[[#This Row],[Mar AC]]-Financials20263[[#This Row],[Mar FC]]</f>
        <v>0</v>
      </c>
      <c r="BF136" s="71">
        <f>Financials20263[[#This Row],[Apr AC]]-Financials20263[[#This Row],[Apr FC]]</f>
        <v>0</v>
      </c>
      <c r="BG136" s="71">
        <f>Financials20263[[#This Row],[May AC]]-Financials20263[[#This Row],[May FC]]</f>
        <v>0</v>
      </c>
      <c r="BH136" s="71">
        <f>Financials20263[[#This Row],[Jun AC]]-Financials20263[[#This Row],[Jun FC]]</f>
        <v>0</v>
      </c>
      <c r="BI136" s="71">
        <f>Financials20263[[#This Row],[Jul AC]]-Financials20263[[#This Row],[Jul FC]]</f>
        <v>0</v>
      </c>
      <c r="BJ136" s="71">
        <f>Financials20263[[#This Row],[Aug AC]]-Financials20263[[#This Row],[Aug FC]]</f>
        <v>-113850</v>
      </c>
      <c r="BK136" s="71">
        <f>Financials20263[[#This Row],[Sep AC]]-Financials20263[[#This Row],[Sep FC]]</f>
        <v>0</v>
      </c>
      <c r="BL136" s="71">
        <f>Financials20263[[#This Row],[Oct AC]]-Financials20263[[#This Row],[Oct FC]]</f>
        <v>0</v>
      </c>
      <c r="BM136" s="71">
        <f>Financials20263[[#This Row],[Nov AC]]-Financials20263[[#This Row],[Nov FC]]</f>
        <v>0</v>
      </c>
      <c r="BN136" s="71">
        <f>Financials20263[[#This Row],[Dec AC]]-Financials20263[[#This Row],[Dec FC]]</f>
        <v>0</v>
      </c>
      <c r="BO136" s="71">
        <f>SUM(Financials20263[[#This Row],[Jan Opp/Risk]:[Dec Opp./Risk]])</f>
        <v>-113850</v>
      </c>
      <c r="BP136" s="87" t="s">
        <v>623</v>
      </c>
      <c r="BQ136" s="47">
        <f>SUM(Financials20263[[#This Row],[Jan AC]:[May AC]])</f>
        <v>0</v>
      </c>
      <c r="BR136" s="6">
        <f>Financials20263[[#This Row],[2026 (Actuals + Forecast)]]-Financials20263[[#This Row],[Jan-May Actuals]]-Financials20263[[#This Row],[Jun-Dec FC]]</f>
        <v>0</v>
      </c>
      <c r="BS136" s="6">
        <f>Financials20263[[#This Row],[Jun-Dec FC]]+Financials20263[[#This Row],[Jan-May Forecast ]]</f>
        <v>113850</v>
      </c>
      <c r="BT136" s="6">
        <f>SUM(Financials20263[[#This Row],[Jan FC]:[May FC]])</f>
        <v>0</v>
      </c>
      <c r="BU136" s="6">
        <f>Financials20263[[#This Row],[Jan-May Actuals]]+Financials20263[[#This Row],[Forecast Jun-Dec]]</f>
        <v>113850</v>
      </c>
      <c r="BV136" s="6"/>
      <c r="BW136" s="6"/>
      <c r="BX136" s="6"/>
    </row>
    <row r="137" spans="1:76" ht="43.2" x14ac:dyDescent="0.3">
      <c r="A137" s="22" t="s">
        <v>101</v>
      </c>
      <c r="B137" s="21" t="s">
        <v>181</v>
      </c>
      <c r="C137" s="21"/>
      <c r="D137" s="10" t="s">
        <v>18</v>
      </c>
      <c r="E137" s="7" t="s">
        <v>386</v>
      </c>
      <c r="F137" s="3" t="s">
        <v>183</v>
      </c>
      <c r="G137" s="3" t="s">
        <v>48</v>
      </c>
      <c r="H137" s="4">
        <v>46023</v>
      </c>
      <c r="I137" s="4">
        <v>46112</v>
      </c>
      <c r="J137" s="3"/>
      <c r="K137" s="3" t="str">
        <f t="shared" si="47"/>
        <v>Prj000353-Implement - L1/L2 CoE for Additional Platforms</v>
      </c>
      <c r="L137" s="21" t="s">
        <v>124</v>
      </c>
      <c r="M137" s="21" t="s">
        <v>2</v>
      </c>
      <c r="N137" s="21" t="s">
        <v>341</v>
      </c>
      <c r="O137" s="21"/>
      <c r="P137" s="21" t="s">
        <v>126</v>
      </c>
      <c r="Q137" s="21" t="s">
        <v>127</v>
      </c>
      <c r="R137" s="21" t="s">
        <v>128</v>
      </c>
      <c r="S137" s="3" t="s">
        <v>385</v>
      </c>
      <c r="T137" s="15">
        <v>0</v>
      </c>
      <c r="U137" s="15">
        <v>250000</v>
      </c>
      <c r="V137" s="5">
        <f>250000-197929</f>
        <v>52071</v>
      </c>
      <c r="W137" s="15">
        <f t="shared" si="48"/>
        <v>0</v>
      </c>
      <c r="X137" s="15">
        <f t="shared" ref="X137:X150" si="51">IF(V137 &gt;= W137, V137 - W137, 0)*-1</f>
        <v>-52071</v>
      </c>
      <c r="Y137" s="15">
        <f t="shared" si="49"/>
        <v>0</v>
      </c>
      <c r="Z137" s="15">
        <f>SUM(Financials20263[[#This Row],[2026 Opportunity]:[2026 Risk]])</f>
        <v>-52071</v>
      </c>
      <c r="AA137" s="3" t="s">
        <v>741</v>
      </c>
      <c r="AB137" s="52"/>
      <c r="AC137" s="52"/>
      <c r="AD137" s="52"/>
      <c r="AE137" s="52"/>
      <c r="AF137" s="52"/>
      <c r="AG137" s="52"/>
      <c r="AH137" s="52"/>
      <c r="AI137" s="52"/>
      <c r="AJ137" s="52"/>
      <c r="AK137" s="52"/>
      <c r="AL137" s="52"/>
      <c r="AM137" s="46"/>
      <c r="AN137" s="75">
        <f>SUM(Financials20263[[#This Row],[Jan FC]:[Dec FC]])</f>
        <v>0</v>
      </c>
      <c r="AO137" s="15">
        <f t="shared" si="50"/>
        <v>0</v>
      </c>
      <c r="AP137" s="61"/>
      <c r="AQ137" s="61"/>
      <c r="AR137" s="61"/>
      <c r="AS137" s="61"/>
      <c r="AT137" s="61"/>
      <c r="AU137" s="61"/>
      <c r="AV137" s="61"/>
      <c r="AW137" s="61"/>
      <c r="AX137" s="61"/>
      <c r="AY137" s="61"/>
      <c r="AZ137" s="61"/>
      <c r="BA137" s="61"/>
      <c r="BB137" s="80">
        <f>SUM(Financials20263[[#This Row],[Jan AC]:[Dec AC]])</f>
        <v>0</v>
      </c>
      <c r="BC137" s="71">
        <f>Financials20263[[#This Row],[Jan AC]]-Financials20263[[#This Row],[Jan FC]]</f>
        <v>0</v>
      </c>
      <c r="BD137" s="71">
        <f>Financials20263[[#This Row],[Feb AC]]-Financials20263[[#This Row],[Feb FC]]</f>
        <v>0</v>
      </c>
      <c r="BE137" s="71">
        <f>Financials20263[[#This Row],[Mar AC]]-Financials20263[[#This Row],[Mar FC]]</f>
        <v>0</v>
      </c>
      <c r="BF137" s="71">
        <f>Financials20263[[#This Row],[Apr AC]]-Financials20263[[#This Row],[Apr FC]]</f>
        <v>0</v>
      </c>
      <c r="BG137" s="71">
        <f>Financials20263[[#This Row],[May AC]]-Financials20263[[#This Row],[May FC]]</f>
        <v>0</v>
      </c>
      <c r="BH137" s="71">
        <f>Financials20263[[#This Row],[Jun AC]]-Financials20263[[#This Row],[Jun FC]]</f>
        <v>0</v>
      </c>
      <c r="BI137" s="71">
        <f>Financials20263[[#This Row],[Jul AC]]-Financials20263[[#This Row],[Jul FC]]</f>
        <v>0</v>
      </c>
      <c r="BJ137" s="71">
        <f>Financials20263[[#This Row],[Aug AC]]-Financials20263[[#This Row],[Aug FC]]</f>
        <v>0</v>
      </c>
      <c r="BK137" s="71">
        <f>Financials20263[[#This Row],[Sep AC]]-Financials20263[[#This Row],[Sep FC]]</f>
        <v>0</v>
      </c>
      <c r="BL137" s="71">
        <f>Financials20263[[#This Row],[Oct AC]]-Financials20263[[#This Row],[Oct FC]]</f>
        <v>0</v>
      </c>
      <c r="BM137" s="71">
        <f>Financials20263[[#This Row],[Nov AC]]-Financials20263[[#This Row],[Nov FC]]</f>
        <v>0</v>
      </c>
      <c r="BN137" s="71">
        <f>Financials20263[[#This Row],[Dec AC]]-Financials20263[[#This Row],[Dec FC]]</f>
        <v>0</v>
      </c>
      <c r="BO137" s="71">
        <f>SUM(Financials20263[[#This Row],[Jan Opp/Risk]:[Dec Opp./Risk]])</f>
        <v>0</v>
      </c>
      <c r="BP137" s="44" t="s">
        <v>418</v>
      </c>
      <c r="BQ137" s="47">
        <f>SUM(Financials20263[[#This Row],[Jan AC]:[May AC]])</f>
        <v>0</v>
      </c>
      <c r="BR137" s="6">
        <f>Financials20263[[#This Row],[2026 (Actuals + Forecast)]]-Financials20263[[#This Row],[Jan-May Actuals]]-Financials20263[[#This Row],[Jun-Dec FC]]</f>
        <v>0</v>
      </c>
      <c r="BS137" s="6">
        <f>Financials20263[[#This Row],[Jun-Dec FC]]+Financials20263[[#This Row],[Jan-May Forecast ]]</f>
        <v>0</v>
      </c>
      <c r="BT137" s="6">
        <f>SUM(Financials20263[[#This Row],[Jan FC]:[May FC]])</f>
        <v>0</v>
      </c>
      <c r="BU137" s="6">
        <f>Financials20263[[#This Row],[Jan-May Actuals]]+Financials20263[[#This Row],[Forecast Jun-Dec]]</f>
        <v>0</v>
      </c>
      <c r="BV137" s="6" t="s">
        <v>751</v>
      </c>
      <c r="BW137" s="6"/>
      <c r="BX137" s="6"/>
    </row>
    <row r="138" spans="1:76" x14ac:dyDescent="0.3">
      <c r="A138" s="22" t="s">
        <v>101</v>
      </c>
      <c r="B138" s="21" t="s">
        <v>181</v>
      </c>
      <c r="C138" s="21"/>
      <c r="D138" s="10" t="s">
        <v>14</v>
      </c>
      <c r="E138" s="7" t="s">
        <v>403</v>
      </c>
      <c r="F138" s="3" t="s">
        <v>114</v>
      </c>
      <c r="G138" s="3" t="s">
        <v>53</v>
      </c>
      <c r="H138" s="4"/>
      <c r="I138" s="4"/>
      <c r="J138" s="3"/>
      <c r="K138" s="3" t="str">
        <f t="shared" si="47"/>
        <v>Prj000296-Support - PMO Governance &amp; Reporting Activities</v>
      </c>
      <c r="L138" s="21" t="s">
        <v>124</v>
      </c>
      <c r="M138" s="21" t="s">
        <v>2</v>
      </c>
      <c r="N138" s="21" t="s">
        <v>341</v>
      </c>
      <c r="O138" s="21"/>
      <c r="P138" s="21" t="s">
        <v>126</v>
      </c>
      <c r="Q138" s="21" t="s">
        <v>127</v>
      </c>
      <c r="R138" s="21" t="s">
        <v>128</v>
      </c>
      <c r="S138" s="3" t="s">
        <v>385</v>
      </c>
      <c r="T138" s="15">
        <v>0</v>
      </c>
      <c r="U138" s="5">
        <v>100000</v>
      </c>
      <c r="V138" s="5">
        <v>100000</v>
      </c>
      <c r="W138" s="15">
        <f t="shared" si="48"/>
        <v>0</v>
      </c>
      <c r="X138" s="15">
        <f t="shared" si="51"/>
        <v>-100000</v>
      </c>
      <c r="Y138" s="15">
        <f t="shared" si="49"/>
        <v>0</v>
      </c>
      <c r="Z138" s="15">
        <f>SUM(Financials20263[[#This Row],[2026 Opportunity]:[2026 Risk]])</f>
        <v>-100000</v>
      </c>
      <c r="AA138" s="3" t="s">
        <v>404</v>
      </c>
      <c r="AB138" s="52"/>
      <c r="AC138" s="52"/>
      <c r="AD138" s="52"/>
      <c r="AE138" s="52"/>
      <c r="AF138" s="52"/>
      <c r="AG138" s="52"/>
      <c r="AH138" s="52"/>
      <c r="AI138" s="52"/>
      <c r="AJ138" s="52"/>
      <c r="AK138" s="52"/>
      <c r="AL138" s="52"/>
      <c r="AM138" s="52"/>
      <c r="AN138" s="52">
        <f>SUM(Financials20263[[#This Row],[Jan FC]:[Dec FC]])</f>
        <v>0</v>
      </c>
      <c r="AO138" s="15">
        <f t="shared" si="50"/>
        <v>0</v>
      </c>
      <c r="AP138" s="61"/>
      <c r="AQ138" s="61"/>
      <c r="AR138" s="61"/>
      <c r="AS138" s="61"/>
      <c r="AT138" s="61"/>
      <c r="AU138" s="61"/>
      <c r="AV138" s="61"/>
      <c r="AW138" s="61"/>
      <c r="AX138" s="61"/>
      <c r="AY138" s="61"/>
      <c r="AZ138" s="61"/>
      <c r="BA138" s="61"/>
      <c r="BB138" s="80">
        <f>SUM(Financials20263[[#This Row],[Jan AC]:[Dec AC]])</f>
        <v>0</v>
      </c>
      <c r="BC138" s="71">
        <f>Financials20263[[#This Row],[Jan AC]]-Financials20263[[#This Row],[Jan FC]]</f>
        <v>0</v>
      </c>
      <c r="BD138" s="71">
        <f>Financials20263[[#This Row],[Feb AC]]-Financials20263[[#This Row],[Feb FC]]</f>
        <v>0</v>
      </c>
      <c r="BE138" s="71">
        <f>Financials20263[[#This Row],[Mar AC]]-Financials20263[[#This Row],[Mar FC]]</f>
        <v>0</v>
      </c>
      <c r="BF138" s="71">
        <f>Financials20263[[#This Row],[Apr AC]]-Financials20263[[#This Row],[Apr FC]]</f>
        <v>0</v>
      </c>
      <c r="BG138" s="71">
        <f>Financials20263[[#This Row],[May AC]]-Financials20263[[#This Row],[May FC]]</f>
        <v>0</v>
      </c>
      <c r="BH138" s="71">
        <f>Financials20263[[#This Row],[Jun AC]]-Financials20263[[#This Row],[Jun FC]]</f>
        <v>0</v>
      </c>
      <c r="BI138" s="71">
        <f>Financials20263[[#This Row],[Jul AC]]-Financials20263[[#This Row],[Jul FC]]</f>
        <v>0</v>
      </c>
      <c r="BJ138" s="71">
        <f>Financials20263[[#This Row],[Aug AC]]-Financials20263[[#This Row],[Aug FC]]</f>
        <v>0</v>
      </c>
      <c r="BK138" s="71">
        <f>Financials20263[[#This Row],[Sep AC]]-Financials20263[[#This Row],[Sep FC]]</f>
        <v>0</v>
      </c>
      <c r="BL138" s="71">
        <f>Financials20263[[#This Row],[Oct AC]]-Financials20263[[#This Row],[Oct FC]]</f>
        <v>0</v>
      </c>
      <c r="BM138" s="71">
        <f>Financials20263[[#This Row],[Nov AC]]-Financials20263[[#This Row],[Nov FC]]</f>
        <v>0</v>
      </c>
      <c r="BN138" s="71">
        <f>Financials20263[[#This Row],[Dec AC]]-Financials20263[[#This Row],[Dec FC]]</f>
        <v>0</v>
      </c>
      <c r="BO138" s="71">
        <f>SUM(Financials20263[[#This Row],[Jan Opp/Risk]:[Dec Opp./Risk]])</f>
        <v>0</v>
      </c>
      <c r="BP138" s="87" t="s">
        <v>623</v>
      </c>
      <c r="BQ138" s="47">
        <f>SUM(Financials20263[[#This Row],[Jan AC]:[May AC]])</f>
        <v>0</v>
      </c>
      <c r="BR138" s="6">
        <f>Financials20263[[#This Row],[2026 (Actuals + Forecast)]]-Financials20263[[#This Row],[Jan-May Actuals]]-Financials20263[[#This Row],[Jun-Dec FC]]</f>
        <v>0</v>
      </c>
      <c r="BS138" s="6">
        <f>Financials20263[[#This Row],[Jun-Dec FC]]+Financials20263[[#This Row],[Jan-May Forecast ]]</f>
        <v>0</v>
      </c>
      <c r="BT138" s="6">
        <f>SUM(Financials20263[[#This Row],[Jan FC]:[May FC]])</f>
        <v>0</v>
      </c>
      <c r="BU138" s="6">
        <f>Financials20263[[#This Row],[Jan-May Actuals]]+Financials20263[[#This Row],[Forecast Jun-Dec]]</f>
        <v>0</v>
      </c>
      <c r="BV138" s="6" t="s">
        <v>751</v>
      </c>
      <c r="BW138" s="6"/>
      <c r="BX138" s="6"/>
    </row>
    <row r="139" spans="1:76" x14ac:dyDescent="0.3">
      <c r="A139" s="22" t="s">
        <v>101</v>
      </c>
      <c r="B139" s="21" t="s">
        <v>57</v>
      </c>
      <c r="C139" s="21"/>
      <c r="D139" s="10" t="s">
        <v>17</v>
      </c>
      <c r="E139" s="7" t="s">
        <v>103</v>
      </c>
      <c r="F139" s="3" t="s">
        <v>104</v>
      </c>
      <c r="G139" s="3" t="s">
        <v>49</v>
      </c>
      <c r="H139" s="4" t="s">
        <v>115</v>
      </c>
      <c r="I139" s="4" t="s">
        <v>115</v>
      </c>
      <c r="J139" s="3"/>
      <c r="K139" s="3" t="str">
        <f t="shared" si="47"/>
        <v>Prj000350-Support - Infrastructure for Tech</v>
      </c>
      <c r="L139" s="21" t="s">
        <v>106</v>
      </c>
      <c r="M139" s="21" t="s">
        <v>3</v>
      </c>
      <c r="N139" s="21" t="s">
        <v>3</v>
      </c>
      <c r="O139" s="21"/>
      <c r="P139" s="21" t="s">
        <v>107</v>
      </c>
      <c r="Q139" s="21" t="s">
        <v>378</v>
      </c>
      <c r="R139" s="21" t="s">
        <v>378</v>
      </c>
      <c r="S139" s="21" t="s">
        <v>132</v>
      </c>
      <c r="T139" s="5">
        <v>0</v>
      </c>
      <c r="U139" s="5">
        <v>0</v>
      </c>
      <c r="V139" s="5">
        <v>0</v>
      </c>
      <c r="W139" s="15">
        <f t="shared" si="48"/>
        <v>75000</v>
      </c>
      <c r="X139" s="15">
        <f t="shared" si="51"/>
        <v>0</v>
      </c>
      <c r="Y139" s="15">
        <f t="shared" si="49"/>
        <v>75000</v>
      </c>
      <c r="Z139" s="15">
        <f>SUM(Financials20263[[#This Row],[2026 Opportunity]:[2026 Risk]])</f>
        <v>75000</v>
      </c>
      <c r="AA139" s="3" t="s">
        <v>405</v>
      </c>
      <c r="AB139" s="52"/>
      <c r="AC139" s="52"/>
      <c r="AD139" s="52"/>
      <c r="AE139" s="52"/>
      <c r="AF139" s="52"/>
      <c r="AG139" s="52"/>
      <c r="AH139" s="52"/>
      <c r="AI139" s="52"/>
      <c r="AJ139" s="52"/>
      <c r="AK139" s="52"/>
      <c r="AL139" s="52"/>
      <c r="AM139" s="52">
        <v>75000</v>
      </c>
      <c r="AN139" s="52">
        <f>SUM(Financials20263[[#This Row],[Jan FC]:[Dec FC]])</f>
        <v>75000</v>
      </c>
      <c r="AO139" s="15">
        <f t="shared" si="50"/>
        <v>75000</v>
      </c>
      <c r="AP139" s="61"/>
      <c r="AQ139" s="61"/>
      <c r="AR139" s="61"/>
      <c r="AS139" s="61"/>
      <c r="AT139" s="61"/>
      <c r="AU139" s="61"/>
      <c r="AV139" s="61"/>
      <c r="AW139" s="61"/>
      <c r="AX139" s="61"/>
      <c r="AY139" s="61"/>
      <c r="AZ139" s="61"/>
      <c r="BA139" s="61"/>
      <c r="BB139" s="80">
        <f>SUM(Financials20263[[#This Row],[Jan AC]:[Dec AC]])</f>
        <v>0</v>
      </c>
      <c r="BC139" s="71">
        <f>Financials20263[[#This Row],[Jan AC]]-Financials20263[[#This Row],[Jan FC]]</f>
        <v>0</v>
      </c>
      <c r="BD139" s="71">
        <f>Financials20263[[#This Row],[Feb AC]]-Financials20263[[#This Row],[Feb FC]]</f>
        <v>0</v>
      </c>
      <c r="BE139" s="71">
        <f>Financials20263[[#This Row],[Mar AC]]-Financials20263[[#This Row],[Mar FC]]</f>
        <v>0</v>
      </c>
      <c r="BF139" s="71">
        <f>Financials20263[[#This Row],[Apr AC]]-Financials20263[[#This Row],[Apr FC]]</f>
        <v>0</v>
      </c>
      <c r="BG139" s="71">
        <f>Financials20263[[#This Row],[May AC]]-Financials20263[[#This Row],[May FC]]</f>
        <v>0</v>
      </c>
      <c r="BH139" s="71">
        <f>Financials20263[[#This Row],[Jun AC]]-Financials20263[[#This Row],[Jun FC]]</f>
        <v>0</v>
      </c>
      <c r="BI139" s="71">
        <f>Financials20263[[#This Row],[Jul AC]]-Financials20263[[#This Row],[Jul FC]]</f>
        <v>0</v>
      </c>
      <c r="BJ139" s="71">
        <f>Financials20263[[#This Row],[Aug AC]]-Financials20263[[#This Row],[Aug FC]]</f>
        <v>0</v>
      </c>
      <c r="BK139" s="71">
        <f>Financials20263[[#This Row],[Sep AC]]-Financials20263[[#This Row],[Sep FC]]</f>
        <v>0</v>
      </c>
      <c r="BL139" s="71">
        <f>Financials20263[[#This Row],[Oct AC]]-Financials20263[[#This Row],[Oct FC]]</f>
        <v>0</v>
      </c>
      <c r="BM139" s="71">
        <f>Financials20263[[#This Row],[Nov AC]]-Financials20263[[#This Row],[Nov FC]]</f>
        <v>0</v>
      </c>
      <c r="BN139" s="71">
        <f>Financials20263[[#This Row],[Dec AC]]-Financials20263[[#This Row],[Dec FC]]</f>
        <v>-75000</v>
      </c>
      <c r="BO139" s="71">
        <f>SUM(Financials20263[[#This Row],[Jan Opp/Risk]:[Dec Opp./Risk]])</f>
        <v>-75000</v>
      </c>
      <c r="BP139" s="87" t="s">
        <v>530</v>
      </c>
      <c r="BQ139" s="47">
        <f>SUM(Financials20263[[#This Row],[Jan AC]:[May AC]])</f>
        <v>0</v>
      </c>
      <c r="BR139" s="6">
        <f>Financials20263[[#This Row],[2026 (Actuals + Forecast)]]-Financials20263[[#This Row],[Jan-May Actuals]]-Financials20263[[#This Row],[Jun-Dec FC]]</f>
        <v>0</v>
      </c>
      <c r="BS139" s="6">
        <f>Financials20263[[#This Row],[Jun-Dec FC]]+Financials20263[[#This Row],[Jan-May Forecast ]]</f>
        <v>75000</v>
      </c>
      <c r="BT139" s="6">
        <f>SUM(Financials20263[[#This Row],[Jan FC]:[May FC]])</f>
        <v>0</v>
      </c>
      <c r="BU139" s="6">
        <f>Financials20263[[#This Row],[Jan-May Actuals]]+Financials20263[[#This Row],[Forecast Jun-Dec]]</f>
        <v>75000</v>
      </c>
      <c r="BV139" s="6"/>
      <c r="BW139" s="6"/>
      <c r="BX139" s="6"/>
    </row>
    <row r="140" spans="1:76" x14ac:dyDescent="0.3">
      <c r="A140" s="22" t="s">
        <v>101</v>
      </c>
      <c r="B140" s="21" t="s">
        <v>406</v>
      </c>
      <c r="C140" s="21"/>
      <c r="D140" s="10" t="s">
        <v>20</v>
      </c>
      <c r="E140" s="7" t="s">
        <v>160</v>
      </c>
      <c r="F140" s="3" t="s">
        <v>161</v>
      </c>
      <c r="G140" s="3" t="s">
        <v>50</v>
      </c>
      <c r="H140" s="4">
        <v>46023</v>
      </c>
      <c r="I140" s="4">
        <v>46387</v>
      </c>
      <c r="J140" s="3" t="s">
        <v>407</v>
      </c>
      <c r="K140" s="3" t="str">
        <f t="shared" si="47"/>
        <v>Prj000381-Support - Prod Support for Credit Apps</v>
      </c>
      <c r="L140" s="21" t="s">
        <v>106</v>
      </c>
      <c r="M140" s="21" t="s">
        <v>7</v>
      </c>
      <c r="N140" s="21" t="s">
        <v>7</v>
      </c>
      <c r="O140" s="21" t="s">
        <v>165</v>
      </c>
      <c r="P140" s="21" t="s">
        <v>107</v>
      </c>
      <c r="Q140" s="21" t="s">
        <v>201</v>
      </c>
      <c r="R140" s="21" t="s">
        <v>201</v>
      </c>
      <c r="S140" s="21" t="s">
        <v>109</v>
      </c>
      <c r="T140" s="5">
        <v>1670024</v>
      </c>
      <c r="U140" s="15">
        <v>1778445.9000000001</v>
      </c>
      <c r="V140" s="15">
        <v>1778445.9000000001</v>
      </c>
      <c r="W140" s="15">
        <f t="shared" si="48"/>
        <v>1864672.0199999998</v>
      </c>
      <c r="X140" s="15">
        <f t="shared" si="51"/>
        <v>0</v>
      </c>
      <c r="Y140" s="15">
        <f t="shared" si="49"/>
        <v>86226.119999999646</v>
      </c>
      <c r="Z140" s="15">
        <f>SUM(Financials20263[[#This Row],[2026 Opportunity]:[2026 Risk]])</f>
        <v>86226.119999999646</v>
      </c>
      <c r="AA140" s="14" t="s">
        <v>408</v>
      </c>
      <c r="AB140" s="52">
        <v>155389.33499999999</v>
      </c>
      <c r="AC140" s="52">
        <v>155389.33499999999</v>
      </c>
      <c r="AD140" s="52">
        <v>155389.33499999999</v>
      </c>
      <c r="AE140" s="52">
        <v>155389.33499999999</v>
      </c>
      <c r="AF140" s="52">
        <v>155389.33499999999</v>
      </c>
      <c r="AG140" s="52">
        <v>155389.33499999999</v>
      </c>
      <c r="AH140" s="52">
        <v>155389.33499999999</v>
      </c>
      <c r="AI140" s="52">
        <v>155389.33499999999</v>
      </c>
      <c r="AJ140" s="52">
        <v>155389.33499999999</v>
      </c>
      <c r="AK140" s="52">
        <v>155389.33499999999</v>
      </c>
      <c r="AL140" s="52">
        <v>155389.33499999999</v>
      </c>
      <c r="AM140" s="52">
        <v>155389.33499999999</v>
      </c>
      <c r="AN140" s="52">
        <f>SUM(Financials20263[[#This Row],[Jan FC]:[Dec FC]])</f>
        <v>1864672.0199999998</v>
      </c>
      <c r="AO140" s="15">
        <f t="shared" si="50"/>
        <v>1087725.345</v>
      </c>
      <c r="AP140" s="61">
        <f t="shared" ref="AP140:BA140" si="52">1864672.02/12</f>
        <v>155389.33499999999</v>
      </c>
      <c r="AQ140" s="61">
        <f t="shared" si="52"/>
        <v>155389.33499999999</v>
      </c>
      <c r="AR140" s="61">
        <f t="shared" si="52"/>
        <v>155389.33499999999</v>
      </c>
      <c r="AS140" s="61">
        <f t="shared" si="52"/>
        <v>155389.33499999999</v>
      </c>
      <c r="AT140" s="61">
        <f t="shared" si="52"/>
        <v>155389.33499999999</v>
      </c>
      <c r="AU140" s="61">
        <f t="shared" si="52"/>
        <v>155389.33499999999</v>
      </c>
      <c r="AV140" s="61">
        <f t="shared" si="52"/>
        <v>155389.33499999999</v>
      </c>
      <c r="AW140" s="61">
        <f t="shared" si="52"/>
        <v>155389.33499999999</v>
      </c>
      <c r="AX140" s="61">
        <f t="shared" si="52"/>
        <v>155389.33499999999</v>
      </c>
      <c r="AY140" s="61">
        <f t="shared" si="52"/>
        <v>155389.33499999999</v>
      </c>
      <c r="AZ140" s="61">
        <f t="shared" si="52"/>
        <v>155389.33499999999</v>
      </c>
      <c r="BA140" s="61">
        <f t="shared" si="52"/>
        <v>155389.33499999999</v>
      </c>
      <c r="BB140" s="80">
        <f>SUM(Financials20263[[#This Row],[Jan AC]:[Dec AC]])</f>
        <v>1864672.0199999998</v>
      </c>
      <c r="BC140" s="71">
        <f>Financials20263[[#This Row],[Jan AC]]-Financials20263[[#This Row],[Jan FC]]</f>
        <v>0</v>
      </c>
      <c r="BD140" s="71">
        <f>Financials20263[[#This Row],[Feb AC]]-Financials20263[[#This Row],[Feb FC]]</f>
        <v>0</v>
      </c>
      <c r="BE140" s="71">
        <f>Financials20263[[#This Row],[Mar AC]]-Financials20263[[#This Row],[Mar FC]]</f>
        <v>0</v>
      </c>
      <c r="BF140" s="71">
        <f>Financials20263[[#This Row],[Apr AC]]-Financials20263[[#This Row],[Apr FC]]</f>
        <v>0</v>
      </c>
      <c r="BG140" s="71">
        <f>Financials20263[[#This Row],[May AC]]-Financials20263[[#This Row],[May FC]]</f>
        <v>0</v>
      </c>
      <c r="BH140" s="71">
        <f>Financials20263[[#This Row],[Jun AC]]-Financials20263[[#This Row],[Jun FC]]</f>
        <v>0</v>
      </c>
      <c r="BI140" s="71">
        <f>Financials20263[[#This Row],[Jul AC]]-Financials20263[[#This Row],[Jul FC]]</f>
        <v>0</v>
      </c>
      <c r="BJ140" s="71">
        <f>Financials20263[[#This Row],[Aug AC]]-Financials20263[[#This Row],[Aug FC]]</f>
        <v>0</v>
      </c>
      <c r="BK140" s="71">
        <f>Financials20263[[#This Row],[Sep AC]]-Financials20263[[#This Row],[Sep FC]]</f>
        <v>0</v>
      </c>
      <c r="BL140" s="71">
        <f>Financials20263[[#This Row],[Oct AC]]-Financials20263[[#This Row],[Oct FC]]</f>
        <v>0</v>
      </c>
      <c r="BM140" s="71">
        <f>Financials20263[[#This Row],[Nov AC]]-Financials20263[[#This Row],[Nov FC]]</f>
        <v>0</v>
      </c>
      <c r="BN140" s="71">
        <f>Financials20263[[#This Row],[Dec AC]]-Financials20263[[#This Row],[Dec FC]]</f>
        <v>0</v>
      </c>
      <c r="BO140" s="71">
        <f>SUM(Financials20263[[#This Row],[Jan Opp/Risk]:[Dec Opp./Risk]])</f>
        <v>0</v>
      </c>
      <c r="BP140" s="87" t="s">
        <v>519</v>
      </c>
      <c r="BQ140" s="47">
        <f>SUM(Financials20263[[#This Row],[Jan AC]:[May AC]])</f>
        <v>776946.67499999993</v>
      </c>
      <c r="BR140" s="6">
        <f>Financials20263[[#This Row],[2026 (Actuals + Forecast)]]-Financials20263[[#This Row],[Jan-May Actuals]]-Financials20263[[#This Row],[Jun-Dec FC]]</f>
        <v>0</v>
      </c>
      <c r="BS140" s="6">
        <f>Financials20263[[#This Row],[Jun-Dec FC]]+Financials20263[[#This Row],[Jan-May Forecast ]]</f>
        <v>1087725.345</v>
      </c>
      <c r="BT140" s="6">
        <f>SUM(Financials20263[[#This Row],[Jan FC]:[May FC]])</f>
        <v>776946.67499999993</v>
      </c>
      <c r="BU140" s="6">
        <f>Financials20263[[#This Row],[Jan-May Actuals]]+Financials20263[[#This Row],[Forecast Jun-Dec]]</f>
        <v>1864672.02</v>
      </c>
      <c r="BV140" s="6"/>
      <c r="BW140" s="6"/>
      <c r="BX140" s="6"/>
    </row>
    <row r="141" spans="1:76" x14ac:dyDescent="0.3">
      <c r="A141" s="22" t="s">
        <v>101</v>
      </c>
      <c r="B141" s="21" t="s">
        <v>409</v>
      </c>
      <c r="C141" s="21" t="s">
        <v>410</v>
      </c>
      <c r="D141" s="10" t="s">
        <v>16</v>
      </c>
      <c r="E141" s="7" t="s">
        <v>122</v>
      </c>
      <c r="F141" s="3" t="s">
        <v>123</v>
      </c>
      <c r="G141" s="3" t="s">
        <v>50</v>
      </c>
      <c r="H141" s="4">
        <v>46013</v>
      </c>
      <c r="I141" s="4">
        <v>46377</v>
      </c>
      <c r="J141" s="3"/>
      <c r="K141" s="3" t="str">
        <f t="shared" si="47"/>
        <v>Prj000344-Support - Prod support for Finance Applications</v>
      </c>
      <c r="L141" s="21" t="s">
        <v>106</v>
      </c>
      <c r="M141" s="21" t="s">
        <v>7</v>
      </c>
      <c r="N141" s="21" t="s">
        <v>7</v>
      </c>
      <c r="O141" s="21"/>
      <c r="P141" s="21" t="s">
        <v>107</v>
      </c>
      <c r="Q141" s="21" t="s">
        <v>108</v>
      </c>
      <c r="R141" s="21" t="s">
        <v>108</v>
      </c>
      <c r="S141" s="21" t="s">
        <v>109</v>
      </c>
      <c r="T141" s="5">
        <v>284328.36999999994</v>
      </c>
      <c r="U141" s="15">
        <v>298544.40000000002</v>
      </c>
      <c r="V141" s="15">
        <v>298544.40000000002</v>
      </c>
      <c r="W141" s="15">
        <f t="shared" si="48"/>
        <v>284328.36999999994</v>
      </c>
      <c r="X141" s="15">
        <f t="shared" si="51"/>
        <v>-14216.030000000086</v>
      </c>
      <c r="Y141" s="15">
        <f t="shared" si="49"/>
        <v>0</v>
      </c>
      <c r="Z141" s="15">
        <f>SUM(Financials20263[[#This Row],[2026 Opportunity]:[2026 Risk]])</f>
        <v>-14216.030000000086</v>
      </c>
      <c r="AA141" s="14" t="s">
        <v>408</v>
      </c>
      <c r="AB141" s="52">
        <v>23694.030833333334</v>
      </c>
      <c r="AC141" s="52">
        <v>23694.030833333334</v>
      </c>
      <c r="AD141" s="52">
        <v>23694.030833333334</v>
      </c>
      <c r="AE141" s="52">
        <v>23694.030833333334</v>
      </c>
      <c r="AF141" s="52">
        <v>23694.030833333334</v>
      </c>
      <c r="AG141" s="52">
        <v>23694.030833333334</v>
      </c>
      <c r="AH141" s="52">
        <v>23694.030833333334</v>
      </c>
      <c r="AI141" s="52">
        <v>23694.030833333334</v>
      </c>
      <c r="AJ141" s="52">
        <v>23694.030833333334</v>
      </c>
      <c r="AK141" s="52">
        <v>23694.030833333334</v>
      </c>
      <c r="AL141" s="52">
        <v>23694.030833333334</v>
      </c>
      <c r="AM141" s="52">
        <v>23694.030833333334</v>
      </c>
      <c r="AN141" s="52">
        <f>SUM(Financials20263[[#This Row],[Jan FC]:[Dec FC]])</f>
        <v>284328.36999999994</v>
      </c>
      <c r="AO141" s="15">
        <f t="shared" si="50"/>
        <v>165858.21583333332</v>
      </c>
      <c r="AP141" s="61">
        <f t="shared" ref="AP141:BA141" si="53">284328.37/12</f>
        <v>23694.030833333334</v>
      </c>
      <c r="AQ141" s="61">
        <f t="shared" si="53"/>
        <v>23694.030833333334</v>
      </c>
      <c r="AR141" s="61">
        <f t="shared" si="53"/>
        <v>23694.030833333334</v>
      </c>
      <c r="AS141" s="61">
        <f t="shared" si="53"/>
        <v>23694.030833333334</v>
      </c>
      <c r="AT141" s="61">
        <f t="shared" si="53"/>
        <v>23694.030833333334</v>
      </c>
      <c r="AU141" s="61">
        <f t="shared" si="53"/>
        <v>23694.030833333334</v>
      </c>
      <c r="AV141" s="61">
        <f t="shared" si="53"/>
        <v>23694.030833333334</v>
      </c>
      <c r="AW141" s="61">
        <f t="shared" si="53"/>
        <v>23694.030833333334</v>
      </c>
      <c r="AX141" s="61">
        <f t="shared" si="53"/>
        <v>23694.030833333334</v>
      </c>
      <c r="AY141" s="61">
        <f t="shared" si="53"/>
        <v>23694.030833333334</v>
      </c>
      <c r="AZ141" s="61">
        <f t="shared" si="53"/>
        <v>23694.030833333334</v>
      </c>
      <c r="BA141" s="61">
        <f t="shared" si="53"/>
        <v>23694.030833333334</v>
      </c>
      <c r="BB141" s="80">
        <f>SUM(Financials20263[[#This Row],[Jan AC]:[Dec AC]])</f>
        <v>284328.36999999994</v>
      </c>
      <c r="BC141" s="71">
        <f>Financials20263[[#This Row],[Jan AC]]-Financials20263[[#This Row],[Jan FC]]</f>
        <v>0</v>
      </c>
      <c r="BD141" s="71">
        <f>Financials20263[[#This Row],[Feb AC]]-Financials20263[[#This Row],[Feb FC]]</f>
        <v>0</v>
      </c>
      <c r="BE141" s="71">
        <f>Financials20263[[#This Row],[Mar AC]]-Financials20263[[#This Row],[Mar FC]]</f>
        <v>0</v>
      </c>
      <c r="BF141" s="71">
        <f>Financials20263[[#This Row],[Apr AC]]-Financials20263[[#This Row],[Apr FC]]</f>
        <v>0</v>
      </c>
      <c r="BG141" s="71">
        <f>Financials20263[[#This Row],[May AC]]-Financials20263[[#This Row],[May FC]]</f>
        <v>0</v>
      </c>
      <c r="BH141" s="71">
        <f>Financials20263[[#This Row],[Jun AC]]-Financials20263[[#This Row],[Jun FC]]</f>
        <v>0</v>
      </c>
      <c r="BI141" s="71">
        <f>Financials20263[[#This Row],[Jul AC]]-Financials20263[[#This Row],[Jul FC]]</f>
        <v>0</v>
      </c>
      <c r="BJ141" s="71">
        <f>Financials20263[[#This Row],[Aug AC]]-Financials20263[[#This Row],[Aug FC]]</f>
        <v>0</v>
      </c>
      <c r="BK141" s="71">
        <f>Financials20263[[#This Row],[Sep AC]]-Financials20263[[#This Row],[Sep FC]]</f>
        <v>0</v>
      </c>
      <c r="BL141" s="71">
        <f>Financials20263[[#This Row],[Oct AC]]-Financials20263[[#This Row],[Oct FC]]</f>
        <v>0</v>
      </c>
      <c r="BM141" s="71">
        <f>Financials20263[[#This Row],[Nov AC]]-Financials20263[[#This Row],[Nov FC]]</f>
        <v>0</v>
      </c>
      <c r="BN141" s="71">
        <f>Financials20263[[#This Row],[Dec AC]]-Financials20263[[#This Row],[Dec FC]]</f>
        <v>0</v>
      </c>
      <c r="BO141" s="71">
        <f>SUM(Financials20263[[#This Row],[Jan Opp/Risk]:[Dec Opp./Risk]])</f>
        <v>0</v>
      </c>
      <c r="BP141" s="87" t="s">
        <v>519</v>
      </c>
      <c r="BQ141" s="47">
        <f>SUM(Financials20263[[#This Row],[Jan AC]:[May AC]])</f>
        <v>118470.15416666667</v>
      </c>
      <c r="BR141" s="6">
        <f>Financials20263[[#This Row],[2026 (Actuals + Forecast)]]-Financials20263[[#This Row],[Jan-May Actuals]]-Financials20263[[#This Row],[Jun-Dec FC]]</f>
        <v>0</v>
      </c>
      <c r="BS141" s="6">
        <f>Financials20263[[#This Row],[Jun-Dec FC]]+Financials20263[[#This Row],[Jan-May Forecast ]]</f>
        <v>165858.21583333332</v>
      </c>
      <c r="BT141" s="6">
        <f>SUM(Financials20263[[#This Row],[Jan FC]:[May FC]])</f>
        <v>118470.15416666667</v>
      </c>
      <c r="BU141" s="6">
        <f>Financials20263[[#This Row],[Jan-May Actuals]]+Financials20263[[#This Row],[Forecast Jun-Dec]]</f>
        <v>284328.37</v>
      </c>
      <c r="BV141" s="6"/>
      <c r="BW141" s="6"/>
      <c r="BX141" s="6"/>
    </row>
    <row r="142" spans="1:76" x14ac:dyDescent="0.3">
      <c r="A142" s="22" t="s">
        <v>101</v>
      </c>
      <c r="B142" s="21" t="s">
        <v>334</v>
      </c>
      <c r="C142" s="21" t="s">
        <v>411</v>
      </c>
      <c r="D142" s="10" t="s">
        <v>31</v>
      </c>
      <c r="E142" s="7" t="s">
        <v>204</v>
      </c>
      <c r="F142" s="3" t="s">
        <v>205</v>
      </c>
      <c r="G142" s="3" t="s">
        <v>50</v>
      </c>
      <c r="H142" s="4"/>
      <c r="I142" s="4"/>
      <c r="J142" s="3"/>
      <c r="K142" s="3" t="str">
        <f t="shared" si="47"/>
        <v>Prj000469-Support - Prod Support for Ops Apps</v>
      </c>
      <c r="L142" s="21" t="s">
        <v>106</v>
      </c>
      <c r="M142" s="21" t="s">
        <v>7</v>
      </c>
      <c r="N142" s="21" t="s">
        <v>7</v>
      </c>
      <c r="O142" s="21"/>
      <c r="P142" s="21" t="s">
        <v>107</v>
      </c>
      <c r="Q142" s="21" t="s">
        <v>134</v>
      </c>
      <c r="R142" s="21" t="s">
        <v>134</v>
      </c>
      <c r="S142" s="21" t="s">
        <v>132</v>
      </c>
      <c r="T142" s="5">
        <v>0</v>
      </c>
      <c r="U142" s="15">
        <v>0</v>
      </c>
      <c r="V142" s="15">
        <v>0</v>
      </c>
      <c r="W142" s="15">
        <f t="shared" si="48"/>
        <v>232487.75</v>
      </c>
      <c r="X142" s="15">
        <f t="shared" si="51"/>
        <v>0</v>
      </c>
      <c r="Y142" s="15">
        <f>IF(W142 &gt; V142, W142 - V142, 0)</f>
        <v>232487.75</v>
      </c>
      <c r="Z142" s="15">
        <f>SUM(Financials20263[[#This Row],[2026 Opportunity]:[2026 Risk]])</f>
        <v>232487.75</v>
      </c>
      <c r="AA142" s="3" t="s">
        <v>40</v>
      </c>
      <c r="AB142" s="51"/>
      <c r="AC142" s="51"/>
      <c r="AD142" s="55"/>
      <c r="AE142" s="52">
        <v>232487.75</v>
      </c>
      <c r="AF142" s="56"/>
      <c r="AG142" s="51"/>
      <c r="AH142" s="57"/>
      <c r="AI142" s="52"/>
      <c r="AJ142" s="58"/>
      <c r="AK142" s="59"/>
      <c r="AL142" s="59"/>
      <c r="AM142" s="52"/>
      <c r="AN142" s="52">
        <f>SUM(Financials20263[[#This Row],[Jan FC]:[Dec FC]])</f>
        <v>232487.75</v>
      </c>
      <c r="AO142" s="15">
        <f t="shared" si="50"/>
        <v>0</v>
      </c>
      <c r="AP142" s="60"/>
      <c r="AQ142" s="60"/>
      <c r="AR142" s="64"/>
      <c r="AS142" s="61">
        <v>232487.75</v>
      </c>
      <c r="AT142" s="65"/>
      <c r="AU142" s="60"/>
      <c r="AV142" s="66"/>
      <c r="AW142" s="61"/>
      <c r="AX142" s="67"/>
      <c r="AY142" s="68"/>
      <c r="AZ142" s="68"/>
      <c r="BA142" s="61"/>
      <c r="BB142" s="80">
        <f>SUM(Financials20263[[#This Row],[Jan AC]:[Dec AC]])</f>
        <v>232487.75</v>
      </c>
      <c r="BC142" s="71">
        <f>Financials20263[[#This Row],[Jan AC]]-Financials20263[[#This Row],[Jan FC]]</f>
        <v>0</v>
      </c>
      <c r="BD142" s="71">
        <f>Financials20263[[#This Row],[Feb AC]]-Financials20263[[#This Row],[Feb FC]]</f>
        <v>0</v>
      </c>
      <c r="BE142" s="71">
        <f>Financials20263[[#This Row],[Mar AC]]-Financials20263[[#This Row],[Mar FC]]</f>
        <v>0</v>
      </c>
      <c r="BF142" s="71">
        <f>Financials20263[[#This Row],[Apr AC]]-Financials20263[[#This Row],[Apr FC]]</f>
        <v>0</v>
      </c>
      <c r="BG142" s="71">
        <f>Financials20263[[#This Row],[May AC]]-Financials20263[[#This Row],[May FC]]</f>
        <v>0</v>
      </c>
      <c r="BH142" s="71">
        <f>Financials20263[[#This Row],[Jun AC]]-Financials20263[[#This Row],[Jun FC]]</f>
        <v>0</v>
      </c>
      <c r="BI142" s="71">
        <f>Financials20263[[#This Row],[Jul AC]]-Financials20263[[#This Row],[Jul FC]]</f>
        <v>0</v>
      </c>
      <c r="BJ142" s="71">
        <f>Financials20263[[#This Row],[Aug AC]]-Financials20263[[#This Row],[Aug FC]]</f>
        <v>0</v>
      </c>
      <c r="BK142" s="71">
        <f>Financials20263[[#This Row],[Sep AC]]-Financials20263[[#This Row],[Sep FC]]</f>
        <v>0</v>
      </c>
      <c r="BL142" s="71">
        <f>Financials20263[[#This Row],[Oct AC]]-Financials20263[[#This Row],[Oct FC]]</f>
        <v>0</v>
      </c>
      <c r="BM142" s="71">
        <f>Financials20263[[#This Row],[Nov AC]]-Financials20263[[#This Row],[Nov FC]]</f>
        <v>0</v>
      </c>
      <c r="BN142" s="71">
        <f>Financials20263[[#This Row],[Dec AC]]-Financials20263[[#This Row],[Dec FC]]</f>
        <v>0</v>
      </c>
      <c r="BO142" s="83">
        <f>SUM(Financials20263[[#This Row],[Jan Opp/Risk]:[Dec Opp./Risk]])</f>
        <v>0</v>
      </c>
      <c r="BP142" s="91" t="s">
        <v>532</v>
      </c>
      <c r="BQ142" s="47">
        <f>SUM(Financials20263[[#This Row],[Jan AC]:[May AC]])</f>
        <v>232487.75</v>
      </c>
      <c r="BR142" s="6">
        <f>Financials20263[[#This Row],[2026 (Actuals + Forecast)]]-Financials20263[[#This Row],[Jan-May Actuals]]-Financials20263[[#This Row],[Jun-Dec FC]]</f>
        <v>0</v>
      </c>
      <c r="BS142" s="6">
        <f>Financials20263[[#This Row],[Jun-Dec FC]]+Financials20263[[#This Row],[Jan-May Forecast ]]</f>
        <v>0</v>
      </c>
      <c r="BT142" s="6">
        <f>SUM(Financials20263[[#This Row],[Jan FC]:[May FC]])</f>
        <v>232487.75</v>
      </c>
      <c r="BU142" s="6">
        <f>Financials20263[[#This Row],[Jan-May Actuals]]+Financials20263[[#This Row],[Forecast Jun-Dec]]</f>
        <v>232487.75</v>
      </c>
      <c r="BV142" s="6"/>
      <c r="BW142" s="6"/>
      <c r="BX142" s="6"/>
    </row>
    <row r="143" spans="1:76" x14ac:dyDescent="0.3">
      <c r="A143" s="22" t="s">
        <v>101</v>
      </c>
      <c r="B143" s="21" t="s">
        <v>342</v>
      </c>
      <c r="C143" s="21" t="s">
        <v>343</v>
      </c>
      <c r="D143" s="10" t="s">
        <v>186</v>
      </c>
      <c r="E143" s="7" t="s">
        <v>186</v>
      </c>
      <c r="F143" s="3" t="s">
        <v>336</v>
      </c>
      <c r="G143" s="3" t="s">
        <v>48</v>
      </c>
      <c r="H143" s="4">
        <v>46204</v>
      </c>
      <c r="I143" s="4">
        <v>46387</v>
      </c>
      <c r="J143" s="3" t="s">
        <v>186</v>
      </c>
      <c r="K143" s="3" t="s">
        <v>412</v>
      </c>
      <c r="L143" s="21" t="s">
        <v>124</v>
      </c>
      <c r="M143" s="21" t="s">
        <v>46</v>
      </c>
      <c r="N143" s="21" t="s">
        <v>344</v>
      </c>
      <c r="O143" s="21" t="s">
        <v>186</v>
      </c>
      <c r="P143" s="21" t="s">
        <v>345</v>
      </c>
      <c r="Q143" s="21" t="s">
        <v>346</v>
      </c>
      <c r="R143" s="21" t="s">
        <v>143</v>
      </c>
      <c r="S143" s="21" t="s">
        <v>129</v>
      </c>
      <c r="T143" s="5">
        <v>0</v>
      </c>
      <c r="U143" s="15">
        <v>0</v>
      </c>
      <c r="V143" s="15">
        <v>600000</v>
      </c>
      <c r="W143" s="15">
        <f t="shared" si="48"/>
        <v>606720</v>
      </c>
      <c r="X143" s="15">
        <f t="shared" si="51"/>
        <v>0</v>
      </c>
      <c r="Y143" s="15">
        <f t="shared" si="49"/>
        <v>6720</v>
      </c>
      <c r="Z143" s="15">
        <f>SUM(Financials20263[[#This Row],[2026 Opportunity]:[2026 Risk]])</f>
        <v>6720</v>
      </c>
      <c r="AA143" s="3" t="s">
        <v>747</v>
      </c>
      <c r="AB143" s="52"/>
      <c r="AC143" s="52"/>
      <c r="AD143" s="52"/>
      <c r="AE143" s="52"/>
      <c r="AF143" s="52"/>
      <c r="AG143" s="52"/>
      <c r="AH143" s="52">
        <v>101120</v>
      </c>
      <c r="AI143" s="52">
        <v>101120</v>
      </c>
      <c r="AJ143" s="52">
        <v>101120</v>
      </c>
      <c r="AK143" s="52">
        <v>101120</v>
      </c>
      <c r="AL143" s="52">
        <v>101120</v>
      </c>
      <c r="AM143" s="52">
        <v>101120</v>
      </c>
      <c r="AN143" s="52">
        <f>SUM(Financials20263[[#This Row],[Jan FC]:[Dec FC]])</f>
        <v>606720</v>
      </c>
      <c r="AO143" s="15">
        <f t="shared" si="50"/>
        <v>606720</v>
      </c>
      <c r="AP143" s="61"/>
      <c r="AQ143" s="61"/>
      <c r="AR143" s="61"/>
      <c r="AS143" s="61"/>
      <c r="AT143" s="61"/>
      <c r="AU143" s="61"/>
      <c r="AV143" s="61"/>
      <c r="AW143" s="61"/>
      <c r="AX143" s="61"/>
      <c r="AY143" s="61"/>
      <c r="AZ143" s="61"/>
      <c r="BA143" s="61"/>
      <c r="BB143" s="80">
        <f>SUM(Financials20263[[#This Row],[Jan AC]:[Dec AC]])</f>
        <v>0</v>
      </c>
      <c r="BC143" s="71">
        <f>Financials20263[[#This Row],[Jan AC]]-Financials20263[[#This Row],[Jan FC]]</f>
        <v>0</v>
      </c>
      <c r="BD143" s="71">
        <f>Financials20263[[#This Row],[Feb AC]]-Financials20263[[#This Row],[Feb FC]]</f>
        <v>0</v>
      </c>
      <c r="BE143" s="71">
        <f>Financials20263[[#This Row],[Mar AC]]-Financials20263[[#This Row],[Mar FC]]</f>
        <v>0</v>
      </c>
      <c r="BF143" s="71">
        <f>Financials20263[[#This Row],[Apr AC]]-Financials20263[[#This Row],[Apr FC]]</f>
        <v>0</v>
      </c>
      <c r="BG143" s="71">
        <f>Financials20263[[#This Row],[May AC]]-Financials20263[[#This Row],[May FC]]</f>
        <v>0</v>
      </c>
      <c r="BH143" s="71">
        <f>Financials20263[[#This Row],[Jun AC]]-Financials20263[[#This Row],[Jun FC]]</f>
        <v>0</v>
      </c>
      <c r="BI143" s="71">
        <f>Financials20263[[#This Row],[Jul AC]]-Financials20263[[#This Row],[Jul FC]]</f>
        <v>-101120</v>
      </c>
      <c r="BJ143" s="71">
        <f>Financials20263[[#This Row],[Aug AC]]-Financials20263[[#This Row],[Aug FC]]</f>
        <v>-101120</v>
      </c>
      <c r="BK143" s="71">
        <f>Financials20263[[#This Row],[Sep AC]]-Financials20263[[#This Row],[Sep FC]]</f>
        <v>-101120</v>
      </c>
      <c r="BL143" s="71">
        <f>Financials20263[[#This Row],[Oct AC]]-Financials20263[[#This Row],[Oct FC]]</f>
        <v>-101120</v>
      </c>
      <c r="BM143" s="71">
        <f>Financials20263[[#This Row],[Nov AC]]-Financials20263[[#This Row],[Nov FC]]</f>
        <v>-101120</v>
      </c>
      <c r="BN143" s="71">
        <f>Financials20263[[#This Row],[Dec AC]]-Financials20263[[#This Row],[Dec FC]]</f>
        <v>-101120</v>
      </c>
      <c r="BO143" s="71">
        <f>SUM(Financials20263[[#This Row],[Jan Opp/Risk]:[Dec Opp./Risk]])</f>
        <v>-606720</v>
      </c>
      <c r="BP143" s="87" t="s">
        <v>522</v>
      </c>
      <c r="BQ143" s="47">
        <f>SUM(Financials20263[[#This Row],[Jan AC]:[May AC]])</f>
        <v>0</v>
      </c>
      <c r="BR143" s="6">
        <f>Financials20263[[#This Row],[2026 (Actuals + Forecast)]]-Financials20263[[#This Row],[Jan-May Actuals]]-Financials20263[[#This Row],[Jun-Dec FC]]</f>
        <v>0</v>
      </c>
      <c r="BS143" s="6">
        <f>Financials20263[[#This Row],[Jun-Dec FC]]+Financials20263[[#This Row],[Jan-May Forecast ]]</f>
        <v>606720</v>
      </c>
      <c r="BT143" s="6">
        <f>SUM(Financials20263[[#This Row],[Jan FC]:[May FC]])</f>
        <v>0</v>
      </c>
      <c r="BU143" s="6">
        <f>Financials20263[[#This Row],[Jan-May Actuals]]+Financials20263[[#This Row],[Forecast Jun-Dec]]</f>
        <v>606720</v>
      </c>
      <c r="BV143" s="6"/>
      <c r="BW143" s="6"/>
      <c r="BX143" s="6"/>
    </row>
    <row r="144" spans="1:76" x14ac:dyDescent="0.3">
      <c r="A144" s="22" t="s">
        <v>101</v>
      </c>
      <c r="B144" s="21" t="s">
        <v>208</v>
      </c>
      <c r="C144" s="21" t="s">
        <v>209</v>
      </c>
      <c r="D144" s="10" t="s">
        <v>186</v>
      </c>
      <c r="E144" s="7" t="s">
        <v>186</v>
      </c>
      <c r="F144" s="3" t="s">
        <v>336</v>
      </c>
      <c r="G144" s="3" t="s">
        <v>48</v>
      </c>
      <c r="H144" s="4">
        <v>46204</v>
      </c>
      <c r="I144" s="4">
        <v>46387</v>
      </c>
      <c r="J144" s="3" t="s">
        <v>337</v>
      </c>
      <c r="K144" s="3" t="s">
        <v>412</v>
      </c>
      <c r="L144" s="21" t="s">
        <v>124</v>
      </c>
      <c r="M144" s="21" t="s">
        <v>46</v>
      </c>
      <c r="N144" s="21" t="s">
        <v>189</v>
      </c>
      <c r="O144" s="21" t="s">
        <v>186</v>
      </c>
      <c r="P144" s="21" t="s">
        <v>126</v>
      </c>
      <c r="Q144" s="21" t="s">
        <v>127</v>
      </c>
      <c r="R144" s="21" t="s">
        <v>128</v>
      </c>
      <c r="S144" s="21" t="s">
        <v>129</v>
      </c>
      <c r="T144" s="5">
        <v>0</v>
      </c>
      <c r="U144" s="15">
        <v>0</v>
      </c>
      <c r="V144" s="15">
        <v>0</v>
      </c>
      <c r="W144" s="15">
        <f t="shared" si="48"/>
        <v>1557600</v>
      </c>
      <c r="X144" s="15">
        <f t="shared" si="51"/>
        <v>0</v>
      </c>
      <c r="Y144" s="15">
        <f t="shared" si="49"/>
        <v>1557600</v>
      </c>
      <c r="Z144" s="15">
        <f>SUM(Financials20263[[#This Row],[2026 Opportunity]:[2026 Risk]])</f>
        <v>1557600</v>
      </c>
      <c r="AA144" s="3" t="s">
        <v>633</v>
      </c>
      <c r="AB144" s="52"/>
      <c r="AC144" s="52"/>
      <c r="AD144" s="52"/>
      <c r="AE144" s="52"/>
      <c r="AF144" s="52"/>
      <c r="AG144" s="52"/>
      <c r="AH144" s="52">
        <v>259600</v>
      </c>
      <c r="AI144" s="52">
        <v>259600</v>
      </c>
      <c r="AJ144" s="52">
        <v>259600</v>
      </c>
      <c r="AK144" s="52">
        <v>259600</v>
      </c>
      <c r="AL144" s="52">
        <v>259600</v>
      </c>
      <c r="AM144" s="52">
        <v>259600</v>
      </c>
      <c r="AN144" s="52">
        <f>SUM(Financials20263[[#This Row],[Jan FC]:[Dec FC]])</f>
        <v>1557600</v>
      </c>
      <c r="AO144" s="15">
        <f t="shared" si="50"/>
        <v>1557600</v>
      </c>
      <c r="AP144" s="61"/>
      <c r="AQ144" s="61"/>
      <c r="AR144" s="61"/>
      <c r="AS144" s="61"/>
      <c r="AT144" s="61"/>
      <c r="AU144" s="61"/>
      <c r="AV144" s="61"/>
      <c r="AW144" s="61"/>
      <c r="AX144" s="61"/>
      <c r="AY144" s="61"/>
      <c r="AZ144" s="61"/>
      <c r="BA144" s="61"/>
      <c r="BB144" s="80">
        <f>SUM(Financials20263[[#This Row],[Jan AC]:[Dec AC]])</f>
        <v>0</v>
      </c>
      <c r="BC144" s="71">
        <f>Financials20263[[#This Row],[Jan AC]]-Financials20263[[#This Row],[Jan FC]]</f>
        <v>0</v>
      </c>
      <c r="BD144" s="71">
        <f>Financials20263[[#This Row],[Feb AC]]-Financials20263[[#This Row],[Feb FC]]</f>
        <v>0</v>
      </c>
      <c r="BE144" s="71">
        <f>Financials20263[[#This Row],[Mar AC]]-Financials20263[[#This Row],[Mar FC]]</f>
        <v>0</v>
      </c>
      <c r="BF144" s="71">
        <f>Financials20263[[#This Row],[Apr AC]]-Financials20263[[#This Row],[Apr FC]]</f>
        <v>0</v>
      </c>
      <c r="BG144" s="71">
        <f>Financials20263[[#This Row],[May AC]]-Financials20263[[#This Row],[May FC]]</f>
        <v>0</v>
      </c>
      <c r="BH144" s="71">
        <f>Financials20263[[#This Row],[Jun AC]]-Financials20263[[#This Row],[Jun FC]]</f>
        <v>0</v>
      </c>
      <c r="BI144" s="71">
        <f>Financials20263[[#This Row],[Jul AC]]-Financials20263[[#This Row],[Jul FC]]</f>
        <v>-259600</v>
      </c>
      <c r="BJ144" s="71">
        <f>Financials20263[[#This Row],[Aug AC]]-Financials20263[[#This Row],[Aug FC]]</f>
        <v>-259600</v>
      </c>
      <c r="BK144" s="71">
        <f>Financials20263[[#This Row],[Sep AC]]-Financials20263[[#This Row],[Sep FC]]</f>
        <v>-259600</v>
      </c>
      <c r="BL144" s="71">
        <f>Financials20263[[#This Row],[Oct AC]]-Financials20263[[#This Row],[Oct FC]]</f>
        <v>-259600</v>
      </c>
      <c r="BM144" s="71">
        <f>Financials20263[[#This Row],[Nov AC]]-Financials20263[[#This Row],[Nov FC]]</f>
        <v>-259600</v>
      </c>
      <c r="BN144" s="71">
        <f>Financials20263[[#This Row],[Dec AC]]-Financials20263[[#This Row],[Dec FC]]</f>
        <v>-259600</v>
      </c>
      <c r="BO144" s="71">
        <f>SUM(Financials20263[[#This Row],[Jan Opp/Risk]:[Dec Opp./Risk]])</f>
        <v>-1557600</v>
      </c>
      <c r="BP144" s="87" t="s">
        <v>632</v>
      </c>
      <c r="BQ144" s="47">
        <f>SUM(Financials20263[[#This Row],[Jan AC]:[May AC]])</f>
        <v>0</v>
      </c>
      <c r="BR144" s="6">
        <f>Financials20263[[#This Row],[2026 (Actuals + Forecast)]]-Financials20263[[#This Row],[Jan-May Actuals]]-Financials20263[[#This Row],[Jun-Dec FC]]</f>
        <v>0</v>
      </c>
      <c r="BS144" s="6">
        <f>Financials20263[[#This Row],[Jun-Dec FC]]+Financials20263[[#This Row],[Jan-May Forecast ]]</f>
        <v>1557600</v>
      </c>
      <c r="BT144" s="6">
        <f>SUM(Financials20263[[#This Row],[Jan FC]:[May FC]])</f>
        <v>0</v>
      </c>
      <c r="BU144" s="6">
        <f>Financials20263[[#This Row],[Jan-May Actuals]]+Financials20263[[#This Row],[Forecast Jun-Dec]]</f>
        <v>1557600</v>
      </c>
      <c r="BV144" s="6"/>
      <c r="BW144" s="6"/>
      <c r="BX144" s="6"/>
    </row>
    <row r="145" spans="1:76" x14ac:dyDescent="0.3">
      <c r="A145" s="22" t="s">
        <v>101</v>
      </c>
      <c r="B145" s="21" t="s">
        <v>400</v>
      </c>
      <c r="C145" s="21"/>
      <c r="D145" s="10" t="s">
        <v>14</v>
      </c>
      <c r="E145" s="7" t="s">
        <v>403</v>
      </c>
      <c r="F145" s="3" t="s">
        <v>114</v>
      </c>
      <c r="G145" s="3" t="s">
        <v>53</v>
      </c>
      <c r="H145" s="4" t="s">
        <v>115</v>
      </c>
      <c r="I145" s="4" t="s">
        <v>115</v>
      </c>
      <c r="J145" s="3"/>
      <c r="K145" s="3" t="str">
        <f t="shared" ref="K145:K147" si="54">D145 &amp; "-" &amp;E145</f>
        <v>Prj000296-Support - PMO Governance &amp; Reporting Activities</v>
      </c>
      <c r="L145" s="21" t="s">
        <v>124</v>
      </c>
      <c r="M145" s="21" t="s">
        <v>2</v>
      </c>
      <c r="N145" s="21" t="s">
        <v>341</v>
      </c>
      <c r="O145" s="21"/>
      <c r="P145" s="21" t="s">
        <v>126</v>
      </c>
      <c r="Q145" s="21" t="s">
        <v>127</v>
      </c>
      <c r="R145" s="21" t="s">
        <v>128</v>
      </c>
      <c r="S145" s="21" t="s">
        <v>115</v>
      </c>
      <c r="T145" s="5">
        <v>0</v>
      </c>
      <c r="U145" s="15">
        <v>0</v>
      </c>
      <c r="V145" s="15">
        <f>10848+2048</f>
        <v>12896</v>
      </c>
      <c r="W145" s="15">
        <f t="shared" si="48"/>
        <v>12896</v>
      </c>
      <c r="X145" s="15">
        <f t="shared" si="51"/>
        <v>0</v>
      </c>
      <c r="Y145" s="15">
        <f t="shared" si="49"/>
        <v>0</v>
      </c>
      <c r="Z145" s="15">
        <f>SUM(Financials20263[[#This Row],[2026 Opportunity]:[2026 Risk]])</f>
        <v>0</v>
      </c>
      <c r="AA145" s="3" t="s">
        <v>413</v>
      </c>
      <c r="AB145" s="53">
        <v>0</v>
      </c>
      <c r="AC145" s="53">
        <v>0</v>
      </c>
      <c r="AD145" s="53">
        <v>0</v>
      </c>
      <c r="AE145" s="53">
        <v>0</v>
      </c>
      <c r="AF145" s="53">
        <v>0</v>
      </c>
      <c r="AG145" s="53">
        <v>0</v>
      </c>
      <c r="AH145" s="53">
        <v>0</v>
      </c>
      <c r="AI145" s="53">
        <v>0</v>
      </c>
      <c r="AJ145" s="53">
        <v>0</v>
      </c>
      <c r="AK145" s="53">
        <v>0</v>
      </c>
      <c r="AL145" s="53">
        <v>0</v>
      </c>
      <c r="AM145" s="53">
        <v>12896</v>
      </c>
      <c r="AN145" s="53">
        <f>SUM(Financials20263[[#This Row],[Jan FC]:[Dec FC]])</f>
        <v>12896</v>
      </c>
      <c r="AO145" s="15">
        <f t="shared" si="50"/>
        <v>12896</v>
      </c>
      <c r="AP145" s="62">
        <v>0</v>
      </c>
      <c r="AQ145" s="62">
        <v>0</v>
      </c>
      <c r="AR145" s="62">
        <v>0</v>
      </c>
      <c r="AS145" s="62">
        <v>0</v>
      </c>
      <c r="AT145" s="62">
        <v>0</v>
      </c>
      <c r="AU145" s="62">
        <v>0</v>
      </c>
      <c r="AV145" s="62">
        <v>0</v>
      </c>
      <c r="AW145" s="62">
        <v>0</v>
      </c>
      <c r="AX145" s="62">
        <v>0</v>
      </c>
      <c r="AY145" s="62">
        <v>0</v>
      </c>
      <c r="AZ145" s="62">
        <v>0</v>
      </c>
      <c r="BA145" s="62">
        <v>0</v>
      </c>
      <c r="BB145" s="81">
        <f>SUM(Financials20263[[#This Row],[Jan AC]:[Dec AC]])</f>
        <v>0</v>
      </c>
      <c r="BC145" s="71">
        <f>Financials20263[[#This Row],[Jan AC]]-Financials20263[[#This Row],[Jan FC]]</f>
        <v>0</v>
      </c>
      <c r="BD145" s="71">
        <f>Financials20263[[#This Row],[Feb AC]]-Financials20263[[#This Row],[Feb FC]]</f>
        <v>0</v>
      </c>
      <c r="BE145" s="71">
        <f>Financials20263[[#This Row],[Mar AC]]-Financials20263[[#This Row],[Mar FC]]</f>
        <v>0</v>
      </c>
      <c r="BF145" s="71">
        <f>Financials20263[[#This Row],[Apr AC]]-Financials20263[[#This Row],[Apr FC]]</f>
        <v>0</v>
      </c>
      <c r="BG145" s="71">
        <f>Financials20263[[#This Row],[May AC]]-Financials20263[[#This Row],[May FC]]</f>
        <v>0</v>
      </c>
      <c r="BH145" s="71">
        <f>Financials20263[[#This Row],[Jun AC]]-Financials20263[[#This Row],[Jun FC]]</f>
        <v>0</v>
      </c>
      <c r="BI145" s="71">
        <f>Financials20263[[#This Row],[Jul AC]]-Financials20263[[#This Row],[Jul FC]]</f>
        <v>0</v>
      </c>
      <c r="BJ145" s="71">
        <f>Financials20263[[#This Row],[Aug AC]]-Financials20263[[#This Row],[Aug FC]]</f>
        <v>0</v>
      </c>
      <c r="BK145" s="71">
        <f>Financials20263[[#This Row],[Sep AC]]-Financials20263[[#This Row],[Sep FC]]</f>
        <v>0</v>
      </c>
      <c r="BL145" s="71">
        <f>Financials20263[[#This Row],[Oct AC]]-Financials20263[[#This Row],[Oct FC]]</f>
        <v>0</v>
      </c>
      <c r="BM145" s="71">
        <f>Financials20263[[#This Row],[Nov AC]]-Financials20263[[#This Row],[Nov FC]]</f>
        <v>0</v>
      </c>
      <c r="BN145" s="71">
        <f>Financials20263[[#This Row],[Dec AC]]-Financials20263[[#This Row],[Dec FC]]</f>
        <v>-12896</v>
      </c>
      <c r="BO145" s="71">
        <f>SUM(Financials20263[[#This Row],[Jan Opp/Risk]:[Dec Opp./Risk]])</f>
        <v>-12896</v>
      </c>
      <c r="BP145" s="93" t="s">
        <v>527</v>
      </c>
      <c r="BQ145" s="47">
        <f>SUM(Financials20263[[#This Row],[Jan AC]:[May AC]])</f>
        <v>0</v>
      </c>
      <c r="BR145" s="6">
        <f>Financials20263[[#This Row],[2026 (Actuals + Forecast)]]-Financials20263[[#This Row],[Jan-May Actuals]]-Financials20263[[#This Row],[Jun-Dec FC]]</f>
        <v>0</v>
      </c>
      <c r="BS145" s="6">
        <f>Financials20263[[#This Row],[Jun-Dec FC]]+Financials20263[[#This Row],[Jan-May Forecast ]]</f>
        <v>12896</v>
      </c>
      <c r="BT145" s="6">
        <f>SUM(Financials20263[[#This Row],[Jan FC]:[May FC]])</f>
        <v>0</v>
      </c>
      <c r="BU145" s="6">
        <f>Financials20263[[#This Row],[Jan-May Actuals]]+Financials20263[[#This Row],[Forecast Jun-Dec]]</f>
        <v>12896</v>
      </c>
      <c r="BV145" s="6"/>
      <c r="BW145" s="6"/>
      <c r="BX145" s="6"/>
    </row>
    <row r="146" spans="1:76" x14ac:dyDescent="0.3">
      <c r="A146" s="22" t="s">
        <v>101</v>
      </c>
      <c r="B146" s="21" t="s">
        <v>73</v>
      </c>
      <c r="C146" s="21" t="s">
        <v>190</v>
      </c>
      <c r="D146" s="10" t="s">
        <v>186</v>
      </c>
      <c r="E146" s="7" t="s">
        <v>186</v>
      </c>
      <c r="F146" s="3" t="s">
        <v>187</v>
      </c>
      <c r="G146" s="3" t="s">
        <v>53</v>
      </c>
      <c r="H146" s="4">
        <v>46097</v>
      </c>
      <c r="I146" s="4">
        <v>46387</v>
      </c>
      <c r="J146" s="3"/>
      <c r="K146" s="3" t="str">
        <f t="shared" si="54"/>
        <v>T&amp;M-T&amp;M</v>
      </c>
      <c r="L146" s="21" t="s">
        <v>124</v>
      </c>
      <c r="M146" s="21" t="s">
        <v>46</v>
      </c>
      <c r="N146" s="21" t="s">
        <v>189</v>
      </c>
      <c r="O146" s="21" t="s">
        <v>186</v>
      </c>
      <c r="P146" s="21" t="s">
        <v>126</v>
      </c>
      <c r="Q146" s="21" t="s">
        <v>127</v>
      </c>
      <c r="R146" s="21" t="s">
        <v>128</v>
      </c>
      <c r="S146" s="21" t="s">
        <v>129</v>
      </c>
      <c r="T146" s="5"/>
      <c r="U146" s="15"/>
      <c r="V146" s="15">
        <v>0</v>
      </c>
      <c r="W146" s="15">
        <f t="shared" si="48"/>
        <v>69325</v>
      </c>
      <c r="X146" s="15">
        <f t="shared" si="51"/>
        <v>0</v>
      </c>
      <c r="Y146" s="15">
        <f t="shared" si="49"/>
        <v>69325</v>
      </c>
      <c r="Z146" s="15">
        <f>SUM(Financials20263[[#This Row],[2026 Opportunity]:[2026 Risk]])</f>
        <v>69325</v>
      </c>
      <c r="AA146" s="3" t="s">
        <v>414</v>
      </c>
      <c r="AB146" s="53"/>
      <c r="AC146" s="53"/>
      <c r="AD146" s="52">
        <v>3760</v>
      </c>
      <c r="AE146" s="52">
        <v>7520</v>
      </c>
      <c r="AF146" s="52">
        <v>7520</v>
      </c>
      <c r="AG146" s="52">
        <v>7520</v>
      </c>
      <c r="AH146" s="52">
        <v>7520</v>
      </c>
      <c r="AI146" s="52">
        <v>7520</v>
      </c>
      <c r="AJ146" s="52">
        <v>7520</v>
      </c>
      <c r="AK146" s="52">
        <v>7520</v>
      </c>
      <c r="AL146" s="52">
        <v>7520</v>
      </c>
      <c r="AM146" s="52">
        <v>7520</v>
      </c>
      <c r="AN146" s="52">
        <f>SUM(Financials20263[[#This Row],[Jan FC]:[Dec FC]])</f>
        <v>71440</v>
      </c>
      <c r="AO146" s="15">
        <f t="shared" si="50"/>
        <v>52640</v>
      </c>
      <c r="AP146" s="62">
        <v>0</v>
      </c>
      <c r="AQ146" s="62"/>
      <c r="AR146" s="61"/>
      <c r="AS146" s="61">
        <v>4888</v>
      </c>
      <c r="AT146" s="61">
        <v>8037</v>
      </c>
      <c r="AU146" s="61"/>
      <c r="AV146" s="61"/>
      <c r="AW146" s="61"/>
      <c r="AX146" s="61"/>
      <c r="AY146" s="61"/>
      <c r="AZ146" s="61"/>
      <c r="BA146" s="61"/>
      <c r="BB146" s="80">
        <f>SUM(Financials20263[[#This Row],[Jan AC]:[Dec AC]])</f>
        <v>12925</v>
      </c>
      <c r="BC146" s="71">
        <f>Financials20263[[#This Row],[Jan AC]]-Financials20263[[#This Row],[Jan FC]]</f>
        <v>0</v>
      </c>
      <c r="BD146" s="71">
        <f>Financials20263[[#This Row],[Feb AC]]-Financials20263[[#This Row],[Feb FC]]</f>
        <v>0</v>
      </c>
      <c r="BE146" s="71">
        <f>Financials20263[[#This Row],[Mar AC]]-Financials20263[[#This Row],[Mar FC]]</f>
        <v>-3760</v>
      </c>
      <c r="BF146" s="71">
        <f>Financials20263[[#This Row],[Apr AC]]-Financials20263[[#This Row],[Apr FC]]</f>
        <v>-2632</v>
      </c>
      <c r="BG146" s="71">
        <f>Financials20263[[#This Row],[May AC]]-Financials20263[[#This Row],[May FC]]</f>
        <v>517</v>
      </c>
      <c r="BH146" s="71">
        <f>Financials20263[[#This Row],[Jun AC]]-Financials20263[[#This Row],[Jun FC]]</f>
        <v>-7520</v>
      </c>
      <c r="BI146" s="71">
        <f>Financials20263[[#This Row],[Jul AC]]-Financials20263[[#This Row],[Jul FC]]</f>
        <v>-7520</v>
      </c>
      <c r="BJ146" s="71">
        <f>Financials20263[[#This Row],[Aug AC]]-Financials20263[[#This Row],[Aug FC]]</f>
        <v>-7520</v>
      </c>
      <c r="BK146" s="71">
        <f>Financials20263[[#This Row],[Sep AC]]-Financials20263[[#This Row],[Sep FC]]</f>
        <v>-7520</v>
      </c>
      <c r="BL146" s="71">
        <f>Financials20263[[#This Row],[Oct AC]]-Financials20263[[#This Row],[Oct FC]]</f>
        <v>-7520</v>
      </c>
      <c r="BM146" s="71">
        <f>Financials20263[[#This Row],[Nov AC]]-Financials20263[[#This Row],[Nov FC]]</f>
        <v>-7520</v>
      </c>
      <c r="BN146" s="71">
        <f>Financials20263[[#This Row],[Dec AC]]-Financials20263[[#This Row],[Dec FC]]</f>
        <v>-7520</v>
      </c>
      <c r="BO146" s="71">
        <f>SUM(Financials20263[[#This Row],[Jan Opp/Risk]:[Dec Opp./Risk]])</f>
        <v>-58515</v>
      </c>
      <c r="BP146" s="88" t="s">
        <v>521</v>
      </c>
      <c r="BQ146" s="47">
        <f>SUM(Financials20263[[#This Row],[Jan AC]:[May AC]])</f>
        <v>12925</v>
      </c>
      <c r="BR146" s="6">
        <f>Financials20263[[#This Row],[2026 (Actuals + Forecast)]]-Financials20263[[#This Row],[Jan-May Actuals]]-Financials20263[[#This Row],[Jun-Dec FC]]</f>
        <v>3760</v>
      </c>
      <c r="BS146" s="6">
        <f>Financials20263[[#This Row],[Jun-Dec FC]]+Financials20263[[#This Row],[Jan-May Forecast ]]</f>
        <v>56400</v>
      </c>
      <c r="BT146" s="6">
        <f>SUM(Financials20263[[#This Row],[Jan FC]:[May FC]])</f>
        <v>18800</v>
      </c>
      <c r="BU146" s="6">
        <f>Financials20263[[#This Row],[Jan-May Actuals]]+Financials20263[[#This Row],[Forecast Jun-Dec]]</f>
        <v>69325</v>
      </c>
      <c r="BV146" s="6"/>
      <c r="BW146" s="6"/>
      <c r="BX146" s="6"/>
    </row>
    <row r="147" spans="1:76" x14ac:dyDescent="0.3">
      <c r="A147" s="22" t="s">
        <v>101</v>
      </c>
      <c r="B147" s="21" t="s">
        <v>73</v>
      </c>
      <c r="C147" s="21" t="s">
        <v>190</v>
      </c>
      <c r="D147" s="10" t="s">
        <v>186</v>
      </c>
      <c r="E147" s="7" t="s">
        <v>186</v>
      </c>
      <c r="F147" s="3" t="s">
        <v>187</v>
      </c>
      <c r="G147" s="3" t="s">
        <v>49</v>
      </c>
      <c r="H147" s="4">
        <v>46057</v>
      </c>
      <c r="I147" s="4">
        <v>46234</v>
      </c>
      <c r="J147" s="3"/>
      <c r="K147" s="3" t="str">
        <f t="shared" si="54"/>
        <v>T&amp;M-T&amp;M</v>
      </c>
      <c r="L147" s="21" t="s">
        <v>124</v>
      </c>
      <c r="M147" s="21" t="s">
        <v>46</v>
      </c>
      <c r="N147" s="21" t="s">
        <v>189</v>
      </c>
      <c r="O147" s="21" t="s">
        <v>186</v>
      </c>
      <c r="P147" s="21" t="s">
        <v>126</v>
      </c>
      <c r="Q147" s="21" t="s">
        <v>127</v>
      </c>
      <c r="R147" s="21" t="s">
        <v>128</v>
      </c>
      <c r="S147" s="21" t="s">
        <v>129</v>
      </c>
      <c r="T147" s="5"/>
      <c r="U147" s="15"/>
      <c r="V147" s="5">
        <v>0</v>
      </c>
      <c r="W147" s="15">
        <f t="shared" si="48"/>
        <v>38822</v>
      </c>
      <c r="X147" s="15">
        <f t="shared" si="51"/>
        <v>0</v>
      </c>
      <c r="Y147" s="15">
        <f t="shared" si="49"/>
        <v>38822</v>
      </c>
      <c r="Z147" s="15">
        <f>SUM(Financials20263[[#This Row],[2026 Opportunity]:[2026 Risk]])</f>
        <v>38822</v>
      </c>
      <c r="AA147" s="14" t="s">
        <v>415</v>
      </c>
      <c r="AB147" s="52"/>
      <c r="AC147" s="52"/>
      <c r="AD147" s="52">
        <v>7520</v>
      </c>
      <c r="AE147" s="52">
        <v>7520</v>
      </c>
      <c r="AF147" s="52">
        <v>7520</v>
      </c>
      <c r="AG147" s="52">
        <v>7520</v>
      </c>
      <c r="AH147" s="52">
        <v>7520</v>
      </c>
      <c r="AI147" s="52"/>
      <c r="AJ147" s="52"/>
      <c r="AK147" s="52"/>
      <c r="AL147" s="52"/>
      <c r="AM147" s="52"/>
      <c r="AN147" s="52">
        <f>SUM(Financials20263[[#This Row],[Jan FC]:[Dec FC]])</f>
        <v>37600</v>
      </c>
      <c r="AO147" s="15">
        <f t="shared" si="50"/>
        <v>15040</v>
      </c>
      <c r="AP147" s="61">
        <v>0</v>
      </c>
      <c r="AQ147" s="61"/>
      <c r="AR147" s="61">
        <v>7144</v>
      </c>
      <c r="AS147" s="61">
        <v>8272</v>
      </c>
      <c r="AT147" s="61">
        <v>8366</v>
      </c>
      <c r="AU147" s="61"/>
      <c r="AV147" s="61"/>
      <c r="AW147" s="61"/>
      <c r="AX147" s="61"/>
      <c r="AY147" s="61"/>
      <c r="AZ147" s="61"/>
      <c r="BA147" s="61"/>
      <c r="BB147" s="80">
        <f>SUM(Financials20263[[#This Row],[Jan AC]:[Dec AC]])</f>
        <v>23782</v>
      </c>
      <c r="BC147" s="71">
        <f>Financials20263[[#This Row],[Jan AC]]-Financials20263[[#This Row],[Jan FC]]</f>
        <v>0</v>
      </c>
      <c r="BD147" s="71">
        <f>Financials20263[[#This Row],[Feb AC]]-Financials20263[[#This Row],[Feb FC]]</f>
        <v>0</v>
      </c>
      <c r="BE147" s="71">
        <f>Financials20263[[#This Row],[Mar AC]]-Financials20263[[#This Row],[Mar FC]]</f>
        <v>-376</v>
      </c>
      <c r="BF147" s="71">
        <f>Financials20263[[#This Row],[Apr AC]]-Financials20263[[#This Row],[Apr FC]]</f>
        <v>752</v>
      </c>
      <c r="BG147" s="71">
        <f>Financials20263[[#This Row],[May AC]]-Financials20263[[#This Row],[May FC]]</f>
        <v>846</v>
      </c>
      <c r="BH147" s="71">
        <f>Financials20263[[#This Row],[Jun AC]]-Financials20263[[#This Row],[Jun FC]]</f>
        <v>-7520</v>
      </c>
      <c r="BI147" s="71">
        <f>Financials20263[[#This Row],[Jul AC]]-Financials20263[[#This Row],[Jul FC]]</f>
        <v>-7520</v>
      </c>
      <c r="BJ147" s="71">
        <f>Financials20263[[#This Row],[Aug AC]]-Financials20263[[#This Row],[Aug FC]]</f>
        <v>0</v>
      </c>
      <c r="BK147" s="71">
        <f>Financials20263[[#This Row],[Sep AC]]-Financials20263[[#This Row],[Sep FC]]</f>
        <v>0</v>
      </c>
      <c r="BL147" s="71">
        <f>Financials20263[[#This Row],[Oct AC]]-Financials20263[[#This Row],[Oct FC]]</f>
        <v>0</v>
      </c>
      <c r="BM147" s="71">
        <f>Financials20263[[#This Row],[Nov AC]]-Financials20263[[#This Row],[Nov FC]]</f>
        <v>0</v>
      </c>
      <c r="BN147" s="71">
        <f>Financials20263[[#This Row],[Dec AC]]-Financials20263[[#This Row],[Dec FC]]</f>
        <v>0</v>
      </c>
      <c r="BO147" s="71">
        <f>SUM(Financials20263[[#This Row],[Jan Opp/Risk]:[Dec Opp./Risk]])</f>
        <v>-13818</v>
      </c>
      <c r="BP147" s="88" t="s">
        <v>541</v>
      </c>
      <c r="BQ147" s="47">
        <f>SUM(Financials20263[[#This Row],[Jan AC]:[May AC]])</f>
        <v>23782</v>
      </c>
      <c r="BR147" s="6">
        <f>Financials20263[[#This Row],[2026 (Actuals + Forecast)]]-Financials20263[[#This Row],[Jan-May Actuals]]-Financials20263[[#This Row],[Jun-Dec FC]]</f>
        <v>0</v>
      </c>
      <c r="BS147" s="6">
        <f>Financials20263[[#This Row],[Jun-Dec FC]]+Financials20263[[#This Row],[Jan-May Forecast ]]</f>
        <v>15040</v>
      </c>
      <c r="BT147" s="6">
        <f>SUM(Financials20263[[#This Row],[Jan FC]:[May FC]])</f>
        <v>22560</v>
      </c>
      <c r="BU147" s="6">
        <f>Financials20263[[#This Row],[Jan-May Actuals]]+Financials20263[[#This Row],[Forecast Jun-Dec]]</f>
        <v>38822</v>
      </c>
      <c r="BV147" s="6"/>
    </row>
    <row r="148" spans="1:76" x14ac:dyDescent="0.3">
      <c r="A148" s="32" t="s">
        <v>101</v>
      </c>
      <c r="B148" s="21" t="s">
        <v>478</v>
      </c>
      <c r="C148" s="33" t="s">
        <v>424</v>
      </c>
      <c r="D148" s="10" t="s">
        <v>31</v>
      </c>
      <c r="E148" s="7" t="s">
        <v>204</v>
      </c>
      <c r="F148" s="3" t="s">
        <v>205</v>
      </c>
      <c r="G148" s="3" t="s">
        <v>50</v>
      </c>
      <c r="H148" s="4">
        <v>46082</v>
      </c>
      <c r="I148" s="4">
        <v>46387</v>
      </c>
      <c r="J148" s="35"/>
      <c r="K148" s="35" t="s">
        <v>476</v>
      </c>
      <c r="L148" s="33" t="s">
        <v>106</v>
      </c>
      <c r="M148" s="33" t="s">
        <v>6</v>
      </c>
      <c r="N148" s="33" t="s">
        <v>6</v>
      </c>
      <c r="O148" s="33" t="s">
        <v>373</v>
      </c>
      <c r="P148" s="33" t="s">
        <v>163</v>
      </c>
      <c r="Q148" s="33" t="s">
        <v>163</v>
      </c>
      <c r="R148" s="33" t="s">
        <v>164</v>
      </c>
      <c r="S148" s="33" t="s">
        <v>154</v>
      </c>
      <c r="T148" s="36">
        <v>0</v>
      </c>
      <c r="U148" s="36">
        <v>0</v>
      </c>
      <c r="V148" s="5">
        <v>0</v>
      </c>
      <c r="W148" s="15">
        <f t="shared" si="48"/>
        <v>15208</v>
      </c>
      <c r="X148" s="15">
        <f t="shared" si="51"/>
        <v>0</v>
      </c>
      <c r="Y148" s="15">
        <f t="shared" si="49"/>
        <v>15208</v>
      </c>
      <c r="Z148" s="15">
        <f>SUM(Financials20263[[#This Row],[2026 Opportunity]:[2026 Risk]])</f>
        <v>15208</v>
      </c>
      <c r="AA148" s="42"/>
      <c r="AB148" s="54"/>
      <c r="AC148" s="54"/>
      <c r="AD148" s="54"/>
      <c r="AE148" s="54">
        <v>15208</v>
      </c>
      <c r="AF148" s="54"/>
      <c r="AG148" s="54"/>
      <c r="AH148" s="54"/>
      <c r="AI148" s="54"/>
      <c r="AJ148" s="54"/>
      <c r="AK148" s="54"/>
      <c r="AL148" s="54"/>
      <c r="AM148" s="54"/>
      <c r="AN148" s="52">
        <f>SUM(Financials20263[[#This Row],[Jan FC]:[Dec FC]])</f>
        <v>15208</v>
      </c>
      <c r="AO148" s="15">
        <f t="shared" si="50"/>
        <v>0</v>
      </c>
      <c r="AP148" s="63"/>
      <c r="AQ148" s="63"/>
      <c r="AR148" s="63"/>
      <c r="AS148" s="61">
        <v>15208</v>
      </c>
      <c r="AT148" s="63"/>
      <c r="AU148" s="63"/>
      <c r="AV148" s="63"/>
      <c r="AW148" s="63"/>
      <c r="AX148" s="63"/>
      <c r="AY148" s="63"/>
      <c r="AZ148" s="63"/>
      <c r="BA148" s="63"/>
      <c r="BB148" s="82">
        <f>SUM(Financials20263[[#This Row],[Jan AC]:[Dec AC]])</f>
        <v>15208</v>
      </c>
      <c r="BC148" s="71">
        <f>Financials20263[[#This Row],[Jan AC]]-Financials20263[[#This Row],[Jan FC]]</f>
        <v>0</v>
      </c>
      <c r="BD148" s="71">
        <f>Financials20263[[#This Row],[Feb AC]]-Financials20263[[#This Row],[Feb FC]]</f>
        <v>0</v>
      </c>
      <c r="BE148" s="71">
        <f>Financials20263[[#This Row],[Mar AC]]-Financials20263[[#This Row],[Mar FC]]</f>
        <v>0</v>
      </c>
      <c r="BF148" s="71">
        <f>Financials20263[[#This Row],[Apr AC]]-Financials20263[[#This Row],[Apr FC]]</f>
        <v>0</v>
      </c>
      <c r="BG148" s="71">
        <f>Financials20263[[#This Row],[May AC]]-Financials20263[[#This Row],[May FC]]</f>
        <v>0</v>
      </c>
      <c r="BH148" s="71">
        <f>Financials20263[[#This Row],[Jun AC]]-Financials20263[[#This Row],[Jun FC]]</f>
        <v>0</v>
      </c>
      <c r="BI148" s="71">
        <f>Financials20263[[#This Row],[Jul AC]]-Financials20263[[#This Row],[Jul FC]]</f>
        <v>0</v>
      </c>
      <c r="BJ148" s="71">
        <f>Financials20263[[#This Row],[Aug AC]]-Financials20263[[#This Row],[Aug FC]]</f>
        <v>0</v>
      </c>
      <c r="BK148" s="71">
        <f>Financials20263[[#This Row],[Sep AC]]-Financials20263[[#This Row],[Sep FC]]</f>
        <v>0</v>
      </c>
      <c r="BL148" s="71">
        <f>Financials20263[[#This Row],[Oct AC]]-Financials20263[[#This Row],[Oct FC]]</f>
        <v>0</v>
      </c>
      <c r="BM148" s="71">
        <f>Financials20263[[#This Row],[Nov AC]]-Financials20263[[#This Row],[Nov FC]]</f>
        <v>0</v>
      </c>
      <c r="BN148" s="71">
        <f>Financials20263[[#This Row],[Dec AC]]-Financials20263[[#This Row],[Dec FC]]</f>
        <v>0</v>
      </c>
      <c r="BO148" s="84">
        <f>SUM(Financials20263[[#This Row],[Jan Opp/Risk]:[Dec Opp./Risk]])</f>
        <v>0</v>
      </c>
      <c r="BP148" s="94" t="s">
        <v>479</v>
      </c>
      <c r="BQ148" s="47">
        <f>SUM(Financials20263[[#This Row],[Jan AC]:[May AC]])</f>
        <v>15208</v>
      </c>
      <c r="BR148" s="6">
        <f>Financials20263[[#This Row],[2026 (Actuals + Forecast)]]-Financials20263[[#This Row],[Jan-May Actuals]]-Financials20263[[#This Row],[Jun-Dec FC]]</f>
        <v>0</v>
      </c>
      <c r="BS148" s="6">
        <f>Financials20263[[#This Row],[Jun-Dec FC]]+Financials20263[[#This Row],[Jan-May Forecast ]]</f>
        <v>0</v>
      </c>
      <c r="BT148" s="6">
        <f>SUM(Financials20263[[#This Row],[Jan FC]:[May FC]])</f>
        <v>15208</v>
      </c>
      <c r="BU148" s="6">
        <f>Financials20263[[#This Row],[Jan-May Actuals]]+Financials20263[[#This Row],[Forecast Jun-Dec]]</f>
        <v>15208</v>
      </c>
      <c r="BV148" s="6"/>
    </row>
    <row r="149" spans="1:76" ht="43.2" x14ac:dyDescent="0.3">
      <c r="A149" s="32" t="s">
        <v>101</v>
      </c>
      <c r="B149" s="21" t="s">
        <v>739</v>
      </c>
      <c r="C149" s="33"/>
      <c r="D149" s="10" t="s">
        <v>186</v>
      </c>
      <c r="E149" s="7" t="s">
        <v>186</v>
      </c>
      <c r="F149" s="3"/>
      <c r="G149" s="3" t="s">
        <v>49</v>
      </c>
      <c r="H149" s="4"/>
      <c r="I149" s="4"/>
      <c r="J149" s="35"/>
      <c r="K149" s="3" t="str">
        <f t="shared" ref="K149" si="55">D149 &amp; "-" &amp;E149</f>
        <v>T&amp;M-T&amp;M</v>
      </c>
      <c r="L149" s="21" t="s">
        <v>124</v>
      </c>
      <c r="M149" s="21" t="s">
        <v>46</v>
      </c>
      <c r="N149" s="21" t="s">
        <v>189</v>
      </c>
      <c r="O149" s="21" t="s">
        <v>186</v>
      </c>
      <c r="P149" s="21" t="s">
        <v>126</v>
      </c>
      <c r="Q149" s="21" t="s">
        <v>127</v>
      </c>
      <c r="R149" s="21" t="s">
        <v>128</v>
      </c>
      <c r="S149" s="33"/>
      <c r="T149" s="36"/>
      <c r="U149" s="36"/>
      <c r="V149" s="36"/>
      <c r="W149" s="15">
        <f>AO149+IF(ISBLANK(AP149),AB149,AP149)+IF(ISBLANK(AQ149),AC149,AQ149)+IF(ISBLANK(AR149),AD149,AR149)+IF(ISBLANK(AS149),AE149,AS149)+IF(ISBLANK(AT149),AF149,AT149)</f>
        <v>80000</v>
      </c>
      <c r="X149" s="15">
        <f>IF(V149 &gt;= W149, V149 - W149, 0)*-1</f>
        <v>0</v>
      </c>
      <c r="Y149" s="37">
        <f>IF(W149 &gt; V149, W149 - V149, 0)</f>
        <v>80000</v>
      </c>
      <c r="Z149" s="37">
        <f>SUM(Financials20263[[#This Row],[2026 Opportunity]:[2026 Risk]])</f>
        <v>80000</v>
      </c>
      <c r="AA149" s="179" t="s">
        <v>746</v>
      </c>
      <c r="AB149" s="54"/>
      <c r="AC149" s="54"/>
      <c r="AD149" s="54"/>
      <c r="AE149" s="54"/>
      <c r="AF149" s="54"/>
      <c r="AG149" s="54"/>
      <c r="AH149" s="54"/>
      <c r="AI149" s="54"/>
      <c r="AJ149" s="54"/>
      <c r="AK149" s="54"/>
      <c r="AL149" s="178">
        <v>80000</v>
      </c>
      <c r="AM149" s="54"/>
      <c r="AN149" s="54">
        <f>SUM(Financials20263[[#This Row],[Jan FC]:[Dec FC]])</f>
        <v>80000</v>
      </c>
      <c r="AO149" s="15">
        <f>SUM(AG149:AM149)</f>
        <v>80000</v>
      </c>
      <c r="AP149" s="63"/>
      <c r="AQ149" s="63"/>
      <c r="AR149" s="63"/>
      <c r="AS149" s="63"/>
      <c r="AT149" s="63"/>
      <c r="AU149" s="63"/>
      <c r="AV149" s="63"/>
      <c r="AW149" s="63"/>
      <c r="AX149" s="63"/>
      <c r="AY149" s="63"/>
      <c r="AZ149" s="63"/>
      <c r="BA149" s="63"/>
      <c r="BB149" s="82">
        <f>SUM(Financials20263[[#This Row],[Jan AC]:[Dec AC]])</f>
        <v>0</v>
      </c>
      <c r="BC149" s="71">
        <f>Financials20263[[#This Row],[Jan AC]]-Financials20263[[#This Row],[Jan FC]]</f>
        <v>0</v>
      </c>
      <c r="BD149" s="71">
        <f>Financials20263[[#This Row],[Feb AC]]-Financials20263[[#This Row],[Feb FC]]</f>
        <v>0</v>
      </c>
      <c r="BE149" s="71">
        <f>Financials20263[[#This Row],[Mar AC]]-Financials20263[[#This Row],[Mar FC]]</f>
        <v>0</v>
      </c>
      <c r="BF149" s="71">
        <f>Financials20263[[#This Row],[Apr AC]]-Financials20263[[#This Row],[Apr FC]]</f>
        <v>0</v>
      </c>
      <c r="BG149" s="71">
        <f>Financials20263[[#This Row],[May AC]]-Financials20263[[#This Row],[May FC]]</f>
        <v>0</v>
      </c>
      <c r="BH149" s="71">
        <f>Financials20263[[#This Row],[Jun AC]]-Financials20263[[#This Row],[Jun FC]]</f>
        <v>0</v>
      </c>
      <c r="BI149" s="71">
        <f>Financials20263[[#This Row],[Jul AC]]-Financials20263[[#This Row],[Jul FC]]</f>
        <v>0</v>
      </c>
      <c r="BJ149" s="71">
        <f>Financials20263[[#This Row],[Aug AC]]-Financials20263[[#This Row],[Aug FC]]</f>
        <v>0</v>
      </c>
      <c r="BK149" s="71">
        <f>Financials20263[[#This Row],[Sep AC]]-Financials20263[[#This Row],[Sep FC]]</f>
        <v>0</v>
      </c>
      <c r="BL149" s="71">
        <f>Financials20263[[#This Row],[Oct AC]]-Financials20263[[#This Row],[Oct FC]]</f>
        <v>0</v>
      </c>
      <c r="BM149" s="71">
        <f>Financials20263[[#This Row],[Nov AC]]-Financials20263[[#This Row],[Nov FC]]</f>
        <v>-80000</v>
      </c>
      <c r="BN149" s="71">
        <f>Financials20263[[#This Row],[Dec AC]]-Financials20263[[#This Row],[Dec FC]]</f>
        <v>0</v>
      </c>
      <c r="BO149" s="84">
        <f>SUM(Financials20263[[#This Row],[Jan Opp/Risk]:[Dec Opp./Risk]])</f>
        <v>-80000</v>
      </c>
      <c r="BP149" s="94"/>
      <c r="BQ149" s="47">
        <f>SUM(Financials20263[[#This Row],[Jan AC]:[May AC]])</f>
        <v>0</v>
      </c>
      <c r="BR149" s="6">
        <f>Financials20263[[#This Row],[2026 (Actuals + Forecast)]]-Financials20263[[#This Row],[Jan-May Actuals]]-Financials20263[[#This Row],[Jun-Dec FC]]</f>
        <v>0</v>
      </c>
      <c r="BS149" s="6">
        <f>Financials20263[[#This Row],[Jun-Dec FC]]+Financials20263[[#This Row],[Jan-May Forecast ]]</f>
        <v>80000</v>
      </c>
      <c r="BT149" s="6">
        <f>SUM(Financials20263[[#This Row],[Jan FC]:[May FC]])</f>
        <v>0</v>
      </c>
      <c r="BU149" s="6">
        <f>Financials20263[[#This Row],[Jan-May Actuals]]+Financials20263[[#This Row],[Forecast Jun-Dec]]</f>
        <v>80000</v>
      </c>
      <c r="BV149" s="6"/>
    </row>
    <row r="150" spans="1:76" ht="57.6" x14ac:dyDescent="0.3">
      <c r="A150" s="32" t="s">
        <v>101</v>
      </c>
      <c r="B150" s="21" t="s">
        <v>416</v>
      </c>
      <c r="C150" s="39"/>
      <c r="D150" s="10" t="s">
        <v>31</v>
      </c>
      <c r="E150" s="7" t="s">
        <v>204</v>
      </c>
      <c r="F150" s="3" t="s">
        <v>205</v>
      </c>
      <c r="G150" s="3" t="s">
        <v>50</v>
      </c>
      <c r="H150" s="4">
        <v>45992</v>
      </c>
      <c r="I150" s="4">
        <v>46387</v>
      </c>
      <c r="J150" s="40" t="s">
        <v>203</v>
      </c>
      <c r="K150" s="40" t="str">
        <f>D150 &amp; "-" &amp;E150</f>
        <v>Prj000469-Support - Prod Support for Ops Apps</v>
      </c>
      <c r="L150" s="39" t="s">
        <v>106</v>
      </c>
      <c r="M150" s="39" t="s">
        <v>7</v>
      </c>
      <c r="N150" s="39" t="s">
        <v>7</v>
      </c>
      <c r="O150" s="39" t="s">
        <v>224</v>
      </c>
      <c r="P150" s="39" t="s">
        <v>107</v>
      </c>
      <c r="Q150" s="33" t="s">
        <v>108</v>
      </c>
      <c r="R150" s="39" t="s">
        <v>108</v>
      </c>
      <c r="S150" s="39" t="s">
        <v>132</v>
      </c>
      <c r="T150" s="36">
        <v>0</v>
      </c>
      <c r="U150" s="37">
        <v>0</v>
      </c>
      <c r="V150" s="37">
        <v>0</v>
      </c>
      <c r="W150" s="15">
        <f t="shared" si="48"/>
        <v>102000</v>
      </c>
      <c r="X150" s="15">
        <f t="shared" si="51"/>
        <v>0</v>
      </c>
      <c r="Y150" s="38">
        <f>IF(W150 &gt; V150, W150 - V150, 0)</f>
        <v>102000</v>
      </c>
      <c r="Z150" s="38">
        <f>SUM(Financials20263[[#This Row],[2026 Opportunity]:[2026 Risk]])</f>
        <v>102000</v>
      </c>
      <c r="AA150" s="14" t="s">
        <v>417</v>
      </c>
      <c r="AB150" s="54"/>
      <c r="AC150" s="54"/>
      <c r="AD150" s="54"/>
      <c r="AE150" s="54">
        <v>92000</v>
      </c>
      <c r="AF150" s="54"/>
      <c r="AG150" s="54"/>
      <c r="AH150" s="54"/>
      <c r="AI150" s="54"/>
      <c r="AJ150" s="54"/>
      <c r="AK150" s="54"/>
      <c r="AL150" s="54"/>
      <c r="AM150" s="54">
        <v>10000</v>
      </c>
      <c r="AN150" s="54">
        <f>SUM(Financials20263[[#This Row],[Jan FC]:[Dec FC]])</f>
        <v>102000</v>
      </c>
      <c r="AO150" s="15">
        <f t="shared" si="50"/>
        <v>10000</v>
      </c>
      <c r="AP150" s="63"/>
      <c r="AQ150" s="63"/>
      <c r="AR150" s="63"/>
      <c r="AS150" s="63">
        <v>92000</v>
      </c>
      <c r="AT150" s="63"/>
      <c r="AU150" s="63"/>
      <c r="AV150" s="63"/>
      <c r="AW150" s="63"/>
      <c r="AX150" s="63"/>
      <c r="AY150" s="63"/>
      <c r="AZ150" s="63"/>
      <c r="BA150" s="63"/>
      <c r="BB150" s="82">
        <f>SUM(Financials20263[[#This Row],[Jan AC]:[Dec AC]])</f>
        <v>92000</v>
      </c>
      <c r="BC150" s="71">
        <f>Financials20263[[#This Row],[Jan AC]]-Financials20263[[#This Row],[Jan FC]]</f>
        <v>0</v>
      </c>
      <c r="BD150" s="71">
        <f>Financials20263[[#This Row],[Feb AC]]-Financials20263[[#This Row],[Feb FC]]</f>
        <v>0</v>
      </c>
      <c r="BE150" s="71">
        <f>Financials20263[[#This Row],[Mar AC]]-Financials20263[[#This Row],[Mar FC]]</f>
        <v>0</v>
      </c>
      <c r="BF150" s="71">
        <f>Financials20263[[#This Row],[Apr AC]]-Financials20263[[#This Row],[Apr FC]]</f>
        <v>0</v>
      </c>
      <c r="BG150" s="71">
        <f>Financials20263[[#This Row],[May AC]]-Financials20263[[#This Row],[May FC]]</f>
        <v>0</v>
      </c>
      <c r="BH150" s="71">
        <f>Financials20263[[#This Row],[Jun AC]]-Financials20263[[#This Row],[Jun FC]]</f>
        <v>0</v>
      </c>
      <c r="BI150" s="71">
        <f>Financials20263[[#This Row],[Jul AC]]-Financials20263[[#This Row],[Jul FC]]</f>
        <v>0</v>
      </c>
      <c r="BJ150" s="71">
        <f>Financials20263[[#This Row],[Aug AC]]-Financials20263[[#This Row],[Aug FC]]</f>
        <v>0</v>
      </c>
      <c r="BK150" s="71">
        <f>Financials20263[[#This Row],[Sep AC]]-Financials20263[[#This Row],[Sep FC]]</f>
        <v>0</v>
      </c>
      <c r="BL150" s="71">
        <f>Financials20263[[#This Row],[Oct AC]]-Financials20263[[#This Row],[Oct FC]]</f>
        <v>0</v>
      </c>
      <c r="BM150" s="71">
        <f>Financials20263[[#This Row],[Nov AC]]-Financials20263[[#This Row],[Nov FC]]</f>
        <v>0</v>
      </c>
      <c r="BN150" s="71">
        <f>Financials20263[[#This Row],[Dec AC]]-Financials20263[[#This Row],[Dec FC]]</f>
        <v>-10000</v>
      </c>
      <c r="BO150" s="84">
        <f>SUM(Financials20263[[#This Row],[Jan Opp/Risk]:[Dec Opp./Risk]])</f>
        <v>-10000</v>
      </c>
      <c r="BP150" s="95" t="s">
        <v>659</v>
      </c>
      <c r="BQ150" s="47">
        <f>SUM(Financials20263[[#This Row],[Jan AC]:[May AC]])</f>
        <v>92000</v>
      </c>
      <c r="BR150" s="6">
        <f>Financials20263[[#This Row],[2026 (Actuals + Forecast)]]-Financials20263[[#This Row],[Jan-May Actuals]]-Financials20263[[#This Row],[Jun-Dec FC]]</f>
        <v>0</v>
      </c>
      <c r="BS150" s="6">
        <f>Financials20263[[#This Row],[Jun-Dec FC]]+Financials20263[[#This Row],[Jan-May Forecast ]]</f>
        <v>10000</v>
      </c>
      <c r="BT150" s="6">
        <f>SUM(Financials20263[[#This Row],[Jan FC]:[May FC]])</f>
        <v>92000</v>
      </c>
      <c r="BU150" s="6">
        <f>Financials20263[[#This Row],[Jan-May Actuals]]+Financials20263[[#This Row],[Forecast Jun-Dec]]</f>
        <v>102000</v>
      </c>
      <c r="BV150" s="6"/>
    </row>
    <row r="151" spans="1:76" x14ac:dyDescent="0.3">
      <c r="A151" s="140"/>
      <c r="B151" s="140"/>
      <c r="C151" s="141"/>
      <c r="D151"/>
      <c r="G151"/>
      <c r="J151" s="142"/>
      <c r="K151" s="142"/>
      <c r="L151" s="141"/>
      <c r="M151" s="141"/>
      <c r="N151" s="141"/>
      <c r="O151" s="141"/>
      <c r="P151" s="141"/>
      <c r="Q151" s="140"/>
      <c r="R151" s="141"/>
      <c r="S151" s="141"/>
      <c r="T151" s="6"/>
      <c r="U151" s="143"/>
      <c r="V151" s="143"/>
      <c r="W151" s="143"/>
      <c r="X151" s="143"/>
      <c r="Y151" s="144"/>
      <c r="Z151" s="144"/>
      <c r="AA151"/>
      <c r="AB151"/>
      <c r="AC151"/>
      <c r="AD151"/>
      <c r="AE151"/>
      <c r="AF151"/>
      <c r="AI151"/>
      <c r="AJ151"/>
      <c r="AK151"/>
      <c r="AL151"/>
      <c r="AM151"/>
      <c r="AN151"/>
      <c r="AO151"/>
      <c r="AP151"/>
      <c r="AQ151"/>
      <c r="AR151"/>
      <c r="AS151"/>
      <c r="AT151"/>
      <c r="AU151"/>
      <c r="AV151"/>
      <c r="AW151"/>
      <c r="AX151"/>
      <c r="AY151"/>
      <c r="AZ151"/>
      <c r="BA151"/>
      <c r="BB151"/>
      <c r="BC151"/>
      <c r="BD151"/>
      <c r="BE151"/>
      <c r="BF151"/>
      <c r="BG151"/>
      <c r="BH151"/>
    </row>
    <row r="152" spans="1:76" x14ac:dyDescent="0.3">
      <c r="A152" s="107"/>
      <c r="B152" s="107" t="s">
        <v>570</v>
      </c>
      <c r="C152" s="107"/>
      <c r="D152" s="108"/>
      <c r="E152" s="107"/>
      <c r="F152" s="107"/>
      <c r="G152" s="108"/>
      <c r="H152" s="109"/>
      <c r="I152" s="109"/>
      <c r="J152" s="107"/>
      <c r="K152" s="107"/>
      <c r="L152" s="107"/>
      <c r="M152" s="107"/>
      <c r="N152" s="107"/>
      <c r="O152" s="107"/>
      <c r="P152" s="107"/>
      <c r="Q152" s="107"/>
      <c r="R152" s="107"/>
      <c r="S152" s="107"/>
      <c r="T152" s="110">
        <f t="shared" ref="T152:AY152" si="56">SUBTOTAL(9,T2:T151)</f>
        <v>46382982.072500005</v>
      </c>
      <c r="U152" s="110">
        <f t="shared" si="56"/>
        <v>40168697.557166502</v>
      </c>
      <c r="V152" s="110">
        <f t="shared" si="56"/>
        <v>40788397.956149995</v>
      </c>
      <c r="W152" s="110">
        <f t="shared" si="56"/>
        <v>41235541.133566655</v>
      </c>
      <c r="X152" s="110">
        <f t="shared" si="56"/>
        <v>-3748783.7001499995</v>
      </c>
      <c r="Y152" s="110">
        <f t="shared" si="56"/>
        <v>4195926.8775666654</v>
      </c>
      <c r="Z152" s="110">
        <f t="shared" si="56"/>
        <v>447143.17741666618</v>
      </c>
      <c r="AA152" s="110">
        <f t="shared" si="56"/>
        <v>0</v>
      </c>
      <c r="AB152" s="110">
        <f t="shared" si="56"/>
        <v>3093290.4024999994</v>
      </c>
      <c r="AC152" s="110">
        <f t="shared" si="56"/>
        <v>3064082.0425</v>
      </c>
      <c r="AD152" s="110">
        <f t="shared" si="56"/>
        <v>3202306.3920833333</v>
      </c>
      <c r="AE152" s="110">
        <f t="shared" si="56"/>
        <v>3749212.6802499997</v>
      </c>
      <c r="AF152" s="110">
        <f t="shared" si="56"/>
        <v>3242027.7902500001</v>
      </c>
      <c r="AG152" s="110">
        <f t="shared" si="56"/>
        <v>3109340.7035833332</v>
      </c>
      <c r="AH152" s="110">
        <f t="shared" si="56"/>
        <v>3405678.1052500005</v>
      </c>
      <c r="AI152" s="110">
        <f t="shared" si="56"/>
        <v>3884155.918583333</v>
      </c>
      <c r="AJ152" s="110">
        <f t="shared" si="56"/>
        <v>2915294.6559166671</v>
      </c>
      <c r="AK152" s="110">
        <f t="shared" si="56"/>
        <v>3451457.0869166669</v>
      </c>
      <c r="AL152" s="110">
        <f t="shared" si="56"/>
        <v>2982881.6594166672</v>
      </c>
      <c r="AM152" s="110">
        <f t="shared" si="56"/>
        <v>5106447.5735833338</v>
      </c>
      <c r="AN152" s="110">
        <f t="shared" si="56"/>
        <v>41206175.010833316</v>
      </c>
      <c r="AO152" s="110">
        <f t="shared" si="56"/>
        <v>24855255.703250002</v>
      </c>
      <c r="AP152" s="110">
        <f t="shared" si="56"/>
        <v>3152345.7691666665</v>
      </c>
      <c r="AQ152" s="110">
        <f t="shared" si="56"/>
        <v>2996640.1791666681</v>
      </c>
      <c r="AR152" s="110">
        <f t="shared" si="56"/>
        <v>3232989.6266666674</v>
      </c>
      <c r="AS152" s="110">
        <f t="shared" si="56"/>
        <v>3445196.122533333</v>
      </c>
      <c r="AT152" s="110">
        <f t="shared" si="56"/>
        <v>2950998.2725333329</v>
      </c>
      <c r="AU152" s="110">
        <f t="shared" si="56"/>
        <v>1112200.7066666668</v>
      </c>
      <c r="AV152" s="110">
        <f t="shared" si="56"/>
        <v>668576.58000000007</v>
      </c>
      <c r="AW152" s="110">
        <f t="shared" si="56"/>
        <v>649080.58000000007</v>
      </c>
      <c r="AX152" s="110">
        <f t="shared" si="56"/>
        <v>637440.2466666667</v>
      </c>
      <c r="AY152" s="110">
        <f t="shared" si="56"/>
        <v>610371.4966666667</v>
      </c>
      <c r="AZ152" s="110">
        <f t="shared" ref="AZ152:BQ152" si="57">SUBTOTAL(9,AZ2:AZ151)</f>
        <v>529008.00666666671</v>
      </c>
      <c r="BA152" s="110">
        <f t="shared" si="57"/>
        <v>487037.0108333333</v>
      </c>
      <c r="BB152" s="110">
        <f t="shared" si="57"/>
        <v>20471884.597566668</v>
      </c>
      <c r="BC152" s="110">
        <f t="shared" si="57"/>
        <v>59055.366666666683</v>
      </c>
      <c r="BD152" s="110">
        <f t="shared" si="57"/>
        <v>-67441.863333333269</v>
      </c>
      <c r="BE152" s="110">
        <f t="shared" si="57"/>
        <v>30683.234583333346</v>
      </c>
      <c r="BF152" s="110">
        <f t="shared" si="57"/>
        <v>-304016.55771666672</v>
      </c>
      <c r="BG152" s="110">
        <f t="shared" si="57"/>
        <v>-291029.51771666668</v>
      </c>
      <c r="BH152" s="110">
        <f t="shared" si="57"/>
        <v>-1997139.9969166664</v>
      </c>
      <c r="BI152" s="110">
        <f t="shared" si="57"/>
        <v>-2737101.5252500004</v>
      </c>
      <c r="BJ152" s="110">
        <f t="shared" si="57"/>
        <v>-3235075.3385833334</v>
      </c>
      <c r="BK152" s="110">
        <f t="shared" si="57"/>
        <v>-2277854.40925</v>
      </c>
      <c r="BL152" s="110">
        <f t="shared" si="57"/>
        <v>-2841085.5902500004</v>
      </c>
      <c r="BM152" s="110">
        <f t="shared" si="57"/>
        <v>-2453873.6527500004</v>
      </c>
      <c r="BN152" s="110">
        <f t="shared" si="57"/>
        <v>-4619410.5627500005</v>
      </c>
      <c r="BO152" s="110">
        <f t="shared" si="57"/>
        <v>-20734290.413266674</v>
      </c>
      <c r="BP152" s="110">
        <f t="shared" si="57"/>
        <v>0</v>
      </c>
      <c r="BQ152" s="110">
        <f t="shared" si="57"/>
        <v>15778169.970066672</v>
      </c>
    </row>
    <row r="153" spans="1:76" x14ac:dyDescent="0.3">
      <c r="V153" s="6">
        <f>V152-V21-V101+W153+W154</f>
        <v>38184827.956149995</v>
      </c>
      <c r="W153" s="6">
        <f>-U21+V21</f>
        <v>95195</v>
      </c>
      <c r="X153" s="6">
        <f>U21-AN21</f>
        <v>-95195</v>
      </c>
    </row>
    <row r="154" spans="1:76" x14ac:dyDescent="0.3">
      <c r="T154" s="6"/>
      <c r="U154" s="135"/>
      <c r="V154" s="139"/>
      <c r="W154" s="6">
        <v>197929</v>
      </c>
      <c r="X154" s="6">
        <f>W153+2499</f>
        <v>97694</v>
      </c>
      <c r="AH154" s="6"/>
    </row>
    <row r="155" spans="1:76" x14ac:dyDescent="0.3">
      <c r="U155" s="43"/>
      <c r="AE155"/>
      <c r="AF155"/>
      <c r="AG155" s="6"/>
      <c r="AH155" s="146"/>
    </row>
    <row r="156" spans="1:76" x14ac:dyDescent="0.3">
      <c r="U156" s="6"/>
    </row>
    <row r="161" spans="40:41" x14ac:dyDescent="0.3">
      <c r="AN161"/>
    </row>
    <row r="162" spans="40:41" x14ac:dyDescent="0.3">
      <c r="AN162"/>
    </row>
    <row r="163" spans="40:41" x14ac:dyDescent="0.3">
      <c r="AN163"/>
    </row>
    <row r="164" spans="40:41" x14ac:dyDescent="0.3">
      <c r="AN164"/>
    </row>
    <row r="165" spans="40:41" x14ac:dyDescent="0.3">
      <c r="AN165"/>
      <c r="AO165" s="137"/>
    </row>
    <row r="166" spans="40:41" x14ac:dyDescent="0.3">
      <c r="AN166"/>
    </row>
    <row r="167" spans="40:41" x14ac:dyDescent="0.3">
      <c r="AN167"/>
    </row>
    <row r="168" spans="40:41" x14ac:dyDescent="0.3">
      <c r="AN168"/>
    </row>
    <row r="169" spans="40:41" x14ac:dyDescent="0.3">
      <c r="AN169"/>
    </row>
  </sheetData>
  <conditionalFormatting sqref="Y1:Z151">
    <cfRule type="cellIs" dxfId="85" priority="1" operator="greaterThan">
      <formula>1</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activeCell="B6" sqref="B6"/>
    </sheetView>
  </sheetViews>
  <sheetFormatPr defaultRowHeight="14.4" x14ac:dyDescent="0.3"/>
  <cols>
    <col min="1" max="1" width="15" bestFit="1" customWidth="1"/>
    <col min="2" max="2" width="21.44140625" bestFit="1" customWidth="1"/>
    <col min="3" max="3" width="20.77734375" bestFit="1" customWidth="1"/>
    <col min="4" max="4" width="9.21875" bestFit="1" customWidth="1"/>
    <col min="5" max="5" width="29.21875" bestFit="1" customWidth="1"/>
    <col min="6" max="6" width="28.77734375" bestFit="1" customWidth="1"/>
    <col min="7" max="7" width="15.44140625" bestFit="1" customWidth="1"/>
    <col min="8" max="8" width="12.6640625" bestFit="1" customWidth="1"/>
    <col min="9" max="9" width="11.6640625" bestFit="1" customWidth="1"/>
    <col min="10" max="10" width="10.6640625" bestFit="1" customWidth="1"/>
    <col min="11" max="11" width="13.33203125" bestFit="1" customWidth="1"/>
    <col min="12" max="12" width="9.77734375" bestFit="1" customWidth="1"/>
    <col min="13" max="14" width="13.33203125" bestFit="1" customWidth="1"/>
    <col min="15" max="15" width="13.77734375" bestFit="1" customWidth="1"/>
    <col min="16" max="16" width="29.77734375" bestFit="1" customWidth="1"/>
    <col min="17" max="17" width="17.5546875" bestFit="1" customWidth="1"/>
    <col min="18" max="18" width="16.88671875" hidden="1" customWidth="1"/>
    <col min="19" max="19" width="19.33203125" hidden="1" customWidth="1"/>
    <col min="20" max="20" width="11.5546875" hidden="1" customWidth="1"/>
    <col min="21" max="21" width="16.44140625" hidden="1" customWidth="1"/>
    <col min="22" max="22" width="15.6640625" bestFit="1" customWidth="1"/>
    <col min="23" max="23" width="22.109375" bestFit="1" customWidth="1"/>
    <col min="24" max="24" width="15.44140625" bestFit="1" customWidth="1"/>
    <col min="26" max="26" width="15.5546875" bestFit="1" customWidth="1"/>
    <col min="27" max="27" width="108" bestFit="1" customWidth="1"/>
    <col min="28" max="39" width="9.21875" bestFit="1" customWidth="1"/>
    <col min="40" max="41" width="10.77734375" bestFit="1" customWidth="1"/>
    <col min="42" max="42" width="6.33203125" bestFit="1" customWidth="1"/>
    <col min="43" max="44" width="6.77734375" bestFit="1" customWidth="1"/>
    <col min="45" max="45" width="6.5546875" bestFit="1" customWidth="1"/>
    <col min="46" max="46" width="7" bestFit="1" customWidth="1"/>
    <col min="47" max="47" width="6.5546875" bestFit="1" customWidth="1"/>
    <col min="48" max="48" width="5.88671875" bestFit="1" customWidth="1"/>
    <col min="49" max="49" width="6.6640625" bestFit="1" customWidth="1"/>
    <col min="50" max="50" width="8.5546875" bestFit="1" customWidth="1"/>
    <col min="51" max="51" width="6.6640625" bestFit="1" customWidth="1"/>
    <col min="52" max="53" width="6.88671875" bestFit="1" customWidth="1"/>
    <col min="54" max="54" width="11.6640625" bestFit="1" customWidth="1"/>
    <col min="55" max="55" width="14" bestFit="1" customWidth="1"/>
  </cols>
  <sheetData>
    <row r="1" spans="1:55" x14ac:dyDescent="0.3">
      <c r="A1" s="113" t="s">
        <v>42</v>
      </c>
      <c r="B1" s="113" t="s">
        <v>55</v>
      </c>
      <c r="C1" s="113" t="s">
        <v>80</v>
      </c>
      <c r="D1" s="113" t="s">
        <v>81</v>
      </c>
      <c r="E1" s="113" t="s">
        <v>82</v>
      </c>
      <c r="F1" s="113" t="s">
        <v>83</v>
      </c>
      <c r="G1" s="113" t="s">
        <v>54</v>
      </c>
      <c r="H1" s="114" t="s">
        <v>84</v>
      </c>
      <c r="I1" s="114" t="s">
        <v>85</v>
      </c>
      <c r="J1" s="114" t="s">
        <v>86</v>
      </c>
      <c r="K1" s="113" t="s">
        <v>87</v>
      </c>
      <c r="L1" s="113" t="s">
        <v>88</v>
      </c>
      <c r="M1" s="113" t="s">
        <v>47</v>
      </c>
      <c r="N1" s="113" t="s">
        <v>89</v>
      </c>
      <c r="O1" s="115" t="s">
        <v>90</v>
      </c>
      <c r="P1" s="113" t="s">
        <v>91</v>
      </c>
      <c r="Q1" s="113" t="s">
        <v>92</v>
      </c>
      <c r="R1" s="113" t="s">
        <v>93</v>
      </c>
      <c r="S1" s="113" t="s">
        <v>94</v>
      </c>
      <c r="T1" s="115" t="s">
        <v>95</v>
      </c>
      <c r="U1" s="116" t="s">
        <v>96</v>
      </c>
      <c r="V1" s="116" t="s">
        <v>97</v>
      </c>
      <c r="W1" s="116" t="s">
        <v>98</v>
      </c>
      <c r="X1" s="117" t="s">
        <v>99</v>
      </c>
      <c r="Y1" s="118" t="s">
        <v>100</v>
      </c>
      <c r="Z1" s="118" t="s">
        <v>475</v>
      </c>
      <c r="AA1" s="119" t="s">
        <v>447</v>
      </c>
      <c r="AB1" s="116" t="s">
        <v>448</v>
      </c>
      <c r="AC1" s="116" t="s">
        <v>449</v>
      </c>
      <c r="AD1" s="116" t="s">
        <v>450</v>
      </c>
      <c r="AE1" s="116" t="s">
        <v>463</v>
      </c>
      <c r="AF1" s="115" t="s">
        <v>464</v>
      </c>
      <c r="AG1" s="115" t="s">
        <v>465</v>
      </c>
      <c r="AH1" s="115" t="s">
        <v>466</v>
      </c>
      <c r="AI1" s="115" t="s">
        <v>467</v>
      </c>
      <c r="AJ1" s="115" t="s">
        <v>468</v>
      </c>
      <c r="AK1" s="115" t="s">
        <v>469</v>
      </c>
      <c r="AL1" s="115" t="s">
        <v>470</v>
      </c>
      <c r="AM1" s="115" t="s">
        <v>471</v>
      </c>
      <c r="AN1" s="115" t="s">
        <v>473</v>
      </c>
      <c r="AO1" s="120" t="s">
        <v>568</v>
      </c>
      <c r="AP1" s="121" t="s">
        <v>451</v>
      </c>
      <c r="AQ1" s="121" t="s">
        <v>452</v>
      </c>
      <c r="AR1" s="121" t="s">
        <v>453</v>
      </c>
      <c r="AS1" s="121" t="s">
        <v>454</v>
      </c>
      <c r="AT1" s="122" t="s">
        <v>455</v>
      </c>
      <c r="AU1" s="122" t="s">
        <v>456</v>
      </c>
      <c r="AV1" s="122" t="s">
        <v>457</v>
      </c>
      <c r="AW1" s="122" t="s">
        <v>458</v>
      </c>
      <c r="AX1" s="122" t="s">
        <v>459</v>
      </c>
      <c r="AY1" s="122" t="s">
        <v>460</v>
      </c>
      <c r="AZ1" s="122" t="s">
        <v>461</v>
      </c>
      <c r="BA1" s="122" t="s">
        <v>462</v>
      </c>
      <c r="BB1" s="123" t="s">
        <v>474</v>
      </c>
      <c r="BC1" s="124" t="s">
        <v>472</v>
      </c>
    </row>
    <row r="2" spans="1:55" x14ac:dyDescent="0.3">
      <c r="A2" s="125" t="s">
        <v>586</v>
      </c>
      <c r="B2" s="125" t="s">
        <v>587</v>
      </c>
      <c r="C2" s="125"/>
      <c r="D2" s="10" t="s">
        <v>599</v>
      </c>
      <c r="E2" s="7" t="s">
        <v>600</v>
      </c>
      <c r="F2" s="126" t="s">
        <v>114</v>
      </c>
      <c r="G2" s="126" t="s">
        <v>53</v>
      </c>
      <c r="H2" s="127"/>
      <c r="I2" s="127"/>
      <c r="J2" s="125"/>
      <c r="K2" s="126"/>
      <c r="L2" s="125" t="s">
        <v>106</v>
      </c>
      <c r="M2" s="125" t="s">
        <v>7</v>
      </c>
      <c r="N2" s="125" t="s">
        <v>7</v>
      </c>
      <c r="O2" s="125" t="s">
        <v>420</v>
      </c>
      <c r="P2" s="125" t="s">
        <v>107</v>
      </c>
      <c r="Q2" s="125" t="s">
        <v>108</v>
      </c>
      <c r="R2" s="125" t="s">
        <v>108</v>
      </c>
      <c r="S2" s="125"/>
      <c r="T2" s="128"/>
      <c r="U2" s="129"/>
      <c r="V2" s="129">
        <v>-2002970</v>
      </c>
      <c r="W2" s="129">
        <f t="shared" ref="W2" si="0">AO2+IF(ISBLANK(AP2),AB2,AP2)+IF(ISBLANK(AQ2),AC2,AQ2)+IF(ISBLANK(AR2),AD2,AR2)+IF(ISBLANK(AS2),AE2,AS2)</f>
        <v>-2002970.0000000002</v>
      </c>
      <c r="X2" s="129">
        <f>IF(V2 &gt;= W2, V2 - W2, 0)*-1</f>
        <v>-2.3283064365386963E-10</v>
      </c>
      <c r="Y2" s="129">
        <f t="shared" ref="Y2" si="1">IF(W2 &gt; V2, W2 - V2, 0)</f>
        <v>0</v>
      </c>
      <c r="Z2" s="129">
        <f>SUM(X2:Y2)</f>
        <v>-2.3283064365386963E-10</v>
      </c>
      <c r="AA2" s="126"/>
      <c r="AB2" s="51">
        <f t="shared" ref="AB2:AM2" si="2">(2002970/12)*-1</f>
        <v>-166914.16666666666</v>
      </c>
      <c r="AC2" s="51">
        <f t="shared" si="2"/>
        <v>-166914.16666666666</v>
      </c>
      <c r="AD2" s="51">
        <f t="shared" si="2"/>
        <v>-166914.16666666666</v>
      </c>
      <c r="AE2" s="51">
        <f t="shared" si="2"/>
        <v>-166914.16666666666</v>
      </c>
      <c r="AF2" s="51">
        <f t="shared" si="2"/>
        <v>-166914.16666666666</v>
      </c>
      <c r="AG2" s="51">
        <f t="shared" si="2"/>
        <v>-166914.16666666666</v>
      </c>
      <c r="AH2" s="51">
        <f t="shared" si="2"/>
        <v>-166914.16666666666</v>
      </c>
      <c r="AI2" s="51">
        <f t="shared" si="2"/>
        <v>-166914.16666666666</v>
      </c>
      <c r="AJ2" s="51">
        <f t="shared" si="2"/>
        <v>-166914.16666666666</v>
      </c>
      <c r="AK2" s="51">
        <f t="shared" si="2"/>
        <v>-166914.16666666666</v>
      </c>
      <c r="AL2" s="51">
        <f t="shared" si="2"/>
        <v>-166914.16666666666</v>
      </c>
      <c r="AM2" s="51">
        <f t="shared" si="2"/>
        <v>-166914.16666666666</v>
      </c>
      <c r="AN2" s="51">
        <f>SUM(AB2:AM2)</f>
        <v>-2002970.0000000002</v>
      </c>
      <c r="AO2" s="129">
        <f>SUM(AF2:AM2)</f>
        <v>-1335313.3333333333</v>
      </c>
      <c r="AP2" s="60"/>
      <c r="AQ2" s="60"/>
      <c r="AR2" s="60"/>
      <c r="AS2" s="60"/>
      <c r="AT2" s="60"/>
      <c r="AU2" s="60"/>
      <c r="AV2" s="60"/>
      <c r="AW2" s="60"/>
      <c r="AX2" s="60"/>
      <c r="AY2" s="60"/>
      <c r="AZ2" s="60"/>
      <c r="BA2" s="60"/>
      <c r="BB2" s="130">
        <f>SUM(AP2:BA2)</f>
        <v>0</v>
      </c>
      <c r="BC2" s="131"/>
    </row>
    <row r="3" spans="1:55" x14ac:dyDescent="0.3">
      <c r="A3" s="125" t="s">
        <v>101</v>
      </c>
      <c r="B3" s="125" t="s">
        <v>598</v>
      </c>
      <c r="C3" s="125"/>
      <c r="D3" s="10" t="s">
        <v>599</v>
      </c>
      <c r="E3" s="7" t="s">
        <v>600</v>
      </c>
      <c r="F3" s="126" t="s">
        <v>114</v>
      </c>
      <c r="G3" s="126" t="s">
        <v>53</v>
      </c>
      <c r="H3" s="127">
        <v>46111</v>
      </c>
      <c r="I3" s="127">
        <v>46252</v>
      </c>
      <c r="J3" s="125"/>
      <c r="K3" s="126"/>
      <c r="L3" s="125" t="s">
        <v>106</v>
      </c>
      <c r="M3" s="125" t="s">
        <v>7</v>
      </c>
      <c r="N3" s="125" t="s">
        <v>186</v>
      </c>
      <c r="O3" s="125" t="s">
        <v>605</v>
      </c>
      <c r="P3" s="125" t="s">
        <v>107</v>
      </c>
      <c r="Q3" s="125" t="s">
        <v>108</v>
      </c>
      <c r="R3" s="125" t="s">
        <v>108</v>
      </c>
      <c r="S3" s="125" t="s">
        <v>605</v>
      </c>
      <c r="T3" s="132">
        <v>0</v>
      </c>
      <c r="U3" s="132">
        <v>0</v>
      </c>
      <c r="V3" s="129">
        <v>1096541</v>
      </c>
      <c r="W3" s="129">
        <f t="shared" ref="W3:W6" si="3">AO3+IF(ISBLANK(AP3),AB3,AP3)+IF(ISBLANK(AQ3),AC3,AQ3)+IF(ISBLANK(AR3),AD3,AR3)+IF(ISBLANK(AS3),AE3,AS3)</f>
        <v>1096541</v>
      </c>
      <c r="X3" s="129">
        <f t="shared" ref="X3:X6" si="4">IF(V3 &gt;= W3, V3 - W3, 0)*-1</f>
        <v>0</v>
      </c>
      <c r="Y3" s="129">
        <f t="shared" ref="Y3:Y6" si="5">IF(W3 &gt; V3, W3 - V3, 0)</f>
        <v>0</v>
      </c>
      <c r="Z3" s="129">
        <f t="shared" ref="Z3:Z6" si="6">SUM(X3:Y3)</f>
        <v>0</v>
      </c>
      <c r="AA3" s="126"/>
      <c r="AB3" s="51"/>
      <c r="AC3" s="51"/>
      <c r="AD3" s="51"/>
      <c r="AE3" s="51">
        <v>198480</v>
      </c>
      <c r="AF3" s="51"/>
      <c r="AG3" s="51"/>
      <c r="AH3" s="51"/>
      <c r="AI3" s="51">
        <v>898061</v>
      </c>
      <c r="AJ3" s="51"/>
      <c r="AK3" s="51"/>
      <c r="AL3" s="51"/>
      <c r="AM3" s="51"/>
      <c r="AN3" s="51">
        <f t="shared" ref="AN3:AN7" si="7">SUM(AB3:AM3)</f>
        <v>1096541</v>
      </c>
      <c r="AO3" s="129">
        <f t="shared" ref="AO3:AO7" si="8">SUM(AF3:AM3)</f>
        <v>898061</v>
      </c>
      <c r="AP3" s="60"/>
      <c r="AQ3" s="60"/>
      <c r="AR3" s="60"/>
      <c r="AS3" s="60"/>
      <c r="AT3" s="60"/>
      <c r="AU3" s="60"/>
      <c r="AV3" s="60"/>
      <c r="AW3" s="60"/>
      <c r="AX3" s="60"/>
      <c r="AY3" s="60"/>
      <c r="AZ3" s="60"/>
      <c r="BA3" s="60"/>
      <c r="BB3" s="130">
        <f t="shared" ref="BB3:BB8" si="9">SUM(AP3:BA3)</f>
        <v>0</v>
      </c>
      <c r="BC3" s="131"/>
    </row>
    <row r="4" spans="1:55" x14ac:dyDescent="0.3">
      <c r="A4" s="125" t="s">
        <v>101</v>
      </c>
      <c r="B4" s="125" t="s">
        <v>589</v>
      </c>
      <c r="C4" s="125"/>
      <c r="D4" s="10" t="s">
        <v>599</v>
      </c>
      <c r="E4" s="7" t="s">
        <v>600</v>
      </c>
      <c r="F4" s="126" t="s">
        <v>114</v>
      </c>
      <c r="G4" s="126" t="s">
        <v>53</v>
      </c>
      <c r="H4" s="127">
        <v>46083</v>
      </c>
      <c r="I4" s="127">
        <v>46129</v>
      </c>
      <c r="J4" s="125"/>
      <c r="K4" s="126"/>
      <c r="L4" s="125" t="s">
        <v>106</v>
      </c>
      <c r="M4" s="125" t="s">
        <v>7</v>
      </c>
      <c r="N4" s="125" t="s">
        <v>608</v>
      </c>
      <c r="O4" s="125" t="s">
        <v>609</v>
      </c>
      <c r="P4" s="125" t="s">
        <v>107</v>
      </c>
      <c r="Q4" s="125" t="s">
        <v>108</v>
      </c>
      <c r="R4" s="125" t="s">
        <v>108</v>
      </c>
      <c r="S4" s="125" t="s">
        <v>2</v>
      </c>
      <c r="T4" s="132">
        <v>0</v>
      </c>
      <c r="U4" s="132">
        <v>0</v>
      </c>
      <c r="V4" s="129">
        <v>84400</v>
      </c>
      <c r="W4" s="129">
        <f t="shared" si="3"/>
        <v>0</v>
      </c>
      <c r="X4" s="129">
        <f t="shared" si="4"/>
        <v>-84400</v>
      </c>
      <c r="Y4" s="129">
        <f t="shared" si="5"/>
        <v>0</v>
      </c>
      <c r="Z4" s="129">
        <f t="shared" si="6"/>
        <v>-84400</v>
      </c>
      <c r="AA4" s="126" t="s">
        <v>610</v>
      </c>
      <c r="AB4" s="51"/>
      <c r="AC4" s="51"/>
      <c r="AD4" s="51"/>
      <c r="AE4" s="51"/>
      <c r="AF4" s="51"/>
      <c r="AG4" s="51"/>
      <c r="AH4" s="51"/>
      <c r="AI4" s="51"/>
      <c r="AJ4" s="51"/>
      <c r="AK4" s="51"/>
      <c r="AL4" s="51"/>
      <c r="AM4" s="51"/>
      <c r="AN4" s="51">
        <f t="shared" si="7"/>
        <v>0</v>
      </c>
      <c r="AO4" s="129">
        <f t="shared" si="8"/>
        <v>0</v>
      </c>
      <c r="AP4" s="60"/>
      <c r="AQ4" s="60"/>
      <c r="AR4" s="60"/>
      <c r="AS4" s="60"/>
      <c r="AT4" s="60"/>
      <c r="AU4" s="60"/>
      <c r="AV4" s="60"/>
      <c r="AW4" s="60"/>
      <c r="AX4" s="60"/>
      <c r="AY4" s="60"/>
      <c r="AZ4" s="60"/>
      <c r="BA4" s="60"/>
      <c r="BB4" s="130">
        <f t="shared" si="9"/>
        <v>0</v>
      </c>
      <c r="BC4" s="131"/>
    </row>
    <row r="5" spans="1:55" x14ac:dyDescent="0.3">
      <c r="A5" s="125" t="s">
        <v>101</v>
      </c>
      <c r="B5" s="125" t="s">
        <v>590</v>
      </c>
      <c r="C5" s="125" t="s">
        <v>601</v>
      </c>
      <c r="D5" s="10" t="s">
        <v>599</v>
      </c>
      <c r="E5" s="7" t="s">
        <v>600</v>
      </c>
      <c r="F5" s="126" t="s">
        <v>114</v>
      </c>
      <c r="G5" s="126" t="s">
        <v>53</v>
      </c>
      <c r="H5" s="127">
        <v>46155</v>
      </c>
      <c r="I5" s="127">
        <v>47374</v>
      </c>
      <c r="J5" s="125"/>
      <c r="K5" s="126"/>
      <c r="L5" s="125" t="s">
        <v>106</v>
      </c>
      <c r="M5" s="125" t="s">
        <v>7</v>
      </c>
      <c r="N5" s="125" t="s">
        <v>165</v>
      </c>
      <c r="O5" s="125" t="s">
        <v>200</v>
      </c>
      <c r="P5" s="125" t="s">
        <v>107</v>
      </c>
      <c r="Q5" s="125" t="s">
        <v>108</v>
      </c>
      <c r="R5" s="125" t="s">
        <v>108</v>
      </c>
      <c r="S5" s="125" t="s">
        <v>607</v>
      </c>
      <c r="T5" s="132">
        <v>0</v>
      </c>
      <c r="U5" s="132">
        <v>0</v>
      </c>
      <c r="V5" s="129">
        <f>183812</f>
        <v>183812</v>
      </c>
      <c r="W5" s="129">
        <f t="shared" si="3"/>
        <v>183812</v>
      </c>
      <c r="X5" s="129">
        <f t="shared" si="4"/>
        <v>0</v>
      </c>
      <c r="Y5" s="129">
        <f t="shared" si="5"/>
        <v>0</v>
      </c>
      <c r="Z5" s="129">
        <f t="shared" si="6"/>
        <v>0</v>
      </c>
      <c r="AA5" s="126" t="s">
        <v>606</v>
      </c>
      <c r="AB5" s="51"/>
      <c r="AC5" s="51"/>
      <c r="AD5" s="51"/>
      <c r="AE5" s="51"/>
      <c r="AF5" s="51"/>
      <c r="AG5" s="51"/>
      <c r="AH5" s="51"/>
      <c r="AI5" s="51"/>
      <c r="AJ5" s="51">
        <f>183812</f>
        <v>183812</v>
      </c>
      <c r="AK5" s="51"/>
      <c r="AL5" s="51"/>
      <c r="AM5" s="51"/>
      <c r="AN5" s="51">
        <f t="shared" si="7"/>
        <v>183812</v>
      </c>
      <c r="AO5" s="129">
        <f t="shared" si="8"/>
        <v>183812</v>
      </c>
      <c r="AP5" s="60"/>
      <c r="AQ5" s="60"/>
      <c r="AR5" s="60"/>
      <c r="AS5" s="60"/>
      <c r="AT5" s="60"/>
      <c r="AU5" s="60"/>
      <c r="AV5" s="60"/>
      <c r="AW5" s="60"/>
      <c r="AX5" s="60">
        <v>183812</v>
      </c>
      <c r="AY5" s="60"/>
      <c r="AZ5" s="60"/>
      <c r="BA5" s="60"/>
      <c r="BB5" s="130">
        <f t="shared" si="9"/>
        <v>183812</v>
      </c>
      <c r="BC5" s="131" t="s">
        <v>616</v>
      </c>
    </row>
    <row r="6" spans="1:55" x14ac:dyDescent="0.3">
      <c r="A6" s="125" t="s">
        <v>101</v>
      </c>
      <c r="B6" s="125" t="s">
        <v>591</v>
      </c>
      <c r="C6" s="125"/>
      <c r="D6" s="10" t="s">
        <v>599</v>
      </c>
      <c r="E6" s="7" t="s">
        <v>600</v>
      </c>
      <c r="F6" s="126" t="s">
        <v>114</v>
      </c>
      <c r="G6" s="126" t="s">
        <v>53</v>
      </c>
      <c r="H6" s="127">
        <v>46174</v>
      </c>
      <c r="I6" s="127">
        <v>47269</v>
      </c>
      <c r="J6" s="125"/>
      <c r="K6" s="126"/>
      <c r="L6" s="125" t="s">
        <v>106</v>
      </c>
      <c r="M6" s="125" t="s">
        <v>7</v>
      </c>
      <c r="N6" s="125" t="s">
        <v>165</v>
      </c>
      <c r="O6" s="125" t="s">
        <v>613</v>
      </c>
      <c r="P6" s="125" t="s">
        <v>107</v>
      </c>
      <c r="Q6" s="125" t="s">
        <v>108</v>
      </c>
      <c r="R6" s="125" t="s">
        <v>108</v>
      </c>
      <c r="S6" s="125"/>
      <c r="T6" s="132">
        <v>0</v>
      </c>
      <c r="U6" s="132">
        <v>0</v>
      </c>
      <c r="V6" s="129">
        <v>240000</v>
      </c>
      <c r="W6" s="129">
        <f t="shared" si="3"/>
        <v>240000</v>
      </c>
      <c r="X6" s="129">
        <f t="shared" si="4"/>
        <v>0</v>
      </c>
      <c r="Y6" s="129">
        <f t="shared" si="5"/>
        <v>0</v>
      </c>
      <c r="Z6" s="129">
        <f t="shared" si="6"/>
        <v>0</v>
      </c>
      <c r="AA6" s="126" t="s">
        <v>614</v>
      </c>
      <c r="AB6" s="51"/>
      <c r="AC6" s="51"/>
      <c r="AD6" s="51"/>
      <c r="AE6" s="51"/>
      <c r="AF6" s="51"/>
      <c r="AG6" s="51">
        <v>40000</v>
      </c>
      <c r="AH6" s="51"/>
      <c r="AI6" s="51"/>
      <c r="AJ6" s="51"/>
      <c r="AK6" s="51">
        <v>200000</v>
      </c>
      <c r="AL6" s="51"/>
      <c r="AM6" s="51"/>
      <c r="AN6" s="51">
        <f t="shared" si="7"/>
        <v>240000</v>
      </c>
      <c r="AO6" s="129">
        <f t="shared" si="8"/>
        <v>240000</v>
      </c>
      <c r="AP6" s="60"/>
      <c r="AQ6" s="60"/>
      <c r="AR6" s="60"/>
      <c r="AS6" s="60"/>
      <c r="AT6" s="60"/>
      <c r="AU6" s="60"/>
      <c r="AV6" s="60"/>
      <c r="AW6" s="60"/>
      <c r="AX6" s="60"/>
      <c r="AY6" s="60"/>
      <c r="AZ6" s="60"/>
      <c r="BA6" s="60"/>
      <c r="BB6" s="130">
        <f t="shared" si="9"/>
        <v>0</v>
      </c>
      <c r="BC6" s="131" t="s">
        <v>615</v>
      </c>
    </row>
    <row r="7" spans="1:55" x14ac:dyDescent="0.3">
      <c r="A7" s="125" t="s">
        <v>101</v>
      </c>
      <c r="B7" s="125" t="s">
        <v>588</v>
      </c>
      <c r="C7" s="125"/>
      <c r="D7" s="10" t="s">
        <v>599</v>
      </c>
      <c r="E7" s="7" t="s">
        <v>600</v>
      </c>
      <c r="F7" s="126" t="s">
        <v>114</v>
      </c>
      <c r="G7" s="126" t="s">
        <v>53</v>
      </c>
      <c r="H7" s="127">
        <v>46143</v>
      </c>
      <c r="I7" s="127">
        <v>46234</v>
      </c>
      <c r="J7" s="125"/>
      <c r="K7" s="126"/>
      <c r="L7" s="125" t="s">
        <v>106</v>
      </c>
      <c r="M7" s="125" t="s">
        <v>7</v>
      </c>
      <c r="N7" s="125" t="s">
        <v>165</v>
      </c>
      <c r="O7" s="125" t="s">
        <v>165</v>
      </c>
      <c r="P7" s="125" t="s">
        <v>107</v>
      </c>
      <c r="Q7" s="125" t="s">
        <v>108</v>
      </c>
      <c r="R7" s="125" t="s">
        <v>108</v>
      </c>
      <c r="S7" s="125" t="s">
        <v>603</v>
      </c>
      <c r="T7" s="132">
        <v>0</v>
      </c>
      <c r="U7" s="132">
        <v>0</v>
      </c>
      <c r="V7" s="129">
        <v>2828.06</v>
      </c>
      <c r="W7" s="129">
        <f t="shared" ref="W7" si="10">AO7+IF(ISBLANK(AP7),AB7,AP7)+IF(ISBLANK(AQ7),AC7,AQ7)+IF(ISBLANK(AR7),AD7,AR7)+IF(ISBLANK(AS7),AE7,AS7)</f>
        <v>2828.06</v>
      </c>
      <c r="X7" s="129">
        <f t="shared" ref="X7" si="11">IF(V7 &gt;= W7, V7 - W7, 0)*-1</f>
        <v>0</v>
      </c>
      <c r="Y7" s="129">
        <f t="shared" ref="Y7" si="12">IF(W7 &gt; V7, W7 - V7, 0)</f>
        <v>0</v>
      </c>
      <c r="Z7" s="129">
        <f t="shared" ref="Z7" si="13">SUM(X7:Y7)</f>
        <v>0</v>
      </c>
      <c r="AA7" s="126" t="s">
        <v>602</v>
      </c>
      <c r="AB7" s="51"/>
      <c r="AC7" s="51"/>
      <c r="AD7" s="51"/>
      <c r="AE7" s="51"/>
      <c r="AF7" s="51">
        <v>2828.06</v>
      </c>
      <c r="AG7" s="51"/>
      <c r="AH7" s="51"/>
      <c r="AI7" s="51"/>
      <c r="AJ7" s="51"/>
      <c r="AK7" s="51"/>
      <c r="AL7" s="51"/>
      <c r="AM7" s="51"/>
      <c r="AN7" s="51">
        <f t="shared" si="7"/>
        <v>2828.06</v>
      </c>
      <c r="AO7" s="129">
        <f t="shared" si="8"/>
        <v>2828.06</v>
      </c>
      <c r="AP7" s="60"/>
      <c r="AQ7" s="60"/>
      <c r="AR7" s="60"/>
      <c r="AS7" s="60"/>
      <c r="AT7" s="60">
        <v>2913.55</v>
      </c>
      <c r="AU7" s="60"/>
      <c r="AV7" s="60"/>
      <c r="AW7" s="60"/>
      <c r="AX7" s="60"/>
      <c r="AY7" s="60"/>
      <c r="AZ7" s="60"/>
      <c r="BA7" s="60"/>
      <c r="BB7" s="130">
        <f t="shared" si="9"/>
        <v>2913.55</v>
      </c>
      <c r="BC7" s="131"/>
    </row>
    <row r="8" spans="1:55" x14ac:dyDescent="0.3">
      <c r="A8" s="125" t="s">
        <v>101</v>
      </c>
      <c r="B8" s="125" t="s">
        <v>611</v>
      </c>
      <c r="C8" s="125" t="s">
        <v>612</v>
      </c>
      <c r="D8" s="10" t="s">
        <v>599</v>
      </c>
      <c r="E8" s="7" t="s">
        <v>600</v>
      </c>
      <c r="F8" s="126" t="s">
        <v>114</v>
      </c>
      <c r="G8" s="126" t="s">
        <v>53</v>
      </c>
      <c r="H8" s="127"/>
      <c r="I8" s="127"/>
      <c r="J8" s="125"/>
      <c r="K8" s="126"/>
      <c r="L8" s="125" t="s">
        <v>106</v>
      </c>
      <c r="M8" s="125" t="s">
        <v>7</v>
      </c>
      <c r="N8" s="125"/>
      <c r="O8" s="125"/>
      <c r="P8" s="125" t="s">
        <v>107</v>
      </c>
      <c r="Q8" s="125" t="s">
        <v>108</v>
      </c>
      <c r="R8" s="125" t="s">
        <v>108</v>
      </c>
      <c r="S8" s="125"/>
      <c r="T8" s="132">
        <v>0</v>
      </c>
      <c r="U8" s="132">
        <v>0</v>
      </c>
      <c r="V8" s="129"/>
      <c r="W8" s="129"/>
      <c r="X8" s="129"/>
      <c r="Y8" s="129"/>
      <c r="Z8" s="129"/>
      <c r="AA8" s="126" t="s">
        <v>635</v>
      </c>
      <c r="AB8" s="51"/>
      <c r="AC8" s="51"/>
      <c r="AD8" s="51"/>
      <c r="AE8" s="51"/>
      <c r="AF8" s="51"/>
      <c r="AG8" s="51"/>
      <c r="AH8" s="51"/>
      <c r="AI8" s="51"/>
      <c r="AJ8" s="51"/>
      <c r="AK8" s="51"/>
      <c r="AL8" s="51"/>
      <c r="AM8" s="51"/>
      <c r="AN8" s="51">
        <f t="shared" ref="AN8" si="14">SUM(AB8:AM8)</f>
        <v>0</v>
      </c>
      <c r="AO8" s="129">
        <f t="shared" ref="AO8" si="15">SUM(AF8:AM8)</f>
        <v>0</v>
      </c>
      <c r="AP8" s="60"/>
      <c r="AQ8" s="60"/>
      <c r="AR8" s="60">
        <f>575+5920</f>
        <v>6495</v>
      </c>
      <c r="AS8" s="60"/>
      <c r="AT8" s="60">
        <v>2300</v>
      </c>
      <c r="AU8" s="60">
        <v>1150</v>
      </c>
      <c r="AV8" s="60"/>
      <c r="AW8" s="60"/>
      <c r="AX8" s="60"/>
      <c r="AY8" s="60"/>
      <c r="AZ8" s="60"/>
      <c r="BA8" s="60"/>
      <c r="BB8" s="130">
        <f t="shared" si="9"/>
        <v>9945</v>
      </c>
      <c r="BC8" s="131"/>
    </row>
    <row r="10" spans="1:55" s="133" customFormat="1" x14ac:dyDescent="0.3">
      <c r="U10" s="133" t="s">
        <v>604</v>
      </c>
      <c r="V10" s="134">
        <f>SUM(V2:V8)</f>
        <v>-395388.94</v>
      </c>
      <c r="W10" s="134">
        <f t="shared" ref="W10:BB10" si="16">SUM(W2:W8)</f>
        <v>-479788.94000000024</v>
      </c>
      <c r="X10" s="134">
        <f t="shared" si="16"/>
        <v>-84400.000000000233</v>
      </c>
      <c r="Y10" s="134">
        <f t="shared" si="16"/>
        <v>0</v>
      </c>
      <c r="Z10" s="134">
        <f t="shared" si="16"/>
        <v>-84400.000000000233</v>
      </c>
      <c r="AA10" s="134"/>
      <c r="AB10" s="134">
        <f t="shared" si="16"/>
        <v>-166914.16666666666</v>
      </c>
      <c r="AC10" s="134">
        <f t="shared" si="16"/>
        <v>-166914.16666666666</v>
      </c>
      <c r="AD10" s="134">
        <f t="shared" si="16"/>
        <v>-166914.16666666666</v>
      </c>
      <c r="AE10" s="134">
        <f t="shared" si="16"/>
        <v>31565.833333333343</v>
      </c>
      <c r="AF10" s="134">
        <f t="shared" si="16"/>
        <v>-164086.10666666666</v>
      </c>
      <c r="AG10" s="134">
        <f t="shared" si="16"/>
        <v>-126914.16666666666</v>
      </c>
      <c r="AH10" s="134">
        <f t="shared" si="16"/>
        <v>-166914.16666666666</v>
      </c>
      <c r="AI10" s="134">
        <f t="shared" si="16"/>
        <v>731146.83333333337</v>
      </c>
      <c r="AJ10" s="134">
        <f t="shared" si="16"/>
        <v>16897.833333333343</v>
      </c>
      <c r="AK10" s="134">
        <f t="shared" si="16"/>
        <v>33085.833333333343</v>
      </c>
      <c r="AL10" s="134">
        <f t="shared" si="16"/>
        <v>-166914.16666666666</v>
      </c>
      <c r="AM10" s="134">
        <f t="shared" si="16"/>
        <v>-166914.16666666666</v>
      </c>
      <c r="AN10" s="134">
        <f t="shared" si="16"/>
        <v>-479788.94000000024</v>
      </c>
      <c r="AO10" s="134">
        <f t="shared" si="16"/>
        <v>-10612.273333333256</v>
      </c>
      <c r="AP10" s="134">
        <f t="shared" si="16"/>
        <v>0</v>
      </c>
      <c r="AQ10" s="134">
        <f t="shared" si="16"/>
        <v>0</v>
      </c>
      <c r="AR10" s="134">
        <f t="shared" si="16"/>
        <v>6495</v>
      </c>
      <c r="AS10" s="134">
        <f t="shared" si="16"/>
        <v>0</v>
      </c>
      <c r="AT10" s="134">
        <f t="shared" si="16"/>
        <v>5213.55</v>
      </c>
      <c r="AU10" s="134">
        <f t="shared" si="16"/>
        <v>1150</v>
      </c>
      <c r="AV10" s="134">
        <f t="shared" si="16"/>
        <v>0</v>
      </c>
      <c r="AW10" s="134">
        <f t="shared" si="16"/>
        <v>0</v>
      </c>
      <c r="AX10" s="134">
        <f t="shared" si="16"/>
        <v>183812</v>
      </c>
      <c r="AY10" s="134">
        <f t="shared" si="16"/>
        <v>0</v>
      </c>
      <c r="AZ10" s="134">
        <f t="shared" si="16"/>
        <v>0</v>
      </c>
      <c r="BA10" s="134">
        <f t="shared" si="16"/>
        <v>0</v>
      </c>
      <c r="BB10" s="134">
        <f t="shared" si="16"/>
        <v>196670.55</v>
      </c>
    </row>
  </sheetData>
  <conditionalFormatting sqref="Y1:Z8">
    <cfRule type="cellIs" dxfId="84" priority="1" operator="greaterThan">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3:N48"/>
  <sheetViews>
    <sheetView tabSelected="1" workbookViewId="0">
      <pane xSplit="1" ySplit="2" topLeftCell="B3" activePane="bottomRight" state="frozen"/>
      <selection pane="topRight" activeCell="B1" sqref="B1"/>
      <selection pane="bottomLeft" activeCell="A3" sqref="A3"/>
      <selection pane="bottomRight" activeCell="E4" sqref="E4:E37"/>
      <pivotSelection showHeader="1" extendable="1" axis="axisCol" start="3" max="7" activeRow="3" activeCol="4" previousRow="3" previousCol="4" click="1" r:id="rId1">
        <pivotArea dataOnly="0" outline="0" fieldPosition="0">
          <references count="1">
            <reference field="12" count="1">
              <x v="5"/>
            </reference>
          </references>
        </pivotArea>
      </pivotSelection>
    </sheetView>
  </sheetViews>
  <sheetFormatPr defaultRowHeight="14.4" x14ac:dyDescent="0.3"/>
  <cols>
    <col min="1" max="1" width="28.21875" bestFit="1" customWidth="1"/>
    <col min="2" max="7" width="15.5546875" bestFit="1" customWidth="1"/>
    <col min="8" max="8" width="11.44140625" bestFit="1" customWidth="1"/>
    <col min="9" max="9" width="15.5546875" bestFit="1" customWidth="1"/>
    <col min="10" max="10" width="11.44140625" bestFit="1" customWidth="1"/>
    <col min="11" max="11" width="26.33203125" bestFit="1" customWidth="1"/>
    <col min="12" max="13" width="21.77734375" bestFit="1" customWidth="1"/>
    <col min="14" max="14" width="25" bestFit="1" customWidth="1"/>
    <col min="15" max="15" width="26" bestFit="1" customWidth="1"/>
    <col min="16" max="16" width="26.33203125" bestFit="1" customWidth="1"/>
    <col min="17" max="17" width="21.88671875" bestFit="1" customWidth="1"/>
    <col min="18" max="18" width="26.44140625" bestFit="1" customWidth="1"/>
    <col min="19" max="19" width="25" bestFit="1" customWidth="1"/>
    <col min="20" max="20" width="26" bestFit="1" customWidth="1"/>
    <col min="21" max="21" width="26.33203125" bestFit="1" customWidth="1"/>
  </cols>
  <sheetData>
    <row r="3" spans="1:8" x14ac:dyDescent="0.3">
      <c r="A3" s="8" t="s">
        <v>580</v>
      </c>
      <c r="B3" s="8" t="s">
        <v>47</v>
      </c>
    </row>
    <row r="4" spans="1:8" x14ac:dyDescent="0.3">
      <c r="A4" s="8" t="s">
        <v>81</v>
      </c>
      <c r="B4" t="s">
        <v>2</v>
      </c>
      <c r="C4" t="s">
        <v>3</v>
      </c>
      <c r="D4" t="s">
        <v>4</v>
      </c>
      <c r="E4" t="s">
        <v>5</v>
      </c>
      <c r="F4" t="s">
        <v>6</v>
      </c>
      <c r="G4" t="s">
        <v>7</v>
      </c>
      <c r="H4" t="s">
        <v>8</v>
      </c>
    </row>
    <row r="5" spans="1:8" x14ac:dyDescent="0.3">
      <c r="A5" t="s">
        <v>375</v>
      </c>
      <c r="B5" s="142"/>
      <c r="C5" s="142"/>
      <c r="D5" s="142"/>
      <c r="E5" s="142"/>
      <c r="F5" s="142">
        <v>1441946.6100000003</v>
      </c>
      <c r="G5" s="142"/>
      <c r="H5" s="142">
        <v>1441946.6100000003</v>
      </c>
    </row>
    <row r="6" spans="1:8" x14ac:dyDescent="0.3">
      <c r="A6" t="s">
        <v>9</v>
      </c>
      <c r="B6" s="142">
        <v>0</v>
      </c>
      <c r="C6" s="142"/>
      <c r="D6" s="142"/>
      <c r="E6" s="142"/>
      <c r="F6" s="142"/>
      <c r="G6" s="142"/>
      <c r="H6" s="142">
        <v>0</v>
      </c>
    </row>
    <row r="7" spans="1:8" x14ac:dyDescent="0.3">
      <c r="A7" t="s">
        <v>10</v>
      </c>
      <c r="B7" s="142"/>
      <c r="C7" s="142"/>
      <c r="D7" s="142"/>
      <c r="E7" s="142"/>
      <c r="F7" s="142"/>
      <c r="G7" s="142">
        <v>160000</v>
      </c>
      <c r="H7" s="142">
        <v>160000</v>
      </c>
    </row>
    <row r="8" spans="1:8" x14ac:dyDescent="0.3">
      <c r="A8" t="s">
        <v>11</v>
      </c>
      <c r="B8" s="142"/>
      <c r="C8" s="142"/>
      <c r="D8" s="142">
        <v>3191.75</v>
      </c>
      <c r="E8" s="142"/>
      <c r="F8" s="142">
        <v>624769.85</v>
      </c>
      <c r="G8" s="142">
        <v>40896.97</v>
      </c>
      <c r="H8" s="142">
        <v>668858.56999999995</v>
      </c>
    </row>
    <row r="9" spans="1:8" x14ac:dyDescent="0.3">
      <c r="A9" t="s">
        <v>12</v>
      </c>
      <c r="B9" s="142">
        <v>150000</v>
      </c>
      <c r="C9" s="142"/>
      <c r="D9" s="142"/>
      <c r="E9" s="142"/>
      <c r="F9" s="142"/>
      <c r="G9" s="142"/>
      <c r="H9" s="142">
        <v>150000</v>
      </c>
    </row>
    <row r="10" spans="1:8" x14ac:dyDescent="0.3">
      <c r="A10" t="s">
        <v>13</v>
      </c>
      <c r="B10" s="142"/>
      <c r="C10" s="142"/>
      <c r="D10" s="142"/>
      <c r="E10" s="142"/>
      <c r="F10" s="142">
        <v>359</v>
      </c>
      <c r="G10" s="142">
        <v>1619229.6666666665</v>
      </c>
      <c r="H10" s="142">
        <v>1619588.6666666665</v>
      </c>
    </row>
    <row r="11" spans="1:8" x14ac:dyDescent="0.3">
      <c r="A11" t="s">
        <v>14</v>
      </c>
      <c r="B11" s="142">
        <v>12896</v>
      </c>
      <c r="C11" s="142"/>
      <c r="D11" s="142"/>
      <c r="E11" s="142"/>
      <c r="F11" s="142"/>
      <c r="G11" s="142">
        <v>113850</v>
      </c>
      <c r="H11" s="142">
        <v>126746</v>
      </c>
    </row>
    <row r="12" spans="1:8" x14ac:dyDescent="0.3">
      <c r="A12" t="s">
        <v>15</v>
      </c>
      <c r="B12" s="142"/>
      <c r="C12" s="142"/>
      <c r="D12" s="142">
        <v>7499999.5600000005</v>
      </c>
      <c r="E12" s="142"/>
      <c r="F12" s="142"/>
      <c r="G12" s="142">
        <v>38504.319000000003</v>
      </c>
      <c r="H12" s="142">
        <v>7538503.8790000007</v>
      </c>
    </row>
    <row r="13" spans="1:8" ht="14.4" customHeight="1" x14ac:dyDescent="0.3">
      <c r="A13" t="s">
        <v>16</v>
      </c>
      <c r="B13" s="142"/>
      <c r="C13" s="142"/>
      <c r="D13" s="142"/>
      <c r="E13" s="142">
        <v>100000</v>
      </c>
      <c r="F13" s="142"/>
      <c r="G13" s="142">
        <v>429972.11999999994</v>
      </c>
      <c r="H13" s="142">
        <v>529972.11999999988</v>
      </c>
    </row>
    <row r="14" spans="1:8" x14ac:dyDescent="0.3">
      <c r="A14" t="s">
        <v>17</v>
      </c>
      <c r="B14" s="142"/>
      <c r="C14" s="142">
        <v>181931.40333333332</v>
      </c>
      <c r="D14" s="142">
        <v>809960.31256666651</v>
      </c>
      <c r="E14" s="142"/>
      <c r="F14" s="142"/>
      <c r="G14" s="142">
        <v>5239233.3673333339</v>
      </c>
      <c r="H14" s="142">
        <v>6231125.0832333341</v>
      </c>
    </row>
    <row r="15" spans="1:8" x14ac:dyDescent="0.3">
      <c r="A15" t="s">
        <v>18</v>
      </c>
      <c r="B15" s="142">
        <v>0</v>
      </c>
      <c r="C15" s="142"/>
      <c r="D15" s="142"/>
      <c r="E15" s="142">
        <v>0</v>
      </c>
      <c r="F15" s="142"/>
      <c r="G15" s="142"/>
      <c r="H15" s="142">
        <v>0</v>
      </c>
    </row>
    <row r="16" spans="1:8" x14ac:dyDescent="0.3">
      <c r="A16" t="s">
        <v>19</v>
      </c>
      <c r="B16" s="142"/>
      <c r="C16" s="142"/>
      <c r="D16" s="142"/>
      <c r="E16" s="142"/>
      <c r="F16" s="142"/>
      <c r="G16" s="142">
        <v>63325.5</v>
      </c>
      <c r="H16" s="142">
        <v>63325.5</v>
      </c>
    </row>
    <row r="17" spans="1:8" x14ac:dyDescent="0.3">
      <c r="A17" t="s">
        <v>20</v>
      </c>
      <c r="B17" s="142"/>
      <c r="C17" s="142"/>
      <c r="D17" s="142"/>
      <c r="E17" s="142"/>
      <c r="F17" s="142">
        <v>13065.06</v>
      </c>
      <c r="G17" s="142">
        <v>2409047.0199999996</v>
      </c>
      <c r="H17" s="142">
        <v>2422112.0799999996</v>
      </c>
    </row>
    <row r="18" spans="1:8" x14ac:dyDescent="0.3">
      <c r="A18" t="s">
        <v>21</v>
      </c>
      <c r="B18" s="142"/>
      <c r="C18" s="142"/>
      <c r="D18" s="142"/>
      <c r="E18" s="142">
        <v>0</v>
      </c>
      <c r="F18" s="142"/>
      <c r="G18" s="142"/>
      <c r="H18" s="142">
        <v>0</v>
      </c>
    </row>
    <row r="19" spans="1:8" x14ac:dyDescent="0.3">
      <c r="A19" t="s">
        <v>22</v>
      </c>
      <c r="B19" s="142"/>
      <c r="C19" s="142"/>
      <c r="D19" s="142"/>
      <c r="E19" s="142">
        <v>1721035</v>
      </c>
      <c r="F19" s="142"/>
      <c r="G19" s="142">
        <v>223683.88</v>
      </c>
      <c r="H19" s="142">
        <v>1944718.88</v>
      </c>
    </row>
    <row r="20" spans="1:8" x14ac:dyDescent="0.3">
      <c r="A20" t="s">
        <v>23</v>
      </c>
      <c r="B20" s="142"/>
      <c r="C20" s="142"/>
      <c r="D20" s="142"/>
      <c r="E20" s="142">
        <v>592000</v>
      </c>
      <c r="F20" s="142"/>
      <c r="G20" s="142"/>
      <c r="H20" s="142">
        <v>592000</v>
      </c>
    </row>
    <row r="21" spans="1:8" x14ac:dyDescent="0.3">
      <c r="A21" t="s">
        <v>24</v>
      </c>
      <c r="B21" s="142"/>
      <c r="C21" s="142"/>
      <c r="D21" s="142"/>
      <c r="E21" s="142"/>
      <c r="F21" s="142"/>
      <c r="G21" s="142">
        <v>333457.66666666669</v>
      </c>
      <c r="H21" s="142">
        <v>333457.66666666669</v>
      </c>
    </row>
    <row r="22" spans="1:8" x14ac:dyDescent="0.3">
      <c r="A22" t="s">
        <v>25</v>
      </c>
      <c r="B22" s="142"/>
      <c r="C22" s="142"/>
      <c r="D22" s="142"/>
      <c r="E22" s="142"/>
      <c r="F22" s="142">
        <v>12200</v>
      </c>
      <c r="G22" s="142">
        <v>214131</v>
      </c>
      <c r="H22" s="142">
        <v>226331</v>
      </c>
    </row>
    <row r="23" spans="1:8" x14ac:dyDescent="0.3">
      <c r="A23" t="s">
        <v>26</v>
      </c>
      <c r="B23" s="142"/>
      <c r="C23" s="142"/>
      <c r="D23" s="142"/>
      <c r="E23" s="142"/>
      <c r="F23" s="142"/>
      <c r="G23" s="142">
        <v>1260</v>
      </c>
      <c r="H23" s="142">
        <v>1260</v>
      </c>
    </row>
    <row r="24" spans="1:8" x14ac:dyDescent="0.3">
      <c r="A24" t="s">
        <v>27</v>
      </c>
      <c r="B24" s="142"/>
      <c r="C24" s="142"/>
      <c r="D24" s="142"/>
      <c r="E24" s="142">
        <v>32009.25</v>
      </c>
      <c r="F24" s="142"/>
      <c r="G24" s="142">
        <v>1013733.4946666667</v>
      </c>
      <c r="H24" s="142">
        <v>1045742.7446666667</v>
      </c>
    </row>
    <row r="25" spans="1:8" x14ac:dyDescent="0.3">
      <c r="A25" t="s">
        <v>28</v>
      </c>
      <c r="B25" s="142"/>
      <c r="C25" s="142"/>
      <c r="D25" s="142"/>
      <c r="E25" s="142">
        <v>174169.56</v>
      </c>
      <c r="F25" s="142"/>
      <c r="G25" s="142"/>
      <c r="H25" s="142">
        <v>174169.56</v>
      </c>
    </row>
    <row r="26" spans="1:8" x14ac:dyDescent="0.3">
      <c r="A26" t="s">
        <v>29</v>
      </c>
      <c r="B26" s="142"/>
      <c r="C26" s="142"/>
      <c r="D26" s="142"/>
      <c r="E26" s="142"/>
      <c r="F26" s="142"/>
      <c r="G26" s="142">
        <v>1378104.97</v>
      </c>
      <c r="H26" s="142">
        <v>1378104.97</v>
      </c>
    </row>
    <row r="27" spans="1:8" x14ac:dyDescent="0.3">
      <c r="A27" t="s">
        <v>30</v>
      </c>
      <c r="B27" s="142"/>
      <c r="C27" s="142">
        <v>0</v>
      </c>
      <c r="D27" s="142"/>
      <c r="E27" s="142">
        <v>116650</v>
      </c>
      <c r="F27" s="142"/>
      <c r="G27" s="142">
        <v>98943.23</v>
      </c>
      <c r="H27" s="142">
        <v>215593.22999999998</v>
      </c>
    </row>
    <row r="28" spans="1:8" x14ac:dyDescent="0.3">
      <c r="A28" t="s">
        <v>31</v>
      </c>
      <c r="B28" s="142"/>
      <c r="C28" s="142"/>
      <c r="D28" s="142"/>
      <c r="E28" s="142"/>
      <c r="F28" s="142">
        <v>121168.7</v>
      </c>
      <c r="G28" s="142">
        <v>7802232.4533333331</v>
      </c>
      <c r="H28" s="142">
        <v>7923401.1533333333</v>
      </c>
    </row>
    <row r="29" spans="1:8" x14ac:dyDescent="0.3">
      <c r="A29" t="s">
        <v>32</v>
      </c>
      <c r="B29" s="142">
        <v>960000</v>
      </c>
      <c r="C29" s="142"/>
      <c r="D29" s="142"/>
      <c r="E29" s="142"/>
      <c r="F29" s="142"/>
      <c r="G29" s="142"/>
      <c r="H29" s="142">
        <v>960000</v>
      </c>
    </row>
    <row r="30" spans="1:8" x14ac:dyDescent="0.3">
      <c r="A30" t="s">
        <v>33</v>
      </c>
      <c r="B30" s="142"/>
      <c r="C30" s="142"/>
      <c r="D30" s="142"/>
      <c r="E30" s="142"/>
      <c r="F30" s="142"/>
      <c r="G30" s="142">
        <v>7470</v>
      </c>
      <c r="H30" s="142">
        <v>7470</v>
      </c>
    </row>
    <row r="31" spans="1:8" x14ac:dyDescent="0.3">
      <c r="A31" t="s">
        <v>34</v>
      </c>
      <c r="B31" s="142">
        <v>0</v>
      </c>
      <c r="C31" s="142"/>
      <c r="D31" s="142"/>
      <c r="E31" s="142"/>
      <c r="F31" s="142"/>
      <c r="G31" s="142"/>
      <c r="H31" s="142">
        <v>0</v>
      </c>
    </row>
    <row r="32" spans="1:8" x14ac:dyDescent="0.3">
      <c r="A32" t="s">
        <v>35</v>
      </c>
      <c r="B32" s="142">
        <v>413500</v>
      </c>
      <c r="C32" s="142"/>
      <c r="D32" s="142"/>
      <c r="E32" s="142"/>
      <c r="F32" s="142"/>
      <c r="G32" s="142"/>
      <c r="H32" s="142">
        <v>413500</v>
      </c>
    </row>
    <row r="33" spans="1:14" x14ac:dyDescent="0.3">
      <c r="A33" t="s">
        <v>36</v>
      </c>
      <c r="B33" s="142">
        <v>0</v>
      </c>
      <c r="C33" s="142"/>
      <c r="D33" s="142"/>
      <c r="E33" s="142"/>
      <c r="F33" s="142"/>
      <c r="G33" s="142"/>
      <c r="H33" s="142">
        <v>0</v>
      </c>
    </row>
    <row r="34" spans="1:14" x14ac:dyDescent="0.3">
      <c r="A34" t="s">
        <v>37</v>
      </c>
      <c r="B34" s="142">
        <v>0</v>
      </c>
      <c r="C34" s="142"/>
      <c r="D34" s="142"/>
      <c r="E34" s="142"/>
      <c r="F34" s="142"/>
      <c r="G34" s="142">
        <v>248667.49999999997</v>
      </c>
      <c r="H34" s="142">
        <v>248667.49999999997</v>
      </c>
    </row>
    <row r="35" spans="1:14" x14ac:dyDescent="0.3">
      <c r="A35" t="s">
        <v>38</v>
      </c>
      <c r="B35" s="142">
        <v>150000</v>
      </c>
      <c r="C35" s="142"/>
      <c r="D35" s="142"/>
      <c r="E35" s="142"/>
      <c r="F35" s="142"/>
      <c r="G35" s="142"/>
      <c r="H35" s="142">
        <v>150000</v>
      </c>
    </row>
    <row r="36" spans="1:14" x14ac:dyDescent="0.3">
      <c r="A36" t="s">
        <v>517</v>
      </c>
      <c r="B36" s="142"/>
      <c r="C36" s="142"/>
      <c r="D36" s="142"/>
      <c r="E36" s="142"/>
      <c r="F36" s="142"/>
      <c r="G36" s="142">
        <v>41250</v>
      </c>
      <c r="H36" s="142">
        <v>41250</v>
      </c>
    </row>
    <row r="37" spans="1:14" x14ac:dyDescent="0.3">
      <c r="A37" t="s">
        <v>8</v>
      </c>
      <c r="B37" s="142">
        <v>1686396</v>
      </c>
      <c r="C37" s="142">
        <v>181931.40333333332</v>
      </c>
      <c r="D37" s="142">
        <v>8313151.6225666674</v>
      </c>
      <c r="E37" s="142">
        <v>2735863.81</v>
      </c>
      <c r="F37" s="142">
        <v>2213509.2200000007</v>
      </c>
      <c r="G37" s="142">
        <v>21476993.157666668</v>
      </c>
      <c r="H37" s="142">
        <v>36607845.213566668</v>
      </c>
    </row>
    <row r="40" spans="1:14" x14ac:dyDescent="0.3">
      <c r="N40" s="97"/>
    </row>
    <row r="41" spans="1:14" x14ac:dyDescent="0.3">
      <c r="N41" s="97"/>
    </row>
    <row r="42" spans="1:14" x14ac:dyDescent="0.3">
      <c r="N42" s="97"/>
    </row>
    <row r="43" spans="1:14" x14ac:dyDescent="0.3">
      <c r="N43" s="97"/>
    </row>
    <row r="44" spans="1:14" x14ac:dyDescent="0.3">
      <c r="N44" s="97"/>
    </row>
    <row r="45" spans="1:14" x14ac:dyDescent="0.3">
      <c r="N45" s="97"/>
    </row>
    <row r="46" spans="1:14" x14ac:dyDescent="0.3">
      <c r="N46" s="97"/>
    </row>
    <row r="47" spans="1:14" x14ac:dyDescent="0.3">
      <c r="N47" s="97"/>
    </row>
    <row r="48" spans="1:14" x14ac:dyDescent="0.3">
      <c r="N48" s="9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ANTARESITDMO-1057074058-8565</_dlc_DocId>
    <_dlc_DocIdUrl xmlns="26d0a970-2ab3-49ef-b4d7-820ab6496716">
      <Url>https://antarescap.sharepoint.com/sites/AntaresITDemo/IT Internal/TechPMO/_layouts/15/DocIdRedir.aspx?ID=ANTARESITDMO-1057074058-8565</Url>
      <Description>ANTARESITDMO-1057074058-8565</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5.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956ADFD-9F0B-4014-AB0F-A7994769C96B}">
  <ds:schemaRefs>
    <ds:schemaRef ds:uri="http://schemas.microsoft.com/sharepoint/events"/>
  </ds:schemaRefs>
</ds:datastoreItem>
</file>

<file path=customXml/itemProps2.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3.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4.xml><?xml version="1.0" encoding="utf-8"?>
<ds:datastoreItem xmlns:ds="http://schemas.openxmlformats.org/officeDocument/2006/customXml" ds:itemID="{32E2E58D-7571-4D1E-B0F3-701D55D92D79}">
  <ds:schemaRefs>
    <ds:schemaRef ds:uri="c391786d-2ce2-4ee1-838b-63fe54a71a4e"/>
    <ds:schemaRef ds:uri="http://schemas.microsoft.com/office/2006/metadata/properties"/>
    <ds:schemaRef ds:uri="http://www.w3.org/XML/1998/namespace"/>
    <ds:schemaRef ds:uri="http://purl.org/dc/elements/1.1/"/>
    <ds:schemaRef ds:uri="http://schemas.microsoft.com/office/2006/documentManagement/types"/>
    <ds:schemaRef ds:uri="http://purl.org/dc/terms/"/>
    <ds:schemaRef ds:uri="http://schemas.microsoft.com/office/infopath/2007/PartnerControls"/>
    <ds:schemaRef ds:uri="http://schemas.openxmlformats.org/package/2006/metadata/core-properties"/>
    <ds:schemaRef ds:uri="26d0a970-2ab3-49ef-b4d7-820ab6496716"/>
    <ds:schemaRef ds:uri="http://purl.org/dc/dcmitype/"/>
  </ds:schemaRefs>
</ds:datastoreItem>
</file>

<file path=customXml/itemProps5.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6</vt:i4>
      </vt:variant>
    </vt:vector>
  </HeadingPairs>
  <TitlesOfParts>
    <vt:vector size="6" baseType="lpstr">
      <vt:lpstr>YTD Financials Run Rate</vt:lpstr>
      <vt:lpstr>Notes - R&amp;O</vt:lpstr>
      <vt:lpstr>Monthly Run Rate (Jan-Mar)</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Swati Yadav (Contractor)</cp:lastModifiedBy>
  <cp:revision/>
  <dcterms:created xsi:type="dcterms:W3CDTF">2025-09-17T12:25:50Z</dcterms:created>
  <dcterms:modified xsi:type="dcterms:W3CDTF">2026-06-30T17:50:59Z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1eb9964b-eecd-4f37-a9dd-9f522d8fe691</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