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E7930818-7762-425F-B505-A19AB1A51760}" xr6:coauthVersionLast="47" xr6:coauthVersionMax="47" xr10:uidLastSave="{00000000-0000-0000-0000-000000000000}"/>
  <bookViews>
    <workbookView xWindow="-108" yWindow="-108" windowWidth="23256" windowHeight="13896" tabRatio="843" activeTab="5"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1"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84" l="1"/>
  <c r="E10" i="84" l="1"/>
  <c r="E9" i="84"/>
  <c r="E13" i="84"/>
  <c r="V124" i="88" l="1"/>
  <c r="V21" i="88"/>
  <c r="K149" i="88" l="1"/>
  <c r="AN149" i="88"/>
  <c r="AO149" i="88"/>
  <c r="W149" i="88" s="1"/>
  <c r="BB149" i="88"/>
  <c r="BC149" i="88"/>
  <c r="BD149" i="88"/>
  <c r="BE149" i="88"/>
  <c r="BF149" i="88"/>
  <c r="BG149" i="88"/>
  <c r="BH149" i="88"/>
  <c r="BI149" i="88"/>
  <c r="BJ149" i="88"/>
  <c r="BK149" i="88"/>
  <c r="BL149" i="88"/>
  <c r="BM149" i="88"/>
  <c r="BN149" i="88"/>
  <c r="BQ149" i="88"/>
  <c r="BT149" i="88"/>
  <c r="V121" i="88"/>
  <c r="V130" i="88"/>
  <c r="BO149" i="88" l="1"/>
  <c r="X149" i="88"/>
  <c r="Y149" i="88"/>
  <c r="BR149" i="88"/>
  <c r="BS149" i="88" s="1"/>
  <c r="BU149" i="88" s="1"/>
  <c r="AM4" i="88"/>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BP152" i="88"/>
  <c r="AA152" i="88"/>
  <c r="U152" i="88"/>
  <c r="T152" i="88"/>
  <c r="BT150" i="88"/>
  <c r="BQ150" i="88"/>
  <c r="BN150" i="88"/>
  <c r="BM150" i="88"/>
  <c r="BL150" i="88"/>
  <c r="BK150" i="88"/>
  <c r="BJ150" i="88"/>
  <c r="BI150" i="88"/>
  <c r="BH150" i="88"/>
  <c r="BG150" i="88"/>
  <c r="BF150" i="88"/>
  <c r="BE150" i="88"/>
  <c r="BD150" i="88"/>
  <c r="BC150" i="88"/>
  <c r="BB150" i="88"/>
  <c r="AO150" i="88"/>
  <c r="AN150" i="88"/>
  <c r="K150" i="88"/>
  <c r="BT148" i="88"/>
  <c r="BQ148" i="88"/>
  <c r="BN148" i="88"/>
  <c r="BM148" i="88"/>
  <c r="BL148" i="88"/>
  <c r="BK148" i="88"/>
  <c r="BJ148" i="88"/>
  <c r="BI148" i="88"/>
  <c r="BH148" i="88"/>
  <c r="BG148" i="88"/>
  <c r="BF148" i="88"/>
  <c r="BE148" i="88"/>
  <c r="BD148" i="88"/>
  <c r="BC148" i="88"/>
  <c r="BB148" i="88"/>
  <c r="AO148" i="88"/>
  <c r="W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AN142" i="88"/>
  <c r="K142" i="88"/>
  <c r="BT141"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N122" i="88"/>
  <c r="BM122" i="88"/>
  <c r="BL122" i="88"/>
  <c r="BC122" i="88"/>
  <c r="AX122" i="88"/>
  <c r="AW122" i="88"/>
  <c r="AV122" i="88"/>
  <c r="AU122" i="88"/>
  <c r="AT122" i="88"/>
  <c r="AS122" i="88"/>
  <c r="BF122" i="88" s="1"/>
  <c r="AR122" i="88"/>
  <c r="BE122" i="88" s="1"/>
  <c r="AQ122" i="88"/>
  <c r="AP122" i="88"/>
  <c r="AJ122" i="88"/>
  <c r="BK122" i="88" s="1"/>
  <c r="AI122" i="88"/>
  <c r="BJ122" i="88" s="1"/>
  <c r="AH122" i="88"/>
  <c r="AG122" i="88"/>
  <c r="AF122" i="88"/>
  <c r="AE122" i="88"/>
  <c r="AD122" i="88"/>
  <c r="AC122" i="88"/>
  <c r="AB122" i="88"/>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AS118" i="88"/>
  <c r="AP118" i="88"/>
  <c r="BC118" i="88" s="1"/>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E105" i="88"/>
  <c r="BD105" i="88"/>
  <c r="BC105" i="88"/>
  <c r="AS105" i="88"/>
  <c r="BF105" i="88" s="1"/>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A100" i="88"/>
  <c r="AZ100" i="88"/>
  <c r="BM100" i="88" s="1"/>
  <c r="AY100" i="88"/>
  <c r="AX100" i="88"/>
  <c r="AW100" i="88"/>
  <c r="BJ100" i="88" s="1"/>
  <c r="AV100" i="88"/>
  <c r="AU100" i="88"/>
  <c r="AT100" i="88"/>
  <c r="BG100" i="88" s="1"/>
  <c r="AS100" i="88"/>
  <c r="AR100" i="88"/>
  <c r="BE100" i="88" s="1"/>
  <c r="AQ100" i="88"/>
  <c r="AP100" i="88"/>
  <c r="AM100" i="88"/>
  <c r="AL100" i="88"/>
  <c r="AK100" i="88"/>
  <c r="AJ100" i="88"/>
  <c r="AI100" i="88"/>
  <c r="AH100" i="88"/>
  <c r="BI100" i="88" s="1"/>
  <c r="AG100" i="88"/>
  <c r="AF100" i="88"/>
  <c r="AE100" i="88"/>
  <c r="AD100" i="88"/>
  <c r="AC100" i="88"/>
  <c r="AB100" i="88"/>
  <c r="K100" i="88"/>
  <c r="BT99" i="88"/>
  <c r="AV99" i="88"/>
  <c r="BI99" i="88" s="1"/>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B98" i="88"/>
  <c r="AG98" i="88"/>
  <c r="AO98" i="88" s="1"/>
  <c r="AF98" i="88"/>
  <c r="BG98" i="88" s="1"/>
  <c r="AE98" i="88"/>
  <c r="BF98" i="88" s="1"/>
  <c r="AD98" i="88"/>
  <c r="BE98" i="88" s="1"/>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F94" i="88"/>
  <c r="BA94" i="88"/>
  <c r="BN94" i="88" s="1"/>
  <c r="AZ94" i="88"/>
  <c r="BM94" i="88" s="1"/>
  <c r="AY94" i="88"/>
  <c r="AX94" i="88"/>
  <c r="BK94" i="88" s="1"/>
  <c r="AW94" i="88"/>
  <c r="AV94" i="88"/>
  <c r="AU94" i="88"/>
  <c r="AT94" i="88"/>
  <c r="AS94" i="88"/>
  <c r="AR94" i="88"/>
  <c r="BE94" i="88" s="1"/>
  <c r="AQ94" i="88"/>
  <c r="BD94" i="88" s="1"/>
  <c r="AP94" i="88"/>
  <c r="BQ94" i="88" s="1"/>
  <c r="AM94" i="88"/>
  <c r="AL94" i="88"/>
  <c r="AK94" i="88"/>
  <c r="AJ94" i="88"/>
  <c r="AI94" i="88"/>
  <c r="AH94" i="88"/>
  <c r="BI94" i="88" s="1"/>
  <c r="AG94" i="88"/>
  <c r="AF94" i="88"/>
  <c r="BG94" i="88" s="1"/>
  <c r="AE94" i="88"/>
  <c r="AD94" i="88"/>
  <c r="AC94" i="88"/>
  <c r="AB94" i="88"/>
  <c r="K94" i="88"/>
  <c r="BT93" i="88"/>
  <c r="BN93" i="88"/>
  <c r="BM93" i="88"/>
  <c r="BL93" i="88"/>
  <c r="BK93" i="88"/>
  <c r="BJ93" i="88"/>
  <c r="BI93" i="88"/>
  <c r="BG93" i="88"/>
  <c r="BE93" i="88"/>
  <c r="AU93" i="88"/>
  <c r="BH93" i="88" s="1"/>
  <c r="AT93" i="88"/>
  <c r="AS93" i="88"/>
  <c r="BF93" i="88" s="1"/>
  <c r="AR93" i="88"/>
  <c r="AQ93" i="88"/>
  <c r="BD93" i="88" s="1"/>
  <c r="AP93" i="88"/>
  <c r="AO93" i="88"/>
  <c r="AN93" i="88"/>
  <c r="K93" i="88"/>
  <c r="BM92" i="88"/>
  <c r="BL92" i="88"/>
  <c r="BK92" i="88"/>
  <c r="BJ92" i="88"/>
  <c r="BI92" i="88"/>
  <c r="BH92" i="88"/>
  <c r="BG92" i="88"/>
  <c r="BD92" i="88"/>
  <c r="BC92" i="88"/>
  <c r="AS92" i="88"/>
  <c r="AR92" i="88"/>
  <c r="AP92" i="88"/>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J85" i="88"/>
  <c r="BE85" i="88"/>
  <c r="BD85" i="88"/>
  <c r="BC85" i="88"/>
  <c r="BA85" i="88"/>
  <c r="BN85" i="88" s="1"/>
  <c r="AZ85" i="88"/>
  <c r="AY85" i="88"/>
  <c r="BL85" i="88" s="1"/>
  <c r="AX85" i="88"/>
  <c r="BK85" i="88" s="1"/>
  <c r="AW85" i="88"/>
  <c r="AV85" i="88"/>
  <c r="BI85" i="88" s="1"/>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L82" i="88"/>
  <c r="BK82" i="88"/>
  <c r="BI82" i="88"/>
  <c r="AW82" i="88"/>
  <c r="AV82" i="88"/>
  <c r="AU82" i="88"/>
  <c r="AT82" i="88"/>
  <c r="AS82" i="88"/>
  <c r="BF82" i="88" s="1"/>
  <c r="AR82" i="88"/>
  <c r="BE82" i="88" s="1"/>
  <c r="AQ82" i="88"/>
  <c r="BD82" i="88" s="1"/>
  <c r="AP82" i="88"/>
  <c r="AM82" i="88"/>
  <c r="BN82" i="88" s="1"/>
  <c r="AL82" i="88"/>
  <c r="BM82" i="88" s="1"/>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F76" i="88"/>
  <c r="BE76" i="88"/>
  <c r="BD76" i="88"/>
  <c r="AU76" i="88"/>
  <c r="BH76" i="88" s="1"/>
  <c r="AT76" i="88"/>
  <c r="BG76" i="88" s="1"/>
  <c r="AS76" i="88"/>
  <c r="AR76" i="88"/>
  <c r="AQ76" i="88"/>
  <c r="AP76" i="88"/>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AS68" i="88"/>
  <c r="AR68" i="88"/>
  <c r="BE68" i="88" s="1"/>
  <c r="AQ68" i="88"/>
  <c r="AP68" i="88"/>
  <c r="BQ68" i="88" s="1"/>
  <c r="AM68" i="88"/>
  <c r="BN68" i="88" s="1"/>
  <c r="AL68" i="88"/>
  <c r="BM68" i="88" s="1"/>
  <c r="AK68" i="88"/>
  <c r="BL68" i="88" s="1"/>
  <c r="AJ68" i="88"/>
  <c r="AI68" i="88"/>
  <c r="BJ68" i="88" s="1"/>
  <c r="AH68" i="88"/>
  <c r="BI68" i="88" s="1"/>
  <c r="AG68" i="88"/>
  <c r="AF68" i="88"/>
  <c r="AE68" i="88"/>
  <c r="AD68" i="88"/>
  <c r="AC68" i="88"/>
  <c r="AB68" i="88"/>
  <c r="K68" i="88"/>
  <c r="BT67" i="88"/>
  <c r="BQ67" i="88"/>
  <c r="BN67" i="88"/>
  <c r="BL67" i="88"/>
  <c r="BK67" i="88"/>
  <c r="BJ67" i="88"/>
  <c r="BI67" i="88"/>
  <c r="BH67" i="88"/>
  <c r="BG67" i="88"/>
  <c r="BF67" i="88"/>
  <c r="BE67" i="88"/>
  <c r="BD67" i="88"/>
  <c r="BC67" i="88"/>
  <c r="BB67" i="88"/>
  <c r="AO67" i="88"/>
  <c r="AN67" i="88"/>
  <c r="AL67" i="88"/>
  <c r="BM67" i="88" s="1"/>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H61" i="88"/>
  <c r="BF61" i="88"/>
  <c r="AZ61" i="88"/>
  <c r="BM61" i="88" s="1"/>
  <c r="AY61" i="88"/>
  <c r="BL61" i="88" s="1"/>
  <c r="AX61" i="88"/>
  <c r="BK61" i="88" s="1"/>
  <c r="AW61" i="88"/>
  <c r="BJ61" i="88" s="1"/>
  <c r="AV61" i="88"/>
  <c r="BI61" i="88" s="1"/>
  <c r="AU61" i="88"/>
  <c r="AT61" i="88"/>
  <c r="BG61" i="88" s="1"/>
  <c r="AS61" i="88"/>
  <c r="AR61" i="88"/>
  <c r="BE61" i="88" s="1"/>
  <c r="AQ61" i="88"/>
  <c r="BD61" i="88" s="1"/>
  <c r="AP61" i="88"/>
  <c r="BC61" i="88" s="1"/>
  <c r="AO61" i="88"/>
  <c r="AN61" i="88"/>
  <c r="K61" i="88"/>
  <c r="BT60" i="88"/>
  <c r="BN60" i="88"/>
  <c r="BM60" i="88"/>
  <c r="BL60" i="88"/>
  <c r="BK60" i="88"/>
  <c r="BJ60" i="88"/>
  <c r="BI60" i="88"/>
  <c r="BH60" i="88"/>
  <c r="BG60" i="88"/>
  <c r="BD60" i="88"/>
  <c r="AT60" i="88"/>
  <c r="AS60" i="88"/>
  <c r="BF60" i="88" s="1"/>
  <c r="AR60" i="88"/>
  <c r="BE60" i="88" s="1"/>
  <c r="AQ60" i="88"/>
  <c r="AP60" i="88"/>
  <c r="BC60" i="88" s="1"/>
  <c r="AO60" i="88"/>
  <c r="AN60" i="88"/>
  <c r="K60" i="88"/>
  <c r="BL59" i="88"/>
  <c r="BJ59" i="88"/>
  <c r="AT59" i="88"/>
  <c r="AS59" i="88"/>
  <c r="AR59" i="88"/>
  <c r="AQ59" i="88"/>
  <c r="AP59" i="88"/>
  <c r="BC59" i="88" s="1"/>
  <c r="AM59" i="88"/>
  <c r="BN59" i="88" s="1"/>
  <c r="AL59" i="88"/>
  <c r="BM59" i="88" s="1"/>
  <c r="AK59" i="88"/>
  <c r="AJ59" i="88"/>
  <c r="BK59" i="88" s="1"/>
  <c r="AI59" i="88"/>
  <c r="AH59" i="88"/>
  <c r="BI59" i="88" s="1"/>
  <c r="AG59" i="88"/>
  <c r="BH59" i="88" s="1"/>
  <c r="AF59" i="88"/>
  <c r="AE59" i="88"/>
  <c r="BF59" i="88" s="1"/>
  <c r="AD59" i="88"/>
  <c r="AC59" i="88"/>
  <c r="BD59" i="88" s="1"/>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G47" i="88"/>
  <c r="BF47" i="88"/>
  <c r="BE47" i="88"/>
  <c r="BD47" i="88"/>
  <c r="BC47" i="88"/>
  <c r="BB47" i="88"/>
  <c r="AG47" i="88"/>
  <c r="AO47" i="88" s="1"/>
  <c r="W47" i="88" s="1"/>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AV42" i="88"/>
  <c r="BI42" i="88" s="1"/>
  <c r="AU42" i="88"/>
  <c r="AT42" i="88"/>
  <c r="BG42" i="88" s="1"/>
  <c r="AS42" i="88"/>
  <c r="BF42" i="88" s="1"/>
  <c r="AR42" i="88"/>
  <c r="AQ42" i="88"/>
  <c r="AP42" i="88"/>
  <c r="AM42" i="88"/>
  <c r="BN42" i="88" s="1"/>
  <c r="AL42" i="88"/>
  <c r="BM42" i="88" s="1"/>
  <c r="AK42" i="88"/>
  <c r="BL42" i="88" s="1"/>
  <c r="AJ42" i="88"/>
  <c r="BK42" i="88" s="1"/>
  <c r="AI42" i="88"/>
  <c r="BJ42" i="88" s="1"/>
  <c r="AH42" i="88"/>
  <c r="AG42" i="88"/>
  <c r="AF42" i="88"/>
  <c r="AE42" i="88"/>
  <c r="AD42" i="88"/>
  <c r="AC42" i="88"/>
  <c r="AB42" i="88"/>
  <c r="BT42" i="88" s="1"/>
  <c r="K42" i="88"/>
  <c r="BT41" i="88"/>
  <c r="BM41" i="88"/>
  <c r="BL41" i="88"/>
  <c r="BK41" i="88"/>
  <c r="BJ41" i="88"/>
  <c r="BI41" i="88"/>
  <c r="BG41" i="88"/>
  <c r="AU41" i="88"/>
  <c r="BH41" i="88" s="1"/>
  <c r="AT41" i="88"/>
  <c r="AS41" i="88"/>
  <c r="BF41" i="88" s="1"/>
  <c r="AR41" i="88"/>
  <c r="BE41" i="88" s="1"/>
  <c r="AQ41" i="88"/>
  <c r="BD41" i="88" s="1"/>
  <c r="AP41" i="88"/>
  <c r="BC41" i="88" s="1"/>
  <c r="AM41" i="88"/>
  <c r="BN41" i="88" s="1"/>
  <c r="K41" i="88"/>
  <c r="BQ40" i="88"/>
  <c r="BM40" i="88"/>
  <c r="BL40" i="88"/>
  <c r="BK40" i="88"/>
  <c r="BJ40" i="88"/>
  <c r="BI40" i="88"/>
  <c r="BH40" i="88"/>
  <c r="BE40" i="88"/>
  <c r="BD40" i="88"/>
  <c r="BC40" i="88"/>
  <c r="BB40" i="88"/>
  <c r="AM40" i="88"/>
  <c r="BN40" i="88" s="1"/>
  <c r="AF40" i="88"/>
  <c r="BG40" i="88" s="1"/>
  <c r="AE40" i="88"/>
  <c r="K40" i="88"/>
  <c r="BD39" i="88"/>
  <c r="BC39" i="88"/>
  <c r="BA39" i="88"/>
  <c r="AZ39" i="88"/>
  <c r="AY39" i="88"/>
  <c r="AX39" i="88"/>
  <c r="AW39" i="88"/>
  <c r="AV39" i="88"/>
  <c r="AU39" i="88"/>
  <c r="BH39" i="88" s="1"/>
  <c r="AT39" i="88"/>
  <c r="AS39" i="88"/>
  <c r="AR39" i="88"/>
  <c r="AM39" i="88"/>
  <c r="AL39" i="88"/>
  <c r="AK39" i="88"/>
  <c r="AJ39" i="88"/>
  <c r="AI39" i="88"/>
  <c r="AH39" i="88"/>
  <c r="BI39" i="88" s="1"/>
  <c r="AG39" i="88"/>
  <c r="AF39" i="88"/>
  <c r="AE39" i="88"/>
  <c r="AD39" i="88"/>
  <c r="K39" i="88"/>
  <c r="AT38" i="88"/>
  <c r="BG38" i="88" s="1"/>
  <c r="AS38" i="88"/>
  <c r="BF38" i="88" s="1"/>
  <c r="AR38" i="88"/>
  <c r="BE38" i="88" s="1"/>
  <c r="AQ38" i="88"/>
  <c r="AP38" i="88"/>
  <c r="BC38" i="88" s="1"/>
  <c r="AF38" i="88"/>
  <c r="AG38" i="88" s="1"/>
  <c r="AE38" i="88"/>
  <c r="AD38" i="88"/>
  <c r="AC38" i="88"/>
  <c r="AB38" i="88"/>
  <c r="K38" i="88"/>
  <c r="BJ37" i="88"/>
  <c r="AU37" i="88"/>
  <c r="AT37" i="88"/>
  <c r="AS37" i="88"/>
  <c r="AR37" i="88"/>
  <c r="AQ37" i="88"/>
  <c r="BD37" i="88" s="1"/>
  <c r="AP37" i="88"/>
  <c r="AM37" i="88"/>
  <c r="BN37" i="88" s="1"/>
  <c r="AL37" i="88"/>
  <c r="BM37" i="88" s="1"/>
  <c r="AK37" i="88"/>
  <c r="BL37" i="88" s="1"/>
  <c r="AJ37" i="88"/>
  <c r="BK37" i="88" s="1"/>
  <c r="AI37" i="88"/>
  <c r="AH37" i="88"/>
  <c r="BI37" i="88" s="1"/>
  <c r="AG37" i="88"/>
  <c r="AF37" i="88"/>
  <c r="AE37" i="88"/>
  <c r="AD37" i="88"/>
  <c r="BE37" i="88" s="1"/>
  <c r="AC37" i="88"/>
  <c r="AB37" i="88"/>
  <c r="K37" i="88"/>
  <c r="BT36" i="88"/>
  <c r="BN36" i="88"/>
  <c r="BM36" i="88"/>
  <c r="BL36" i="88"/>
  <c r="BK36" i="88"/>
  <c r="BJ36" i="88"/>
  <c r="BI36" i="88"/>
  <c r="BH36" i="88"/>
  <c r="BG36" i="88"/>
  <c r="BF36" i="88"/>
  <c r="BE36" i="88"/>
  <c r="BD36" i="88"/>
  <c r="AP36" i="88"/>
  <c r="BC36" i="88" s="1"/>
  <c r="AO36" i="88"/>
  <c r="AN36" i="88"/>
  <c r="K36" i="88"/>
  <c r="BT35" i="88"/>
  <c r="BG35" i="88"/>
  <c r="BA35" i="88"/>
  <c r="AZ35" i="88"/>
  <c r="AY35" i="88"/>
  <c r="AX35" i="88"/>
  <c r="BK35" i="88" s="1"/>
  <c r="AW35" i="88"/>
  <c r="BJ35" i="88" s="1"/>
  <c r="AV35" i="88"/>
  <c r="BI35" i="88" s="1"/>
  <c r="AU35" i="88"/>
  <c r="BH35" i="88" s="1"/>
  <c r="AT35" i="88"/>
  <c r="AS35" i="88"/>
  <c r="BF35" i="88" s="1"/>
  <c r="AR35" i="88"/>
  <c r="BE35" i="88" s="1"/>
  <c r="AQ35" i="88"/>
  <c r="BD35" i="88" s="1"/>
  <c r="AP35" i="88"/>
  <c r="BC35" i="88" s="1"/>
  <c r="AO35" i="88"/>
  <c r="AN35" i="88"/>
  <c r="K35" i="88"/>
  <c r="BT34" i="88"/>
  <c r="BN34" i="88"/>
  <c r="BM34" i="88"/>
  <c r="BK34" i="88"/>
  <c r="BJ34" i="88"/>
  <c r="BI34" i="88"/>
  <c r="BG34" i="88"/>
  <c r="AU34" i="88"/>
  <c r="BH34" i="88" s="1"/>
  <c r="AT34" i="88"/>
  <c r="AS34" i="88"/>
  <c r="BF34" i="88" s="1"/>
  <c r="AR34" i="88"/>
  <c r="BE34" i="88" s="1"/>
  <c r="AQ34" i="88"/>
  <c r="BD34" i="88" s="1"/>
  <c r="AP34" i="88"/>
  <c r="BC34" i="88" s="1"/>
  <c r="AO34" i="88"/>
  <c r="AN34" i="88"/>
  <c r="AK34" i="88"/>
  <c r="BL34" i="88" s="1"/>
  <c r="K34" i="88"/>
  <c r="BT33" i="88"/>
  <c r="BQ33" i="88"/>
  <c r="BN33" i="88"/>
  <c r="BM33" i="88"/>
  <c r="BL33" i="88"/>
  <c r="BK33" i="88"/>
  <c r="BJ33" i="88"/>
  <c r="BI33" i="88"/>
  <c r="BH33" i="88"/>
  <c r="BG33" i="88"/>
  <c r="BF33" i="88"/>
  <c r="BE33" i="88"/>
  <c r="BD33" i="88"/>
  <c r="BC33" i="88"/>
  <c r="BB33" i="88"/>
  <c r="AO33" i="88"/>
  <c r="W33" i="88" s="1"/>
  <c r="AN33" i="88"/>
  <c r="K33" i="88"/>
  <c r="BQ32" i="88"/>
  <c r="BJ32" i="88"/>
  <c r="BE32" i="88"/>
  <c r="BD32" i="88"/>
  <c r="BB32" i="88"/>
  <c r="AM32" i="88"/>
  <c r="BN32" i="88" s="1"/>
  <c r="AL32" i="88"/>
  <c r="BM32" i="88" s="1"/>
  <c r="AK32" i="88"/>
  <c r="BL32" i="88" s="1"/>
  <c r="AJ32" i="88"/>
  <c r="BK32" i="88" s="1"/>
  <c r="AI32" i="88"/>
  <c r="AH32" i="88"/>
  <c r="BI32" i="88" s="1"/>
  <c r="AG32" i="88"/>
  <c r="AF32" i="88"/>
  <c r="BG32" i="88" s="1"/>
  <c r="AE32" i="88"/>
  <c r="BF32" i="88" s="1"/>
  <c r="AB32" i="88"/>
  <c r="BT32" i="88" s="1"/>
  <c r="K32" i="88"/>
  <c r="BQ31" i="88"/>
  <c r="BB31" i="88"/>
  <c r="AM31" i="88"/>
  <c r="BN31" i="88" s="1"/>
  <c r="AL31" i="88"/>
  <c r="BM31" i="88" s="1"/>
  <c r="AK31" i="88"/>
  <c r="BL31" i="88" s="1"/>
  <c r="AJ31" i="88"/>
  <c r="BK31" i="88" s="1"/>
  <c r="AI31" i="88"/>
  <c r="BJ31" i="88" s="1"/>
  <c r="AH31" i="88"/>
  <c r="BI31" i="88" s="1"/>
  <c r="AG31" i="88"/>
  <c r="AF31" i="88"/>
  <c r="BG31" i="88" s="1"/>
  <c r="AE31" i="88"/>
  <c r="BF31" i="88" s="1"/>
  <c r="AD31" i="88"/>
  <c r="BE31" i="88" s="1"/>
  <c r="AC31" i="88"/>
  <c r="BD31" i="88" s="1"/>
  <c r="AB31" i="88"/>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J24" i="88"/>
  <c r="BI24" i="88"/>
  <c r="BF24" i="88"/>
  <c r="BE24" i="88"/>
  <c r="BD24" i="88"/>
  <c r="BC24" i="88"/>
  <c r="AT24" i="88"/>
  <c r="AS24" i="88"/>
  <c r="AR24" i="88"/>
  <c r="BQ24" i="88" s="1"/>
  <c r="AM24" i="88"/>
  <c r="BN24" i="88" s="1"/>
  <c r="AL24" i="88"/>
  <c r="BM24" i="88" s="1"/>
  <c r="AK24" i="88"/>
  <c r="BL24" i="88" s="1"/>
  <c r="AJ24" i="88"/>
  <c r="BK24" i="88" s="1"/>
  <c r="AI24" i="88"/>
  <c r="AH24" i="88"/>
  <c r="AG24" i="88"/>
  <c r="BH24" i="88" s="1"/>
  <c r="V24" i="88"/>
  <c r="V152"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E11" i="88"/>
  <c r="BD11" i="88"/>
  <c r="AU11" i="88"/>
  <c r="AT11" i="88"/>
  <c r="AS11" i="88"/>
  <c r="BF11" i="88" s="1"/>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Q9" i="88"/>
  <c r="BN9" i="88"/>
  <c r="BL9" i="88"/>
  <c r="BJ9" i="88"/>
  <c r="BB9" i="88"/>
  <c r="AL9" i="88"/>
  <c r="BM9" i="88" s="1"/>
  <c r="AK9" i="88"/>
  <c r="AJ9" i="88"/>
  <c r="BK9" i="88" s="1"/>
  <c r="AI9" i="88"/>
  <c r="AH9" i="88"/>
  <c r="BI9" i="88" s="1"/>
  <c r="AG9" i="88"/>
  <c r="AF9" i="88"/>
  <c r="BG9" i="88" s="1"/>
  <c r="AE9" i="88"/>
  <c r="BF9" i="88" s="1"/>
  <c r="AD9" i="88"/>
  <c r="BE9" i="88" s="1"/>
  <c r="AC9" i="88"/>
  <c r="BD9" i="88" s="1"/>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N4" i="88"/>
  <c r="K4" i="88"/>
  <c r="AT3" i="88"/>
  <c r="AS3" i="88"/>
  <c r="BF3" i="88" s="1"/>
  <c r="AR3" i="88"/>
  <c r="BE3" i="88" s="1"/>
  <c r="AQ3" i="88"/>
  <c r="AP3" i="88"/>
  <c r="AM3" i="88"/>
  <c r="BN3" i="88" s="1"/>
  <c r="AL3" i="88"/>
  <c r="BM3" i="88" s="1"/>
  <c r="AK3" i="88"/>
  <c r="BL3" i="88" s="1"/>
  <c r="AJ3" i="88"/>
  <c r="BK3" i="88" s="1"/>
  <c r="AI3" i="88"/>
  <c r="BJ3" i="88" s="1"/>
  <c r="AH3" i="88"/>
  <c r="BI3" i="88" s="1"/>
  <c r="AG3" i="88"/>
  <c r="AF3" i="88"/>
  <c r="AE3" i="88"/>
  <c r="AD3" i="88"/>
  <c r="AC3" i="88"/>
  <c r="BD3" i="88" s="1"/>
  <c r="AB3" i="88"/>
  <c r="K3" i="88"/>
  <c r="AT2" i="88"/>
  <c r="AS2" i="88"/>
  <c r="AR2" i="88"/>
  <c r="AQ2" i="88"/>
  <c r="AP2" i="88"/>
  <c r="AM2" i="88"/>
  <c r="AL2" i="88"/>
  <c r="AK2" i="88"/>
  <c r="AJ2" i="88"/>
  <c r="AI2" i="88"/>
  <c r="BJ2" i="88" s="1"/>
  <c r="AH2" i="88"/>
  <c r="BI2" i="88" s="1"/>
  <c r="AG2" i="88"/>
  <c r="BH2" i="88" s="1"/>
  <c r="AF2" i="88"/>
  <c r="BG2" i="88" s="1"/>
  <c r="AE2" i="88"/>
  <c r="AD2" i="88"/>
  <c r="AC2" i="88"/>
  <c r="AB2" i="88"/>
  <c r="K2" i="88"/>
  <c r="F13" i="83"/>
  <c r="AR152" i="88" l="1"/>
  <c r="BT3" i="88"/>
  <c r="BG3" i="88"/>
  <c r="BD38" i="88"/>
  <c r="BK39" i="88"/>
  <c r="AN40" i="88"/>
  <c r="BT40" i="88"/>
  <c r="BH42" i="88"/>
  <c r="AO68" i="88"/>
  <c r="W68" i="88" s="1"/>
  <c r="BD68" i="88"/>
  <c r="BL71" i="88"/>
  <c r="BQ76" i="88"/>
  <c r="AO94" i="88"/>
  <c r="W94" i="88" s="1"/>
  <c r="BL94" i="88"/>
  <c r="BF100" i="88"/>
  <c r="BN100" i="88"/>
  <c r="AO122" i="88"/>
  <c r="BG122" i="88"/>
  <c r="AO37" i="88"/>
  <c r="AN39" i="88"/>
  <c r="BL39" i="88"/>
  <c r="BH122" i="88"/>
  <c r="AT152" i="88"/>
  <c r="AO31" i="88"/>
  <c r="W31" i="88" s="1"/>
  <c r="W35" i="88"/>
  <c r="Y35" i="88" s="1"/>
  <c r="BE39" i="88"/>
  <c r="BM39" i="88"/>
  <c r="BQ51" i="88"/>
  <c r="BB60" i="88"/>
  <c r="BF68" i="88"/>
  <c r="BG82" i="88"/>
  <c r="BB93" i="88"/>
  <c r="BI122" i="88"/>
  <c r="BC9" i="88"/>
  <c r="BF37" i="88"/>
  <c r="AO39" i="88"/>
  <c r="BF39" i="88"/>
  <c r="BN39" i="88"/>
  <c r="AO40" i="88"/>
  <c r="W40" i="88" s="1"/>
  <c r="X40" i="88" s="1"/>
  <c r="AN41" i="88"/>
  <c r="BB41" i="88"/>
  <c r="BC42" i="88"/>
  <c r="AN47" i="88"/>
  <c r="BH47" i="88"/>
  <c r="BG59" i="88"/>
  <c r="BG68" i="88"/>
  <c r="BB92" i="88"/>
  <c r="AN122" i="88"/>
  <c r="AS152" i="88"/>
  <c r="BC3" i="88"/>
  <c r="AO9" i="88"/>
  <c r="BT9" i="88"/>
  <c r="BB24" i="88"/>
  <c r="AO32" i="88"/>
  <c r="W32" i="88" s="1"/>
  <c r="BT37" i="88"/>
  <c r="BG37" i="88"/>
  <c r="AU38" i="88"/>
  <c r="AV38" i="88" s="1"/>
  <c r="AW38" i="88" s="1"/>
  <c r="AW152" i="88" s="1"/>
  <c r="BG39" i="88"/>
  <c r="AO41" i="88"/>
  <c r="W41" i="88" s="1"/>
  <c r="AO42" i="88"/>
  <c r="W42" i="88" s="1"/>
  <c r="BD42" i="88"/>
  <c r="W60" i="88"/>
  <c r="BQ82" i="88"/>
  <c r="BE92" i="88"/>
  <c r="BO92" i="88" s="1"/>
  <c r="BH94" i="88"/>
  <c r="BD122" i="88"/>
  <c r="BT122" i="88"/>
  <c r="AO3" i="88"/>
  <c r="W3" i="88" s="1"/>
  <c r="BB11" i="88"/>
  <c r="BT31" i="88"/>
  <c r="BH37" i="88"/>
  <c r="BJ39" i="88"/>
  <c r="BQ41" i="88"/>
  <c r="BE42" i="88"/>
  <c r="BQ60" i="88"/>
  <c r="BJ82" i="88"/>
  <c r="BC100" i="88"/>
  <c r="BK100" i="88"/>
  <c r="BT107" i="88"/>
  <c r="BB76" i="88"/>
  <c r="BB82" i="88"/>
  <c r="BC82" i="88"/>
  <c r="BT94" i="88"/>
  <c r="BH100" i="88"/>
  <c r="Z149" i="88"/>
  <c r="BR74" i="88"/>
  <c r="BS74" i="88" s="1"/>
  <c r="BU74" i="88" s="1"/>
  <c r="BR144" i="88"/>
  <c r="BS144" i="88" s="1"/>
  <c r="BU144" i="88" s="1"/>
  <c r="BR50" i="88"/>
  <c r="BS50" i="88" s="1"/>
  <c r="BU50" i="88" s="1"/>
  <c r="BR54" i="88"/>
  <c r="BR148" i="88"/>
  <c r="BR63" i="88"/>
  <c r="BR138" i="88"/>
  <c r="BS138" i="88" s="1"/>
  <c r="BU138" i="88" s="1"/>
  <c r="BR6" i="88"/>
  <c r="BS6" i="88" s="1"/>
  <c r="BU6" i="88" s="1"/>
  <c r="BR27" i="88"/>
  <c r="BS27" i="88" s="1"/>
  <c r="BU27" i="88" s="1"/>
  <c r="BR111" i="88"/>
  <c r="BS111" i="88" s="1"/>
  <c r="BU111" i="88" s="1"/>
  <c r="BR142" i="88"/>
  <c r="BS142" i="88" s="1"/>
  <c r="BU142" i="88" s="1"/>
  <c r="BR126" i="88"/>
  <c r="BS126" i="88" s="1"/>
  <c r="BU126" i="88" s="1"/>
  <c r="BR134" i="88"/>
  <c r="BS134" i="88" s="1"/>
  <c r="BU134" i="88" s="1"/>
  <c r="BR16" i="88"/>
  <c r="BS16" i="88" s="1"/>
  <c r="BU16" i="88" s="1"/>
  <c r="BR139" i="88"/>
  <c r="BS139" i="88" s="1"/>
  <c r="BU139" i="88" s="1"/>
  <c r="AE152" i="88"/>
  <c r="AN28" i="88"/>
  <c r="AN30" i="88"/>
  <c r="BR7" i="88"/>
  <c r="BS7" i="88" s="1"/>
  <c r="BU7" i="88" s="1"/>
  <c r="BR43" i="88"/>
  <c r="BS43" i="88" s="1"/>
  <c r="BU43" i="88" s="1"/>
  <c r="BR55" i="88"/>
  <c r="BS55" i="88" s="1"/>
  <c r="BU55" i="88" s="1"/>
  <c r="BO63" i="88"/>
  <c r="Y53" i="88"/>
  <c r="Z53" i="88" s="1"/>
  <c r="BR49" i="88"/>
  <c r="BS49" i="88" s="1"/>
  <c r="BU49" i="88" s="1"/>
  <c r="BO137" i="88"/>
  <c r="AF152" i="88"/>
  <c r="AO12" i="88"/>
  <c r="W12" i="88" s="1"/>
  <c r="BR46" i="88"/>
  <c r="BS46" i="88" s="1"/>
  <c r="BU46" i="88" s="1"/>
  <c r="BO106" i="88"/>
  <c r="BO110" i="88"/>
  <c r="BO115" i="88"/>
  <c r="AB152" i="88"/>
  <c r="AC152" i="88"/>
  <c r="AD152" i="88"/>
  <c r="BD29" i="88"/>
  <c r="X33" i="88"/>
  <c r="Y33" i="88"/>
  <c r="BR130" i="88"/>
  <c r="BS130" i="88" s="1"/>
  <c r="BU130" i="88" s="1"/>
  <c r="Y130" i="88"/>
  <c r="X130" i="88"/>
  <c r="BR75" i="88"/>
  <c r="BS75" i="88" s="1"/>
  <c r="BU75" i="88" s="1"/>
  <c r="X75" i="88"/>
  <c r="BR79" i="88"/>
  <c r="BS79" i="88" s="1"/>
  <c r="BU79" i="88" s="1"/>
  <c r="X79" i="88"/>
  <c r="BR101" i="88"/>
  <c r="BS101" i="88" s="1"/>
  <c r="BU101" i="88" s="1"/>
  <c r="X101" i="88"/>
  <c r="Y101" i="88"/>
  <c r="BR58" i="88"/>
  <c r="BS58" i="88" s="1"/>
  <c r="BU58" i="88" s="1"/>
  <c r="Y58" i="88"/>
  <c r="X58" i="88"/>
  <c r="BR88" i="88"/>
  <c r="BS88" i="88" s="1"/>
  <c r="BU88" i="88" s="1"/>
  <c r="X88" i="88"/>
  <c r="BR45" i="88"/>
  <c r="BS45" i="88" s="1"/>
  <c r="BU45" i="88" s="1"/>
  <c r="Y45" i="88"/>
  <c r="X45" i="88"/>
  <c r="BR84" i="88"/>
  <c r="BS84" i="88" s="1"/>
  <c r="BU84" i="88" s="1"/>
  <c r="X84" i="88"/>
  <c r="BO7" i="88"/>
  <c r="X27" i="88"/>
  <c r="BC29" i="88"/>
  <c r="BO45" i="88"/>
  <c r="X55" i="88"/>
  <c r="X74" i="88"/>
  <c r="BO75" i="88"/>
  <c r="BO83" i="88"/>
  <c r="BO90" i="88"/>
  <c r="BR95" i="88"/>
  <c r="BS95" i="88" s="1"/>
  <c r="BU95" i="88" s="1"/>
  <c r="X117" i="88"/>
  <c r="Z117" i="88" s="1"/>
  <c r="X134" i="88"/>
  <c r="BO10" i="88"/>
  <c r="BH12" i="88"/>
  <c r="BO14" i="88"/>
  <c r="BO15" i="88"/>
  <c r="BO21" i="88"/>
  <c r="AO29" i="88"/>
  <c r="W29" i="88" s="1"/>
  <c r="BO46" i="88"/>
  <c r="BO48" i="88"/>
  <c r="BO49" i="88"/>
  <c r="BR65" i="88"/>
  <c r="BS65" i="88" s="1"/>
  <c r="BU65" i="88" s="1"/>
  <c r="BO84" i="88"/>
  <c r="BO91" i="88"/>
  <c r="BO127" i="88"/>
  <c r="BO129" i="88"/>
  <c r="Y134" i="88"/>
  <c r="BO145" i="88"/>
  <c r="BO148" i="88"/>
  <c r="AN12" i="88"/>
  <c r="BO16" i="88"/>
  <c r="AO23" i="88"/>
  <c r="W23" i="88" s="1"/>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W30" i="88" s="1"/>
  <c r="BC30" i="88"/>
  <c r="BO30" i="88" s="1"/>
  <c r="BT30" i="88"/>
  <c r="BO33" i="88"/>
  <c r="BO50" i="88"/>
  <c r="Y54" i="88"/>
  <c r="BO55" i="88"/>
  <c r="BO71" i="88"/>
  <c r="BO73" i="88"/>
  <c r="BO80" i="88"/>
  <c r="Y111" i="88"/>
  <c r="BO116" i="88"/>
  <c r="BO124" i="88"/>
  <c r="BO131" i="88"/>
  <c r="BO133" i="88"/>
  <c r="Y138" i="88"/>
  <c r="Y142" i="88"/>
  <c r="BO144" i="88"/>
  <c r="BO4" i="88"/>
  <c r="BO5" i="88"/>
  <c r="BO8" i="88"/>
  <c r="BO19" i="88"/>
  <c r="AO25" i="88"/>
  <c r="W25" i="88" s="1"/>
  <c r="BO26"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1" i="88"/>
  <c r="Y13" i="88"/>
  <c r="X13" i="88"/>
  <c r="BR13" i="88"/>
  <c r="BS13" i="88" s="1"/>
  <c r="BU13" i="88" s="1"/>
  <c r="Y10" i="88"/>
  <c r="X10" i="88"/>
  <c r="BR10" i="88"/>
  <c r="BS10" i="88" s="1"/>
  <c r="BU10" i="88" s="1"/>
  <c r="Y17" i="88"/>
  <c r="X17" i="88"/>
  <c r="BR17" i="88"/>
  <c r="BS17" i="88" s="1"/>
  <c r="BU17" i="88" s="1"/>
  <c r="Y21" i="88"/>
  <c r="X21" i="88"/>
  <c r="BR21" i="88"/>
  <c r="BS21" i="88" s="1"/>
  <c r="BU21" i="88" s="1"/>
  <c r="W5" i="88"/>
  <c r="X20" i="88"/>
  <c r="BR20" i="88"/>
  <c r="BS20" i="88" s="1"/>
  <c r="BU20" i="88" s="1"/>
  <c r="Y20" i="88"/>
  <c r="W9" i="88"/>
  <c r="BC12" i="88"/>
  <c r="BT12" i="88"/>
  <c r="W37" i="88"/>
  <c r="BR41" i="88"/>
  <c r="BS41" i="88" s="1"/>
  <c r="BU41" i="88" s="1"/>
  <c r="Y41" i="88"/>
  <c r="X41" i="88"/>
  <c r="X52" i="88"/>
  <c r="BR52" i="88"/>
  <c r="BS52" i="88" s="1"/>
  <c r="BU52" i="88" s="1"/>
  <c r="Y52" i="88"/>
  <c r="AN8" i="88"/>
  <c r="BR18" i="88"/>
  <c r="BS18" i="88" s="1"/>
  <c r="BU18" i="88" s="1"/>
  <c r="BT22" i="88"/>
  <c r="BC22" i="88"/>
  <c r="BO22" i="88" s="1"/>
  <c r="AN23" i="88"/>
  <c r="BE23" i="88"/>
  <c r="BT23" i="88"/>
  <c r="BQ2" i="88"/>
  <c r="X6" i="88"/>
  <c r="W4" i="88"/>
  <c r="AN5" i="88"/>
  <c r="Y6" i="88"/>
  <c r="AO8" i="88"/>
  <c r="BC11" i="88"/>
  <c r="BR14" i="88"/>
  <c r="BS14" i="88" s="1"/>
  <c r="BU14" i="88" s="1"/>
  <c r="X16" i="88"/>
  <c r="BR19" i="88"/>
  <c r="BS19" i="88" s="1"/>
  <c r="BU19" i="88" s="1"/>
  <c r="AN22" i="88"/>
  <c r="BB2" i="88"/>
  <c r="X7" i="88"/>
  <c r="AN11" i="88"/>
  <c r="Y16" i="88"/>
  <c r="W22" i="88"/>
  <c r="BT25" i="88"/>
  <c r="AN2" i="88"/>
  <c r="BC2" i="88"/>
  <c r="BK2" i="88"/>
  <c r="BT2" i="88"/>
  <c r="BH3" i="88"/>
  <c r="BQ3" i="88"/>
  <c r="Y7" i="88"/>
  <c r="AN24" i="88"/>
  <c r="W39" i="88"/>
  <c r="AG152" i="88"/>
  <c r="BL2" i="88"/>
  <c r="X18" i="88"/>
  <c r="Z18" i="88" s="1"/>
  <c r="BO20" i="88"/>
  <c r="Y47" i="88"/>
  <c r="X47" i="88"/>
  <c r="BR47" i="88"/>
  <c r="BS47" i="88" s="1"/>
  <c r="BU47" i="88" s="1"/>
  <c r="BD2" i="88"/>
  <c r="AP152" i="88"/>
  <c r="BE2" i="88"/>
  <c r="BM2" i="88"/>
  <c r="BB3" i="88"/>
  <c r="BH9" i="88"/>
  <c r="BO9" i="88" s="1"/>
  <c r="X14" i="88"/>
  <c r="Z14" i="88" s="1"/>
  <c r="X19" i="88"/>
  <c r="Z19" i="88" s="1"/>
  <c r="BO34" i="88"/>
  <c r="AO2" i="88"/>
  <c r="AQ152" i="88"/>
  <c r="BF2" i="88"/>
  <c r="BN2" i="88"/>
  <c r="AN3" i="88"/>
  <c r="BH11" i="88"/>
  <c r="X48" i="88"/>
  <c r="BR48" i="88"/>
  <c r="BS48" i="88" s="1"/>
  <c r="BU48" i="88" s="1"/>
  <c r="Y48" i="88"/>
  <c r="AN26" i="88"/>
  <c r="BQ29" i="88"/>
  <c r="AN32" i="88"/>
  <c r="BH32" i="88"/>
  <c r="W34" i="88"/>
  <c r="BQ37" i="88"/>
  <c r="BQ39" i="88"/>
  <c r="BG51" i="88"/>
  <c r="BO51" i="88" s="1"/>
  <c r="W67"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X56" i="88"/>
  <c r="Z56" i="88" s="1"/>
  <c r="BE59" i="88"/>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T39" i="88"/>
  <c r="BF40" i="88"/>
  <c r="BO40" i="88" s="1"/>
  <c r="BQ42" i="88"/>
  <c r="Y43" i="88"/>
  <c r="Y46" i="88"/>
  <c r="X50" i="88"/>
  <c r="BR53" i="88"/>
  <c r="BS53" i="88" s="1"/>
  <c r="BU53" i="88" s="1"/>
  <c r="BR56" i="88"/>
  <c r="BS56" i="88" s="1"/>
  <c r="BU56" i="88" s="1"/>
  <c r="W57" i="88"/>
  <c r="BB59" i="88"/>
  <c r="AN68"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2" i="88"/>
  <c r="BL35" i="88"/>
  <c r="BT38" i="88"/>
  <c r="BB42" i="88"/>
  <c r="BO52" i="88"/>
  <c r="AO59" i="88"/>
  <c r="W71" i="88"/>
  <c r="Y80" i="88"/>
  <c r="X80" i="88"/>
  <c r="BR80" i="88"/>
  <c r="BS80" i="88" s="1"/>
  <c r="BU80" i="88" s="1"/>
  <c r="W82" i="88"/>
  <c r="X83" i="88"/>
  <c r="BR83" i="88"/>
  <c r="BS83" i="88" s="1"/>
  <c r="BU83" i="88" s="1"/>
  <c r="Y83" i="88"/>
  <c r="BM35" i="88"/>
  <c r="BB36" i="88"/>
  <c r="BO56" i="88"/>
  <c r="BQ59" i="88"/>
  <c r="BO60" i="88"/>
  <c r="W61" i="88"/>
  <c r="BO62" i="88"/>
  <c r="X65" i="88"/>
  <c r="BO66" i="88"/>
  <c r="BC31" i="88"/>
  <c r="BN35" i="88"/>
  <c r="W36"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S145" i="88" s="1"/>
  <c r="BU145" i="88" s="1"/>
  <c r="BB68" i="88"/>
  <c r="BB85" i="88"/>
  <c r="AN94" i="88"/>
  <c r="BJ99" i="88"/>
  <c r="Y119" i="88"/>
  <c r="X119" i="88"/>
  <c r="W128" i="88"/>
  <c r="Y137" i="88"/>
  <c r="X137" i="88"/>
  <c r="BR137" i="88"/>
  <c r="BS137" i="88" s="1"/>
  <c r="BU137" i="88" s="1"/>
  <c r="BC68" i="88"/>
  <c r="BT68" i="88"/>
  <c r="Y74" i="88"/>
  <c r="AO76" i="88"/>
  <c r="BC76" i="88"/>
  <c r="BO76" i="88" s="1"/>
  <c r="BN78" i="88"/>
  <c r="BO78" i="88" s="1"/>
  <c r="Y84" i="88"/>
  <c r="W85" i="88"/>
  <c r="BN87" i="88"/>
  <c r="BO87" i="88" s="1"/>
  <c r="AO89" i="88"/>
  <c r="AN92" i="88"/>
  <c r="BJ94" i="88"/>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50" i="88"/>
  <c r="Y75" i="88"/>
  <c r="AN78" i="88"/>
  <c r="Y79" i="88"/>
  <c r="AN87" i="88"/>
  <c r="Y88" i="88"/>
  <c r="Z88" i="88" s="1"/>
  <c r="BQ93" i="88"/>
  <c r="BO95" i="88"/>
  <c r="BB99" i="88"/>
  <c r="AN100" i="88"/>
  <c r="BT100" i="88"/>
  <c r="BO107" i="88"/>
  <c r="W108" i="88"/>
  <c r="Y115" i="88"/>
  <c r="X115" i="88"/>
  <c r="BO117" i="88"/>
  <c r="W140" i="88"/>
  <c r="BR147" i="88"/>
  <c r="BS147" i="88" s="1"/>
  <c r="BU147" i="88" s="1"/>
  <c r="Y147" i="88"/>
  <c r="X147" i="88"/>
  <c r="BB61" i="88"/>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50" i="88"/>
  <c r="AN71" i="88"/>
  <c r="X95" i="88"/>
  <c r="Z95" i="88" s="1"/>
  <c r="BQ103" i="88"/>
  <c r="AO105" i="88"/>
  <c r="AN105" i="88"/>
  <c r="BO108" i="88"/>
  <c r="W109" i="88"/>
  <c r="BO111" i="88"/>
  <c r="BT112" i="88"/>
  <c r="BR117" i="88"/>
  <c r="BS117" i="88" s="1"/>
  <c r="BU117" i="88" s="1"/>
  <c r="BQ118" i="88"/>
  <c r="BQ122" i="88"/>
  <c r="BC94" i="88"/>
  <c r="BT98" i="88"/>
  <c r="BC98" i="88"/>
  <c r="BB105" i="88"/>
  <c r="BQ105" i="88"/>
  <c r="W106" i="88"/>
  <c r="BF118" i="88"/>
  <c r="BO118" i="88" s="1"/>
  <c r="BB118" i="88"/>
  <c r="BB122" i="88"/>
  <c r="Y125" i="88"/>
  <c r="X125" i="88"/>
  <c r="BR125" i="88"/>
  <c r="BS125" i="88" s="1"/>
  <c r="BU125" i="88" s="1"/>
  <c r="BO126" i="88"/>
  <c r="BO128" i="88"/>
  <c r="W132" i="88"/>
  <c r="AN112" i="88"/>
  <c r="BH112" i="88"/>
  <c r="BO112" i="88" s="1"/>
  <c r="W114" i="88"/>
  <c r="W118" i="88"/>
  <c r="W123" i="88"/>
  <c r="W127" i="88"/>
  <c r="W131" i="88"/>
  <c r="W135" i="88"/>
  <c r="X139" i="88"/>
  <c r="X144" i="88"/>
  <c r="X148" i="88"/>
  <c r="BF120" i="88"/>
  <c r="BO120" i="88" s="1"/>
  <c r="Y139" i="88"/>
  <c r="BQ140" i="88"/>
  <c r="BB141" i="88"/>
  <c r="Y144" i="88"/>
  <c r="Y148" i="88"/>
  <c r="BQ120" i="88"/>
  <c r="BR120" i="88" s="1"/>
  <c r="BS120" i="88" s="1"/>
  <c r="BB140" i="88"/>
  <c r="BO122" i="88" l="1"/>
  <c r="BH38" i="88"/>
  <c r="BH152" i="88" s="1"/>
  <c r="BR60" i="88"/>
  <c r="BS60" i="88" s="1"/>
  <c r="BU60" i="88" s="1"/>
  <c r="AI152" i="88"/>
  <c r="AH152" i="88"/>
  <c r="BR40" i="88"/>
  <c r="BS40" i="88" s="1"/>
  <c r="BU40" i="88" s="1"/>
  <c r="AU152" i="88"/>
  <c r="Y40" i="88"/>
  <c r="Z40" i="88" s="1"/>
  <c r="BO82" i="88"/>
  <c r="BO39" i="88"/>
  <c r="BO42" i="88"/>
  <c r="BO68" i="88"/>
  <c r="X60" i="88"/>
  <c r="BO59" i="88"/>
  <c r="Y60" i="88"/>
  <c r="BO37" i="88"/>
  <c r="Z79" i="88"/>
  <c r="X91" i="88"/>
  <c r="BI38" i="88"/>
  <c r="BI152" i="88" s="1"/>
  <c r="Z125" i="88"/>
  <c r="Z55" i="88"/>
  <c r="Z74" i="88"/>
  <c r="BO29" i="88"/>
  <c r="BO98" i="88"/>
  <c r="BO23" i="88"/>
  <c r="Z75" i="88"/>
  <c r="AN38" i="88"/>
  <c r="BO32" i="88"/>
  <c r="Z119" i="88"/>
  <c r="Y91" i="88"/>
  <c r="Z21" i="88"/>
  <c r="Z130" i="88"/>
  <c r="Z129" i="88"/>
  <c r="Z54" i="88"/>
  <c r="BO31" i="88"/>
  <c r="Z84" i="88"/>
  <c r="Z120" i="88"/>
  <c r="Z17" i="88"/>
  <c r="Z80" i="88"/>
  <c r="BO35" i="88"/>
  <c r="AJ152" i="88"/>
  <c r="Z48" i="88"/>
  <c r="Z13" i="88"/>
  <c r="Z96" i="88"/>
  <c r="Z66" i="88"/>
  <c r="Z15" i="88"/>
  <c r="Z142" i="88"/>
  <c r="Z45" i="88"/>
  <c r="Z101" i="88"/>
  <c r="AK152"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2"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BU39" i="88" s="1"/>
  <c r="X39" i="88"/>
  <c r="W8" i="88"/>
  <c r="Y12" i="88"/>
  <c r="BR12" i="88"/>
  <c r="BS12" i="88" s="1"/>
  <c r="BU12" i="88" s="1"/>
  <c r="X12" i="88"/>
  <c r="X118" i="88"/>
  <c r="BR118" i="88"/>
  <c r="BS118" i="88" s="1"/>
  <c r="BU118" i="88" s="1"/>
  <c r="Y118" i="88"/>
  <c r="Y150" i="88"/>
  <c r="X150" i="88"/>
  <c r="BR150" i="88"/>
  <c r="BS150" i="88" s="1"/>
  <c r="BU150" i="88" s="1"/>
  <c r="Y122" i="88"/>
  <c r="X122" i="88"/>
  <c r="BR122" i="88"/>
  <c r="BS122" i="88" s="1"/>
  <c r="BU122" i="88" s="1"/>
  <c r="BR103" i="88"/>
  <c r="BS103" i="88" s="1"/>
  <c r="BU103" i="88" s="1"/>
  <c r="Y103" i="88"/>
  <c r="X103" i="88"/>
  <c r="BR34" i="88"/>
  <c r="BS34" i="88" s="1"/>
  <c r="BU34" i="88" s="1"/>
  <c r="Y34" i="88"/>
  <c r="X34" i="88"/>
  <c r="BF152"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2"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2" i="88"/>
  <c r="BC152"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BR132" i="88"/>
  <c r="BS132" i="88" s="1"/>
  <c r="BU132" i="88" s="1"/>
  <c r="BU119" i="88"/>
  <c r="Z143" i="88"/>
  <c r="Y94" i="88"/>
  <c r="BR94" i="88"/>
  <c r="BS94" i="88" s="1"/>
  <c r="BU94" i="88" s="1"/>
  <c r="X94" i="88"/>
  <c r="Z50" i="88"/>
  <c r="Z43" i="88"/>
  <c r="BR87" i="88"/>
  <c r="BS87" i="88" s="1"/>
  <c r="BU87" i="88" s="1"/>
  <c r="Y87" i="88"/>
  <c r="X87" i="88"/>
  <c r="BU35" i="88"/>
  <c r="AL152" i="88"/>
  <c r="BO11" i="88"/>
  <c r="BQ152" i="88"/>
  <c r="X11" i="88"/>
  <c r="BR11" i="88"/>
  <c r="BS11" i="88" s="1"/>
  <c r="BU11" i="88" s="1"/>
  <c r="Y11" i="88"/>
  <c r="Z91" i="88" l="1"/>
  <c r="Z60" i="88"/>
  <c r="Z132" i="88"/>
  <c r="AO152" i="88"/>
  <c r="Z135" i="88"/>
  <c r="Z23" i="88"/>
  <c r="Y38" i="88"/>
  <c r="Z140" i="88"/>
  <c r="Z93" i="88"/>
  <c r="Z32" i="88"/>
  <c r="Z31" i="88"/>
  <c r="Z103" i="88"/>
  <c r="Z39" i="88"/>
  <c r="Z136" i="88"/>
  <c r="Z68" i="88"/>
  <c r="Z114" i="88"/>
  <c r="Z113" i="88"/>
  <c r="Z25" i="88"/>
  <c r="Z128" i="88"/>
  <c r="Z106" i="88"/>
  <c r="Z82" i="88"/>
  <c r="Z87" i="88"/>
  <c r="Z85" i="88"/>
  <c r="Z36" i="88"/>
  <c r="Z28" i="88"/>
  <c r="X38" i="88"/>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50"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2" i="88"/>
  <c r="Y2" i="88"/>
  <c r="X2" i="88"/>
  <c r="BR2" i="88"/>
  <c r="BS2" i="88" s="1"/>
  <c r="BU2" i="88" s="1"/>
  <c r="Y44" i="88"/>
  <c r="X44" i="88"/>
  <c r="BR44" i="88"/>
  <c r="BS44" i="88" s="1"/>
  <c r="BU44" i="88" s="1"/>
  <c r="Z67" i="88"/>
  <c r="Z71" i="88"/>
  <c r="Z118" i="88"/>
  <c r="Z131" i="88"/>
  <c r="Z22" i="88"/>
  <c r="Z107" i="88"/>
  <c r="BN99" i="88"/>
  <c r="BO99" i="88" s="1"/>
  <c r="AM152" i="88"/>
  <c r="AN99" i="88"/>
  <c r="AN152" i="88" s="1"/>
  <c r="Z3" i="88"/>
  <c r="BK38" i="88"/>
  <c r="BK152" i="88" s="1"/>
  <c r="AY38" i="88"/>
  <c r="AX152" i="88"/>
  <c r="Y76" i="88"/>
  <c r="X76" i="88"/>
  <c r="BR76" i="88"/>
  <c r="BS76" i="88" s="1"/>
  <c r="BU76" i="88" s="1"/>
  <c r="Z122" i="88"/>
  <c r="Z12" i="88"/>
  <c r="Z123" i="88"/>
  <c r="Z30" i="88"/>
  <c r="W99" i="88"/>
  <c r="Z141" i="88"/>
  <c r="BR92" i="88"/>
  <c r="BS92" i="88" s="1"/>
  <c r="BU92" i="88" s="1"/>
  <c r="Y92" i="88"/>
  <c r="X92" i="88"/>
  <c r="Z9" i="88"/>
  <c r="BJ152" i="88"/>
  <c r="Z42" i="88"/>
  <c r="Z51" i="88"/>
  <c r="Z108" i="88"/>
  <c r="Z38" i="88" l="1"/>
  <c r="Z76" i="88"/>
  <c r="Z44" i="88"/>
  <c r="Z100" i="88"/>
  <c r="Z92" i="88"/>
  <c r="Z26" i="88"/>
  <c r="Z24" i="88"/>
  <c r="Z89" i="88"/>
  <c r="Z105" i="88"/>
  <c r="Z59" i="88"/>
  <c r="BL38" i="88"/>
  <c r="BL152" i="88" s="1"/>
  <c r="AZ38" i="88"/>
  <c r="AY152" i="88"/>
  <c r="Z8" i="88"/>
  <c r="Z112" i="88"/>
  <c r="Y152" i="88"/>
  <c r="Z104" i="88"/>
  <c r="Z2" i="88"/>
  <c r="Y99" i="88"/>
  <c r="X99" i="88"/>
  <c r="BR99" i="88"/>
  <c r="BS99" i="88" s="1"/>
  <c r="BU99" i="88" s="1"/>
  <c r="AN8" i="87"/>
  <c r="AO8" i="87"/>
  <c r="BB8" i="87"/>
  <c r="AR8" i="87"/>
  <c r="Z99" i="88" l="1"/>
  <c r="X152" i="88"/>
  <c r="Z152" i="88"/>
  <c r="BM38" i="88"/>
  <c r="BA38" i="88"/>
  <c r="AZ152" i="88"/>
  <c r="BN38" i="88" l="1"/>
  <c r="BN152" i="88" s="1"/>
  <c r="BA152" i="88"/>
  <c r="BB38" i="88"/>
  <c r="BB152" i="88" s="1"/>
  <c r="BM152" i="88"/>
  <c r="BO38" i="88"/>
  <c r="BO152"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<sst xmlns="http://schemas.openxmlformats.org/spreadsheetml/2006/main" count="3446" uniqueCount="757">
  <si>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</si>
  <si>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</si>
  <si>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</si>
  <si>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</si>
  <si>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</si>
  <si>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</si>
  <si>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</si>
  <si>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</si>
  <si>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</si>
  <si>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</si>
  <si>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</si>
  <si>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</si>
  <si>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</si>
  <si>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</si>
  <si>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</si>
  <si>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</si>
  <si>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</si>
  <si>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</si>
  <si>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</si>
  <si>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</si>
  <si>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</si>
  <si>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</si>
  <si>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</si>
  <si>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</si>
  <si>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</si>
  <si>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</si>
  <si>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</si>
  <si>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</si>
  <si>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</si>
  <si>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</si>
  <si>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</si>
  <si>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</si>
  <si>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</si>
  <si>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</si>
  <si>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</si>
  <si>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</si>
  <si>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</si>
  <si>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</si>
  <si>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</si>
  <si>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</si>
  <si>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</si>
  <si>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</si>
  <si>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</si>
  <si>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</si>
  <si>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</si>
  <si>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</si>
  <si>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</si>
  <si>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</si>
  <si>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</si>
  <si>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</si>
  <si>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</si>
  <si>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</si>
  <si>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</si>
  <si>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</si>
  <si>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</si>
  <si>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</si>
  <si>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</si>
  <si>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</si>
  <si>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</si>
  <si>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</si>
  <si>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</si>
  <si>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</si>
  <si>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</si>
  <si>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</si>
  <si>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</si>
  <si>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</si>
  <si>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</si>
  <si>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</si>
  <si>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</si>
  <si>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</si>
  <si>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</si>
  <si>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</si>
  <si>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</si>
  <si>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</si>
  <si>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</si>
  <si>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</si>
  <si>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</si>
  <si>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</si>
  <si>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</si>
  <si>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</si>
  <si>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</si>
  <si>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</si>
  <si>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</si>
  <si>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</si>
  <si>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</si>
  <si>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</si>
  <si>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</si>
  <si>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</si>
  <si>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</si>
  <si>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</si>
  <si>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</si>
  <si>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</si>
  <si>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</si>
  <si>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</si>
  <si>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</si>
  <si>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</si>
  <si>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</si>
  <si>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</si>
  <si>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</si>
  <si>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</si>
  <si>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</si>
  <si>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</si>
  <si>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</si>
  <si>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</si>
  <si>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</si>
  <si>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</si>
  <si>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</si>
  <si>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</si>
  <si>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</si>
  <si>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</si>
  <si>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</si>
  <si>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</si>
  <si>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</si>
  <si>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</si>
  <si>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</si>
  <si>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</si>
  <si>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</si>
  <si>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</si>
  <si>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</si>
  <si>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</si>
  <si>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</si>
  <si>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</si>
  <si>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</si>
  <si>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</si>
  <si>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</si>
  <si>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</si>
  <si>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</si>
  <si>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</si>
  <si>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</si>
  <si>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</si>
  <si>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</si>
  <si>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</si>
  <si>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</si>
  <si>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</si>
  <si>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</si>
  <si>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</si>
  <si>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</si>
  <si>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</si>
  <si>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</si>
  <si>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</si>
  <si>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</si>
  <si>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</si>
  <si>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</si>
  <si>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</si>
  <si>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</si>
  <si>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</si>
  <si>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</si>
  <si>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</si>
  <si>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</si>
  <si>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</si>
  <si>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</si>
  <si>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</si>
  <si>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</si>
  <si>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</si>
  <si>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</si>
  <si>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</si>
  <si>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</si>
  <si>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</si>
  <si>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</si>
  <si>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</si>
  <si>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</si>
  <si>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</si>
  <si>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</si>
  <si>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</si>
  <si>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</si>
  <si>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</si>
  <si>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</si>
  <si>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</si>
  <si>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</si>
  <si>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</si>
  <si>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</si>
  <si>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</si>
  <si>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</si>
  <si>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</si>
  <si>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</si>
  <si>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</si>
  <si>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</si>
  <si>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</si>
  <si>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</si>
  <si>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</si>
  <si>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</si>
  <si>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</si>
  <si>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</si>
  <si>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</si>
  <si>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</si>
  <si>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</si>
  <si>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</si>
  <si>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</si>
  <si>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</si>
  <si>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</si>
  <si>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</si>
  <si>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</si>
  <si>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</si>
  <si>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</si>
  <si>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</si>
  <si>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</si>
  <si>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</si>
  <si>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</si>
  <si>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</si>
  <si>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</si>
  <si>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</si>
  <si>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</si>
  <si>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</si>
  <si>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</si>
  <si>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</si>
  <si>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</si>
  <si>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</si>
  <si>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</si>
  <si>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</si>
  <si>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</si>
  <si>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</si>
  <si>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</si>
  <si>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</si>
  <si>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</si>
  <si>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</si>
  <si>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</si>
  <si>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</si>
  <si>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</si>
  <si>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</si>
  <si>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</si>
  <si>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</si>
  <si>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</si>
  <si>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</si>
  <si>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</si>
  <si>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</si>
  <si>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</si>
  <si>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</si>
  <si>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</si>
  <si>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</si>
  <si>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</si>
  <si>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</si>
  <si>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</si>
  <si>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</si>
  <si>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</si>
  <si>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</si>
  <si>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</si>
  <si>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</si>
  <si>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</si>
  <si>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</si>
  <si>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</si>
  <si>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</si>
  <si>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</si>
  <si>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</si>
  <si>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</si>
  <si>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</si>
  <si>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</si>
  <si>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</si>
  <si>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</si>
  <si>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</si>
  <si>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</si>
  <si>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</si>
  <si>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</si>
  <si>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</si>
  <si>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</si>
  <si>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</si>
  <si>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</si>
  <si>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</si>
  <si>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</si>
  <si>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</si>
  <si>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</si>
  <si>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</si>
  <si>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</si>
  <si>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</si>
  <si>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</si>
  <si>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</si>
  <si>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</si>
  <si>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</si>
  <si>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</si>
  <si>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</si>
  <si>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</si>
  <si>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</si>
  <si>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</si>
  <si>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</si>
  <si>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</si>
  <si>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</si>
  <si>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</si>
  <si>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</si>
  <si>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</si>
  <si>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</si>
  <si>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</si>
  <si>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</si>
  <si>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</si>
  <si>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</si>
  <si>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</si>
  <si>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</si>
  <si>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</si>
  <si>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</si>
  <si>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</si>
  <si>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</si>
  <si>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</si>
  <si>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</si>
  <si>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</si>
  <si>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</si>
  <si>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</si>
  <si>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</si>
  <si>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</si>
  <si>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</si>
  <si>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</si>
  <si>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</si>
  <si>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</si>
  <si>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</si>
  <si>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</si>
  <si>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</si>
  <si>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</si>
  <si>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</si>
  <si>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</si>
  <si>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</si>
  <si>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</si>
  <si>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</si>
  <si>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</si>
  <si>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</si>
  <si>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</si>
  <si>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</si>
  <si>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</si>
  <si>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</si>
  <si>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</si>
  <si>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</si>
  <si>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</si>
  <si>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</si>
  <si>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</si>
  <si>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</si>
  <si>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</si>
  <si>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</si>
  <si>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</si>
  <si>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</si>
  <si>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</si>
  <si>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</si>
  <si>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</si>
  <si>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</si>
  <si>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</si>
  <si>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</si>
  <si>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</si>
  <si>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</si>
  <si>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</si>
  <si>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</si>
  <si>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</si>
  <si>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</si>
  <si>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</si>
  <si>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</si>
  <si>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</si>
  <si>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</si>
  <si>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</si>
  <si>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</si>
  <si>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</si>
  <si>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</si>
  <si>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</si>
  <si>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</si>
  <si>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</si>
  <si>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</si>
  <si>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</si>
  <si>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</si>
  <si>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</si>
  <si>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</si>
  <si>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</si>
  <si>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</si>
  <si>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</si>
  <si>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</si>
  <si>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</si>
  <si>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</si>
  <si>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</si>
  <si>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</si>
  <si>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</si>
  <si>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</si>
  <si>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</si>
  <si>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</si>
  <si>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</si>
  <si>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</si>
  <si>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</si>
  <si>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</si>
  <si>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</si>
  <si>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</si>
  <si>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</si>
  <si>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</si>
  <si>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</si>
  <si>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</si>
  <si>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</si>
  <si>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</si>
  <si>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</si>
  <si>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</si>
  <si>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</si>
  <si>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</si>
  <si>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</si>
  <si>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</si>
  <si>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</si>
  <si>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</si>
  <si>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</si>
  <si>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</si>
  <si>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</si>
  <si>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</si>
  <si>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</si>
  <si>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</si>
  <si>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</si>
  <si>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</si>
  <si>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</si>
  <si>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</si>
  <si>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</si>
  <si>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</si>
  <si>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</si>
  <si>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</si>
  <si>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</si>
  <si>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</si>
  <si>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</si>
  <si>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</si>
  <si>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</si>
  <si>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</si>
  <si>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</si>
  <si>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</si>
  <si>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</si>
  <si>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</si>
  <si>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</si>
  <si>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</si>
  <si>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</si>
  <si>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</si>
  <si>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</si>
  <si>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</si>
  <si>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</si>
  <si>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</si>
  <si>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</si>
  <si>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</si>
  <si>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</si>
  <si>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</si>
  <si>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</si>
  <si>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</si>
  <si>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</si>
  <si>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</si>
  <si>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</si>
  <si>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</si>
  <si>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</si>
  <si>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</si>
  <si>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</si>
  <si>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</si>
  <si>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</si>
  <si>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</si>
  <si>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</si>
  <si>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</si>
  <si>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</si>
  <si>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</si>
  <si>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</si>
  <si>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</si>
  <si>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</si>
  <si>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</si>
  <si>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</si>
  <si>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</si>
  <si>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</si>
  <si>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</si>
  <si>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</si>
  <si>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</si>
  <si>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</si>
  <si>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</si>
  <si>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</si>
  <si>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</si>
  <si>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</si>
  <si>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</si>
  <si>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</si>
  <si>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</si>
  <si>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</si>
  <si>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</si>
  <si>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</si>
  <si>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</si>
  <si>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</si>
  <si>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</si>
  <si>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</si>
  <si>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</si>
  <si>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</si>
  <si>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</si>
  <si>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</si>
  <si>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</si>
  <si>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</si>
  <si>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</si>
  <si>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</si>
  <si>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</si>
  <si>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</si>
  <si>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</si>
  <si>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</si>
  <si>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</si>
  <si>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</si>
  <si>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</si>
  <si>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</si>
  <si>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</si>
  <si>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</si>
  <si>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</si>
  <si>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</si>
  <si>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</si>
  <si>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</si>
  <si>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</si>
  <si>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</si>
  <si>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</si>
  <si>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</si>
  <si>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</si>
  <si>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</si>
  <si>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</si>
  <si>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</si>
  <si>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</si>
  <si>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</si>
  <si>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</si>
  <si>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</si>
  <si>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</si>
  <si>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</si>
  <si>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</si>
  <si>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</si>
  <si>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</si>
  <si>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</si>
  <si>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</si>
  <si>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</si>
  <si>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</si>
  <si>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</si>
  <si>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</si>
  <si>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</si>
  <si>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</si>
  <si>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</si>
  <si>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</si>
  <si>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</si>
  <si>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</si>
  <si>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</si>
  <si>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</si>
  <si>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</si>
  <si>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</si>
  <si>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</si>
  <si>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</si>
  <si>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</si>
  <si>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</si>
  <si>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</si>
  <si>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</si>
  <si>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</si>
  <si>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</si>
  <si>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</si>
  <si>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</si>
  <si>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</si>
  <si>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</si>
  <si>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</si>
  <si>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</si>
  <si>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</si>
  <si>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</si>
  <si>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</si>
  <si>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</si>
  <si>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</si>
  <si>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</si>
  <si>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</si>
  <si>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</si>
  <si>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</si>
  <si>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</si>
  <si>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</si>
  <si>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</si>
  <si>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</si>
  <si>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</si>
  <si>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</si>
  <si>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</si>
  <si>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</si>
  <si>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</si>
  <si>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</si>
  <si>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</si>
  <si>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</si>
  <si>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</si>
  <si>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</si>
  <si>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</si>
  <si>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</si>
  <si>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</si>
  <si>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</si>
  <si>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</si>
  <si>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</si>
  <si>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</si>
  <si>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</si>
  <si>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</si>
  <si>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</si>
  <si>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</si>
  <si>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</si>
  <si>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</si>
  <si>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</si>
  <si>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</si>
  <si>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</si>
  <si>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</si>
  <si>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</si>
  <si>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</si>
  <si>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</si>
  <si>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</si>
  <si>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</si>
  <si>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</si>
  <si>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</si>
  <si>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</si>
  <si>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</si>
  <si>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</si>
  <si>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</si>
  <si>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</si>
  <si>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</si>
  <si>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</si>
  <si>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</si>
  <si>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</si>
  <si>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</si>
  <si>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</si>
  <si>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</si>
  <si>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</si>
  <si>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</si>
  <si>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</si>
  <si>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</si>
  <si>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</si>
  <si>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</si>
  <si>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</si>
  <si>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</si>
  <si>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</si>
  <si>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</si>
  <si>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</si>
  <si>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</si>
  <si>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</si>
  <si>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</si>
  <si>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</si>
  <si>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</si>
  <si>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</si>
  <si>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</si>
  <si>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</si>
  <si>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</si>
  <si>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</si>
  <si>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</si>
  <si>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</si>
  <si>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</si>
  <si>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</si>
  <si>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</si>
  <si>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</si>
  <si>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</si>
  <si>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</si>
  <si>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</si>
  <si>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</si>
  <si>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</si>
  <si>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</si>
  <si>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</si>
  <si>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</si>
  <si>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</si>
  <si>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</si>
  <si>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</si>
  <si>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</si>
  <si>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</si>
  <si>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</si>
  <si>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</si>
  <si>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</si>
  <si>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</si>
  <si>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</si>
  <si>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</si>
  <si>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</si>
  <si>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</si>
  <si>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</si>
  <si>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</si>
  <si>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</si>
  <si>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</si>
  <si>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</si>
  <si>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</si>
  <si>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</si>
  <si>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</si>
  <si>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</si>
  <si>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</si>
  <si>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</si>
  <si>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</si>
  <si>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</si>
  <si>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</si>
  <si>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</si>
  <si>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</si>
  <si>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</si>
  <si>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</si>
  <si>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</si>
  <si>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</si>
  <si>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</si>
  <si>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</si>
  <si>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</si>
  <si>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</si>
  <si>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</si>
  <si>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</si>
  <si>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</si>
  <si>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</si>
  <si>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</si>
  <si>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</si>
  <si>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</si>
  <si>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</si>
  <si>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</si>
  <si>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</si>
  <si>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</si>
  <si>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</si>
  <si>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</si>
  <si>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</si>
  <si>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</si>
  <si>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</si>
  <si>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</si>
  <si>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</si>
  <si>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</si>
  <si>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</si>
  <si>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</si>
  <si>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</si>
  <si>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</si>
  <si>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</si>
  <si>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</si>
  <si>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</si>
  <si>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</si>
  <si>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</si>
  <si>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</si>
  <si>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</si>
  <si>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</si>
  <si>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</si>
  <si>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</si>
  <si>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</si>
  <si>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</si>
  <si>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</si>
  <si>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</si>
  <si>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</si>
  <si>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</si>
  <si>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</si>
  <si>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</si>
  <si>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</si>
  <si>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</si>
  <si>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</si>
  <si>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</si>
  <si>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</si>
  <si>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</si>
  <si>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</si>
  <si>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</si>
  <si>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</si>
  <si>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</si>
  <si>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</si>
  <si>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</si>
  <si>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</si>
  <si>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</si>
  <si>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</si>
  <si>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</si>
  <si>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</si>
  <si>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</si>
  <si>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</si>
  <si>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</si>
  <si>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</si>
  <si>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</si>
  <si>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</si>
  <si>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</si>
  <si>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</si>
  <si>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</si>
  <si>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</si>
  <si>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</si>
  <si>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</si>
  <si>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</si>
  <si>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</si>
  <si>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</si>
  <si>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</si>
  <si>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</si>
  <si>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</si>
  <si>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</si>
  <si>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</si>
  <si>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</si>
  <si>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</si>
  <si>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</si>
  <si>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</si>
  <si>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</si>
  <si>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</si>
  <si>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</si>
  <si>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</si>
  <si>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</si>
  <si>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</si>
  <si>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</si>
  <si>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</si>
  <si>
    <t>Arif's extension</t>
  </si>
  <si>
    <t>Leon's Instruction</t>
  </si>
  <si>
    <t>Vinod's exit</t>
  </si>
  <si>
    <t>New Hire</t>
  </si>
  <si>
    <t>Net Saving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</si>
</sst>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
      <left/>
      <right/>
      <top style="thin">
        <color indexed="64"/>
      </top>
      <bottom style="double">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8">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166" fontId="0" fillId="13" borderId="0" xfId="0" applyNumberFormat="1" applyFill="1"/>
    <xf numFmtId="164" fontId="0" fillId="13" borderId="0" xfId="0" applyNumberFormat="1" applyFill="1"/>
    <xf numFmtId="0" fontId="13" fillId="0" borderId="31" xfId="0" applyFont="1" applyBorder="1"/>
    <xf numFmtId="164" fontId="13" fillId="0" borderId="31" xfId="0" applyNumberFormat="1" applyFont="1" applyBorder="1"/>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00">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numFmt numFmtId="167" formatCode="_(&quot;$&quot;* #,##0_);_(&quot;$&quot;* \(#,##0\);_(&quot;$&quot;* &quot;-&quot;??_);_(@_)"/>
    </dxf>
    <dxf>
      <alignment horizontal="center"/>
    </dxf>
    <dxf>
      <numFmt numFmtId="166" formatCode="&quot;$&quot;#,##0"/>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fill>
        <patternFill patternType="solid">
          <bgColor theme="5" tint="0.79998168889431442"/>
        </patternFill>
      </fill>
    </dxf>
    <dxf>
      <numFmt numFmtId="164" formatCode="_(* #,##0_);_(* \(#,##0\);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03.972414467593" createdVersion="8" refreshedVersion="8" minRefreshableVersion="3" recordCount="149" xr:uid="{14834CBE-76E0-4F7D-A076-F066E6A489B9}">
  <cacheSource type="worksheet">
    <worksheetSource name="Financials20263"/>
  </cacheSource>
  <cacheFields count="74">
    <cacheField name="Transaction Type" numFmtId="0">
      <sharedItems count="5">
        <s v="Contract"/>
        <s v="event driven"/>
        <s v="Invoice Driven"/>
        <s v="Capitalization"/>
        <s v="Amortization"/>
      </sharedItems>
    </cacheField>
    <cacheField name="D365 Legal Vendor name" numFmtId="0">
      <sharedItems count="81">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PH-TBC"/>
        <s v="CME Group"/>
      </sharedItems>
    </cacheField>
    <cacheField name="DBA / AKA / Passthrough" numFmtId="0">
      <sharedItems containsBlank="1"/>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s v="Microsoft Corporation"/>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m/>
  </r>
  <r>
    <x v="0"/>
    <s v="Microsoft Corporation"/>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m/>
  </r>
  <r>
    <x v="1"/>
    <s v="T&amp;E - Refer to Concur"/>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n v="83657.850000000006"/>
    <n v="229670.85"/>
    <m/>
  </r>
  <r>
    <x v="0"/>
    <s v="Archetype Consulting, Inc."/>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m/>
  </r>
  <r>
    <x v="0"/>
    <s v="VPMA Global Services LLC"/>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m/>
  </r>
  <r>
    <x v="0"/>
    <s v="G Treasury SS, LLC"/>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m/>
  </r>
  <r>
    <x v="0"/>
    <s v="G Treasury SS, LLC"/>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m/>
  </r>
  <r>
    <x v="0"/>
    <s v="SuperTrader, Inc."/>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m/>
  </r>
  <r>
    <x v="0"/>
    <s v="CDW DIRECT LL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m/>
  </r>
  <r>
    <x v="0"/>
    <s v="COGENT COMMUNICATIONS,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m/>
  </r>
  <r>
    <x v="0"/>
    <s v="LEVEL 3 COMMUNICATIONS"/>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m/>
  </r>
  <r>
    <x v="0"/>
    <s v="Bell Mobility Inc."/>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m/>
  </r>
  <r>
    <x v="0"/>
    <s v="Zoom Video Communications, Inc."/>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m/>
  </r>
  <r>
    <x v="2"/>
    <s v="Other"/>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m/>
  </r>
  <r>
    <x v="0"/>
    <s v="Bloomberg Finance L.P."/>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m/>
  </r>
  <r>
    <x v="0"/>
    <s v="PitchBook Data, Inc."/>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m/>
  </r>
  <r>
    <x v="1"/>
    <s v="City of Chicago"/>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m/>
  </r>
  <r>
    <x v="1"/>
    <s v="New York State Department of Taxation and Finance"/>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m/>
  </r>
  <r>
    <x v="1"/>
    <s v="Nterone Corporation"/>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m/>
  </r>
  <r>
    <x v="0"/>
    <s v="Coforge DPA NA Inc."/>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877160"/>
    <n v="113296"/>
    <n v="113296"/>
    <n v="113296"/>
    <n v="113296"/>
    <n v="113296"/>
    <m/>
    <m/>
    <m/>
    <m/>
    <m/>
    <m/>
    <m/>
    <n v="566480"/>
    <n v="0"/>
    <n v="0"/>
    <n v="0"/>
    <n v="-3447"/>
    <n v="-7660"/>
    <n v="-120190"/>
    <n v="-120190"/>
    <n v="-127356"/>
    <n v="-127356"/>
    <n v="-127356"/>
    <n v="-127356"/>
    <n v="-127356"/>
    <n v="-888267"/>
    <s v="L2 DBA resource starting July 1 to expand coverage"/>
    <n v="566480"/>
    <n v="0"/>
    <n v="877160"/>
    <n v="577587"/>
    <n v="1443640"/>
    <m/>
  </r>
  <r>
    <x v="0"/>
    <s v="Cognizant Worldwide Limited"/>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m/>
  </r>
  <r>
    <x v="0"/>
    <s v="Andersen Tax Holdings"/>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m/>
  </r>
  <r>
    <x v="0"/>
    <s v="Andersen Tax Holdings"/>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m/>
  </r>
  <r>
    <x v="0"/>
    <s v="Andersen Tax Holdings"/>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m/>
  </r>
  <r>
    <x v="0"/>
    <s v="Andersen Tax Holdings"/>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m/>
  </r>
  <r>
    <x v="0"/>
    <s v="Virteva LLC"/>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m/>
  </r>
  <r>
    <x v="0"/>
    <s v="Coforge DPA NA Inc."/>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m/>
  </r>
  <r>
    <x v="0"/>
    <s v="Coforge DPA NA Inc."/>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m/>
  </r>
  <r>
    <x v="0"/>
    <s v="Coforge DPA NA Inc."/>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m/>
  </r>
  <r>
    <x v="0"/>
    <s v="Coforge DPA NA Inc."/>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m/>
  </r>
  <r>
    <x v="0"/>
    <s v="Coforge DPA NA Inc."/>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m/>
  </r>
  <r>
    <x v="0"/>
    <s v="Coforge DPA NA Inc."/>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m/>
  </r>
  <r>
    <x v="0"/>
    <s v="Broadridge Output  Solutions"/>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m/>
  </r>
  <r>
    <x v="0"/>
    <s v="Finastra Technology, Inc"/>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m/>
  </r>
  <r>
    <x v="0"/>
    <s v="Indus Valley Partners Corporation"/>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m/>
  </r>
  <r>
    <x v="0"/>
    <s v="Indus Valley Partners Corporation"/>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m/>
  </r>
  <r>
    <x v="0"/>
    <s v="Indus Valley Partners Corporation"/>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m/>
  </r>
  <r>
    <x v="0"/>
    <s v="Workday, Inc."/>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m/>
  </r>
  <r>
    <x v="0"/>
    <s v="Microsoft Corporation"/>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m/>
  </r>
  <r>
    <x v="0"/>
    <s v="Microsoft Corporation"/>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m/>
  </r>
  <r>
    <x v="0"/>
    <s v="BWise Internal Control Inc."/>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m/>
  </r>
  <r>
    <x v="0"/>
    <s v="CDW DIRECT LLC"/>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m/>
  </r>
  <r>
    <x v="0"/>
    <s v="CDW DIRECT LLC"/>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m/>
  </r>
  <r>
    <x v="0"/>
    <s v="CDW DIRECT LLC"/>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m/>
  </r>
  <r>
    <x v="0"/>
    <s v="CDW DIRECT LLC"/>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m/>
  </r>
  <r>
    <x v="0"/>
    <s v="Cloud Navigators LLC"/>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m/>
  </r>
  <r>
    <x v="0"/>
    <s v="FinDox Inc."/>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m/>
  </r>
  <r>
    <x v="0"/>
    <s v="HSO Enterprise Solutions LLC"/>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m/>
  </r>
  <r>
    <x v="0"/>
    <s v="Incloud, LLC"/>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m/>
  </r>
  <r>
    <x v="0"/>
    <s v="Indus Valley Partners Corporation"/>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m/>
  </r>
  <r>
    <x v="0"/>
    <s v="Indus Valley Partners Corporation"/>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m/>
  </r>
  <r>
    <x v="0"/>
    <s v="Indus Valley Partners Corporation"/>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m/>
  </r>
  <r>
    <x v="0"/>
    <s v="Inogic Tech India Private Limited"/>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m/>
  </r>
  <r>
    <x v="0"/>
    <s v="Lucid Software, Inc."/>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m/>
  </r>
  <r>
    <x v="0"/>
    <s v="Lucid Software, Inc."/>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m/>
  </r>
  <r>
    <x v="0"/>
    <s v="Macabacus, Inc."/>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m/>
  </r>
  <r>
    <x v="0"/>
    <s v="Macabacus, Inc."/>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m/>
  </r>
  <r>
    <x v="0"/>
    <s v="Microsoft Corporation"/>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m/>
  </r>
  <r>
    <x v="0"/>
    <s v="Monday.com Ltd"/>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m/>
  </r>
  <r>
    <x v="0"/>
    <s v="NewRocket, LLC"/>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m/>
  </r>
  <r>
    <x v="0"/>
    <s v="NewRocket, LLC"/>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m/>
  </r>
  <r>
    <x v="0"/>
    <s v="NewRocket, LLC"/>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m/>
  </r>
  <r>
    <x v="0"/>
    <s v="Oracle America, Inc."/>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m/>
  </r>
  <r>
    <x v="0"/>
    <s v="RFPIO INC. (Responsive)"/>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m/>
  </r>
  <r>
    <x v="0"/>
    <s v="SALESFORCE COM INC"/>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m/>
  </r>
  <r>
    <x v="0"/>
    <s v="Siemens Industry Software, Inc."/>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m/>
  </r>
  <r>
    <x v="0"/>
    <s v="SS&amp;C GIDS, Inc."/>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m/>
  </r>
  <r>
    <x v="0"/>
    <s v="SonarSource SA"/>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m/>
  </r>
  <r>
    <x v="0"/>
    <s v="SHI International Corp"/>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m/>
  </r>
  <r>
    <x v="0"/>
    <s v="SHI International Corp"/>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m/>
  </r>
  <r>
    <x v="0"/>
    <s v="SHI International Corp"/>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m/>
  </r>
  <r>
    <x v="0"/>
    <s v="SHI International Corp"/>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m/>
  </r>
  <r>
    <x v="0"/>
    <s v="Coforge DPA NA Inc."/>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m/>
  </r>
  <r>
    <x v="0"/>
    <s v="Smarsh Inc."/>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m/>
  </r>
  <r>
    <x v="0"/>
    <s v="SuperTrader, Inc."/>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m/>
  </r>
  <r>
    <x v="0"/>
    <s v="DigiCert, Inc."/>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m/>
  </r>
  <r>
    <x v="0"/>
    <s v="Datadog, Inc."/>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m/>
  </r>
  <r>
    <x v="0"/>
    <s v="Datadog, Inc."/>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m/>
  </r>
  <r>
    <x v="0"/>
    <s v="ClickTime.com Inc."/>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m/>
  </r>
  <r>
    <x v="0"/>
    <s v="CDW DIRECT LLC"/>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m/>
  </r>
  <r>
    <x v="0"/>
    <s v="Cloud Software Group (formally Tibco)"/>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m/>
  </r>
  <r>
    <x v="0"/>
    <s v="CloudFlare"/>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m/>
  </r>
  <r>
    <x v="0"/>
    <s v="Litera"/>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m/>
  </r>
  <r>
    <x v="0"/>
    <s v="Alation Inc."/>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m/>
  </r>
  <r>
    <x v="0"/>
    <s v="BroadVantage"/>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m/>
  </r>
  <r>
    <x v="0"/>
    <s v="Broadridge Output  Solutions"/>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m/>
  </r>
  <r>
    <x v="0"/>
    <s v="BWise Internal Control Inc."/>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m/>
  </r>
  <r>
    <x v="0"/>
    <s v="CDW DIRECT LLC"/>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m/>
  </r>
  <r>
    <x v="0"/>
    <s v="Indus Valley Partners Corporation"/>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m/>
  </r>
  <r>
    <x v="0"/>
    <s v="Indus Valley Partners Corporation"/>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m/>
  </r>
  <r>
    <x v="0"/>
    <s v="Equisolve, Inc."/>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m/>
  </r>
  <r>
    <x v="0"/>
    <s v="MARKIT NORTH AMERICA, INC."/>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m/>
  </r>
  <r>
    <x v="0"/>
    <s v="Microsoft Corporation"/>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m/>
  </r>
  <r>
    <x v="0"/>
    <s v="Indus Valley Partners Corporation"/>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m/>
  </r>
  <r>
    <x v="0"/>
    <s v="Indus Valley Partners Corporation"/>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s v="Y"/>
  </r>
  <r>
    <x v="0"/>
    <s v="VPMA Global Services LLC"/>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m/>
  </r>
  <r>
    <x v="0"/>
    <s v="Intelligent Business Platforms LLC"/>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m/>
  </r>
  <r>
    <x v="0"/>
    <s v="Seismic Software Inc."/>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m/>
  </r>
  <r>
    <x v="3"/>
    <s v="Software Capitalization"/>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m/>
  </r>
  <r>
    <x v="4"/>
    <s v="Amortization/Multiple"/>
    <m/>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m/>
  </r>
  <r>
    <x v="0"/>
    <s v="PactFi Inc."/>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m/>
  </r>
  <r>
    <x v="0"/>
    <s v="AT&amp;T Corp"/>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m/>
  </r>
  <r>
    <x v="0"/>
    <s v="Beanfield Technologies, In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m/>
  </r>
  <r>
    <x v="0"/>
    <s v="Cogent Canada,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m/>
  </r>
  <r>
    <x v="2"/>
    <s v="Amazon Capital Services, Inc."/>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m/>
  </r>
  <r>
    <x v="1"/>
    <s v="General Office Expense - Refer to Concur"/>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m/>
  </r>
  <r>
    <x v="0"/>
    <s v="ICE Benchmark Administration Ltd"/>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m/>
  </r>
  <r>
    <x v="0"/>
    <s v="SaferKid, Inc. (FirmScribe)"/>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m/>
  </r>
  <r>
    <x v="2"/>
    <s v="Cisco Systems, Inc."/>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m/>
  </r>
  <r>
    <x v="2"/>
    <s v="j2 Cloud Services, In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m/>
  </r>
  <r>
    <x v="2"/>
    <s v="LoopUp"/>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m/>
  </r>
  <r>
    <x v="2"/>
    <s v="Verizon Wireless Services LL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m/>
  </r>
  <r>
    <x v="0"/>
    <s v="ASX Benchmarks PTY limited"/>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m/>
  </r>
  <r>
    <x v="0"/>
    <s v="Fitch Solutions, Inc."/>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m/>
  </r>
  <r>
    <x v="0"/>
    <s v="THOMSON REUTERS MARKETS LLC"/>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m/>
  </r>
  <r>
    <x v="0"/>
    <s v="TSX Inc."/>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m/>
  </r>
  <r>
    <x v="2"/>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m/>
  </r>
  <r>
    <x v="0"/>
    <s v="SHI International Corp"/>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1589.55"/>
    <n v="-0.44999999999708962"/>
    <n v="0"/>
    <n v="-0.44999999999708962"/>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0698.550000000003"/>
    <n v="0"/>
    <n v="60891"/>
    <n v="0"/>
    <n v="81589.55"/>
    <m/>
  </r>
  <r>
    <x v="0"/>
    <s v="SHI International Corp"/>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m/>
  </r>
  <r>
    <x v="2"/>
    <s v="SHI International Corp"/>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n v="0"/>
    <n v="0"/>
    <m/>
  </r>
  <r>
    <x v="0"/>
    <s v="Sky Road"/>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m/>
  </r>
  <r>
    <x v="0"/>
    <s v="Coforge DPA NA Inc."/>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Coforge DPA NA Inc."/>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n v="0"/>
    <n v="0"/>
    <m/>
  </r>
  <r>
    <x v="0"/>
    <s v="Finastra Technology, Inc"/>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m/>
  </r>
  <r>
    <x v="0"/>
    <s v="Indus Valley Partners Corporation"/>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m/>
  </r>
  <r>
    <x v="0"/>
    <s v="MARKIT NORTH AMERICA, INC."/>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Indus Valley Partners Corporation"/>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Indus Valley Partners Corporation"/>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NewRocket, LLC"/>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m/>
  </r>
  <r>
    <x v="0"/>
    <s v="SALESFORCE COM INC"/>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m/>
  </r>
  <r>
    <x v="0"/>
    <s v="Indus Valley Partners Corporation"/>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2026 PH"/>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OpenAI, L.L.C. (“OpenAI”)"/>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m/>
  </r>
  <r>
    <x v="0"/>
    <s v="Coforge DPA NA Inc."/>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n v="0"/>
    <n v="0"/>
    <s v="Y"/>
  </r>
  <r>
    <x v="0"/>
    <s v="Coforge DPA NA Inc."/>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m/>
  </r>
  <r>
    <x v="0"/>
    <s v="Allvue Systems, LLC"/>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m/>
  </r>
  <r>
    <x v="0"/>
    <s v="OneStream Software, LLC"/>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m/>
  </r>
  <r>
    <x v="0"/>
    <s v="MARKIT NORTH AMERICA, INC."/>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m/>
  </r>
  <r>
    <x v="0"/>
    <s v="Intelligent Business Platforms LLC"/>
    <s v="Intellibus"/>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m/>
  </r>
  <r>
    <x v="0"/>
    <s v="Indus Valley Partners Corporation"/>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m/>
  </r>
  <r>
    <x v="0"/>
    <s v="2026 PH"/>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m/>
  </r>
  <r>
    <x v="0"/>
    <s v="Andersen Tax Holdings"/>
    <s v="1Rivet"/>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m/>
  </r>
  <r>
    <x v="0"/>
    <s v="Andersen Tax Holdings"/>
    <s v="1Rivet"/>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m/>
  </r>
  <r>
    <x v="0"/>
    <s v="Norske Finansielle Referanser AS"/>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m/>
  </r>
  <r>
    <x v="0"/>
    <s v="PH-TBC"/>
    <m/>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n v="0"/>
    <n v="80000"/>
    <m/>
  </r>
  <r>
    <x v="0"/>
    <s v="CME Group"/>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4">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88">
      <pivotArea outline="0" collapsedLevelsAreSubtotals="1" fieldPosition="0"/>
    </format>
    <format dxfId="87">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8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4">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97">
      <pivotArea outline="0" collapsedLevelsAreSubtotals="1" fieldPosition="0"/>
    </format>
    <format dxfId="96">
      <pivotArea dataOnly="0" labelOnly="1" outline="0" fieldPosition="0">
        <references count="1">
          <reference field="4294967294" count="1">
            <x v="2"/>
          </reference>
        </references>
      </pivotArea>
    </format>
    <format dxfId="95">
      <pivotArea field="6" type="button" dataOnly="0" labelOnly="1" outline="0" axis="axisRow" fieldPosition="0"/>
    </format>
    <format dxfId="94">
      <pivotArea field="12" type="button" dataOnly="0" labelOnly="1" outline="0" axis="axisRow" fieldPosition="1"/>
    </format>
    <format dxfId="93">
      <pivotArea dataOnly="0" labelOnly="1" outline="0" fieldPosition="0">
        <references count="1">
          <reference field="4294967294" count="3">
            <x v="0"/>
            <x v="1"/>
            <x v="2"/>
          </reference>
        </references>
      </pivotArea>
    </format>
    <format dxfId="92">
      <pivotArea field="6" type="button" dataOnly="0" labelOnly="1" outline="0" axis="axisRow" fieldPosition="0"/>
    </format>
    <format dxfId="91">
      <pivotArea field="12" type="button" dataOnly="0" labelOnly="1" outline="0" axis="axisRow" fieldPosition="1"/>
    </format>
    <format dxfId="90">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4">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7" firstHeaderRow="1" firstDataRow="2" firstDataCol="2" rowPageCount="1" colPageCount="1"/>
  <pivotFields count="74">
    <pivotField compact="0" outline="0" multipleItemSelectionAllowed="1" showAll="0" defaultSubtotal="0"/>
    <pivotField axis="axisRow" compact="0" outline="0" showAll="0" defaultSubtotal="0">
      <items count="81">
        <item x="74"/>
        <item x="49"/>
        <item x="76"/>
        <item x="61"/>
        <item x="56"/>
        <item x="19"/>
        <item x="2"/>
        <item x="69"/>
        <item x="58"/>
        <item x="59"/>
        <item x="9"/>
        <item x="12"/>
        <item x="21"/>
        <item x="50"/>
        <item x="25"/>
        <item x="6"/>
        <item x="65"/>
        <item x="14"/>
        <item x="45"/>
        <item x="26"/>
        <item x="46"/>
        <item x="47"/>
        <item x="80"/>
        <item x="17"/>
        <item x="60"/>
        <item x="7"/>
        <item x="18"/>
        <item x="44"/>
        <item x="43"/>
        <item x="51"/>
        <item x="22"/>
        <item x="27"/>
        <item x="70"/>
        <item x="4"/>
        <item x="62"/>
        <item x="28"/>
        <item x="63"/>
        <item x="29"/>
        <item x="23"/>
        <item x="30"/>
        <item x="53"/>
        <item x="66"/>
        <item x="8"/>
        <item x="48"/>
        <item x="67"/>
        <item x="31"/>
        <item x="32"/>
        <item x="52"/>
        <item x="0"/>
        <item x="33"/>
        <item x="15"/>
        <item x="34"/>
        <item x="78"/>
        <item x="16"/>
        <item x="77"/>
        <item x="75"/>
        <item x="35"/>
        <item x="11"/>
        <item x="57"/>
        <item x="79"/>
        <item x="13"/>
        <item x="36"/>
        <item x="64"/>
        <item x="37"/>
        <item x="54"/>
        <item x="41"/>
        <item x="38"/>
        <item x="73"/>
        <item x="42"/>
        <item x="55"/>
        <item x="40"/>
        <item x="39"/>
        <item x="5"/>
        <item x="1"/>
        <item x="71"/>
        <item x="72"/>
        <item x="68"/>
        <item x="20"/>
        <item x="3"/>
        <item x="24"/>
        <item x="10"/>
      </items>
    </pivotField>
    <pivotField compact="0" outline="0" showAll="0" defaultSubtotal="0"/>
    <pivotField compact="0" outline="0" showAll="0" defaultSubtotal="0">
      <items count="34">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s>
    </pivotField>
    <pivotField compact="0" outline="0" showAll="0" defaultSubtotal="0"/>
    <pivotField compact="0" outline="0" showAll="0" defaultSubtotal="0"/>
    <pivotField axis="axisRow" compact="0" outline="0" showAll="0" defaultSubtotal="0">
      <items count="7">
        <item h="1" x="5"/>
        <item x="0"/>
        <item h="1" x="2"/>
        <item h="1" x="4"/>
        <item h="1" x="3"/>
        <item h="1" x="1"/>
        <item h="1" x="6"/>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8">
        <item h="1" sd="0" x="6"/>
        <item h="1" sd="0" x="5"/>
        <item h="1" sd="0" x="7"/>
        <item h="1" sd="0" x="3"/>
        <item sd="0" x="4"/>
        <item h="1" sd="0" x="2"/>
        <item h="1" sd="0" x="1"/>
        <item h="1" sd="0"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dataField="1"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2">
    <field x="1"/>
    <field x="6"/>
  </rowFields>
  <rowItems count="3">
    <i>
      <x v="5"/>
      <x v="1"/>
    </i>
    <i>
      <x v="59"/>
      <x v="1"/>
    </i>
    <i t="grand">
      <x/>
    </i>
  </rowItems>
  <colFields count="1">
    <field x="-2"/>
  </colFields>
  <colItems count="3">
    <i>
      <x/>
    </i>
    <i i="1">
      <x v="1"/>
    </i>
    <i i="2">
      <x v="2"/>
    </i>
  </colItems>
  <pageFields count="1">
    <pageField fld="12" hier="-1"/>
  </pageFields>
  <dataFields count="3">
    <dataField name="Sum of 2026 Final Budget" fld="21" baseField="0" baseItem="0"/>
    <dataField name="Sum of 2026 (Actuals + Forecast)" fld="22" baseField="0" baseItem="0"/>
    <dataField name="Sum of 2026 Net Position" fld="25" baseField="0" baseItem="0"/>
  </dataFields>
  <formats count="2">
    <format dxfId="99">
      <pivotArea outline="0" collapsedLevelsAreSubtotals="1" fieldPosition="0"/>
    </format>
    <format dxfId="98">
      <pivotArea outline="0" fieldPosition="0">
        <references count="3">
          <reference field="4294967294" count="1" selected="0">
            <x v="2"/>
          </reference>
          <reference field="1" count="1" selected="0">
            <x v="5"/>
          </reference>
          <reference field="6" count="0" selected="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V150" totalsRowShown="0" headerRowBorderDxfId="85" tableBorderDxfId="84">
  <autoFilter ref="A1:BV150" xr:uid="{A492086E-22C3-4E96-A6F5-F99E42618563}">
    <filterColumn colId="6">
      <filters>
        <filter val="Erik Wynkoop"/>
      </filters>
    </filterColumn>
  </autoFilter>
  <tableColumns count="74">
    <tableColumn id="1" xr3:uid="{242EDFF6-742E-412A-994F-DE5685E22BB0}" name="Transaction Type" dataDxfId="83"/>
    <tableColumn id="2" xr3:uid="{08616251-7DE6-4D23-92E4-2E85B1D94360}" name="D365 Legal Vendor name" dataDxfId="82"/>
    <tableColumn id="3" xr3:uid="{BD70789C-92D9-4A27-B8C3-E2607261E720}" name="DBA / AKA / Passthrough" dataDxfId="81"/>
    <tableColumn id="4" xr3:uid="{3918E27D-D871-43A2-9D6A-94FB14F654EC}" name="Project ID" dataDxfId="80"/>
    <tableColumn id="5" xr3:uid="{A028ADB0-AF1A-40E1-8A52-FF282B40DE64}" name="Project Name" dataDxfId="79"/>
    <tableColumn id="6" xr3:uid="{B4F67E57-8B0C-436C-BF42-2CAC2B8245C1}" name="Domain" dataDxfId="78"/>
    <tableColumn id="7" xr3:uid="{91E0CA19-9704-4FB2-9B82-EB394E89DF85}" name="Domain Owner" dataDxfId="77"/>
    <tableColumn id="9" xr3:uid="{090B133E-C581-4D72-9CCF-C2D174AB0F43}" name="Contract Start" dataDxfId="76"/>
    <tableColumn id="10" xr3:uid="{610CA386-C3EA-4064-9F45-507F0B25669D}" name="Contract End" dataDxfId="75"/>
    <tableColumn id="11" xr3:uid="{7A9CDD19-1472-4FAD-ACF7-98BC097996DE}" name="Application" dataDxfId="74"/>
    <tableColumn id="12" xr3:uid="{F6177E08-E03D-4CE8-A8C5-24F7F0CE38DF}" name="Project Details" dataDxfId="73">
      <calculatedColumnFormula>D2 &amp; "-" &amp;E2</calculatedColumnFormula>
    </tableColumn>
    <tableColumn id="13" xr3:uid="{F8731934-20F7-4424-BF3E-888C8F3E250E}" name="Category" dataDxfId="72"/>
    <tableColumn id="14" xr3:uid="{97F74ECF-D3E1-4544-B389-0D70673967E8}" name="Sub-Category1" dataDxfId="71"/>
    <tableColumn id="17" xr3:uid="{4C848037-D78D-42C1-A2C6-E6309704016E}" name="Sub-Category2" dataDxfId="70"/>
    <tableColumn id="21" xr3:uid="{0122725A-C30C-4CEE-B8D6-2422E3E10326}" name="Contract Type" dataDxfId="69"/>
    <tableColumn id="15" xr3:uid="{DCD4FDCF-43FF-4308-9293-62EA996620ED}" name="MGMT View Category (OneStream)" dataDxfId="68"/>
    <tableColumn id="18" xr3:uid="{658A4718-1DA7-4FBE-8992-7FAE7F4C7F49}" name="Onestream Account" dataDxfId="67"/>
    <tableColumn id="19" xr3:uid="{5267CF94-3623-462E-97AF-E18156B00053}" name="A/P Account Name" dataDxfId="66"/>
    <tableColumn id="20" xr3:uid="{5E0DC275-3907-45A6-9C4F-937BDB02153F}" name="Accounting Treatment" dataDxfId="65"/>
    <tableColumn id="22" xr3:uid="{16BEBE99-AC2A-471E-8FD9-AAE62FE8D83D}" name="2025 Actuals" dataDxfId="64"/>
    <tableColumn id="23" xr3:uid="{AB3393C9-D921-4085-AF5F-B7B623848FCC}" name="2026 Initial Budget" dataDxfId="63" dataCellStyle="Comma"/>
    <tableColumn id="25" xr3:uid="{BD95F986-B575-45C9-B565-3F5A5D25B661}" name="2026 Final Budget" dataDxfId="62" dataCellStyle="Comma"/>
    <tableColumn id="26" xr3:uid="{FE8AB3AA-8105-4CAA-9C84-BF99E639D702}" name="2026 (Actuals + Forecast)" dataDxfId="61" dataCellStyle="Comma">
      <calculatedColumnFormula>AO2+IF(ISBLANK(AP2),AB2,AP2)+IF(ISBLANK(AQ2),AC2,AQ2)+IF(ISBLANK(AR2),AD2,AR2)+IF(ISBLANK(AS2),AE2,AS2)+IF(ISBLANK(AT2),AF2,AT2)</calculatedColumnFormula>
    </tableColumn>
    <tableColumn id="27" xr3:uid="{FD25F16C-2EAA-415A-9A5A-67EF55B9D97F}" name="2026 Opportunity" dataDxfId="60" dataCellStyle="Comma">
      <calculatedColumnFormula>IF(V2 &gt;= W2, V2 - W2, 0)*-1</calculatedColumnFormula>
    </tableColumn>
    <tableColumn id="28" xr3:uid="{3E8C9BC3-A36F-4429-ADF1-E2E31EDFB123}" name="2026 Risk" dataDxfId="59" dataCellStyle="Comma">
      <calculatedColumnFormula>IF(W2 &gt; V2, W2 - V2, 0)</calculatedColumnFormula>
    </tableColumn>
    <tableColumn id="16" xr3:uid="{A2223374-A086-4670-9148-44C5B80D2F38}" name="2026 Net Position" dataDxfId="58" dataCellStyle="Comma">
      <calculatedColumnFormula>SUM(Financials20263[[#This Row],[2026 Opportunity]:[2026 Risk]])</calculatedColumnFormula>
    </tableColumn>
    <tableColumn id="29" xr3:uid="{9340939D-B61A-4867-A6FB-35598984DFC3}" name="Notes" dataDxfId="57"/>
    <tableColumn id="31" xr3:uid="{CAB5AFB6-CA5B-483A-9BAF-5761679A373B}" name="Jan FC" dataDxfId="56" dataCellStyle="Comma"/>
    <tableColumn id="32" xr3:uid="{5E6FFDA7-DF5F-495F-BC8D-D67F03329023}" name="Feb FC" dataDxfId="55" dataCellStyle="Comma"/>
    <tableColumn id="33" xr3:uid="{5058D119-6F17-43D3-AEF2-4F273CEBA31A}" name="Mar FC" dataDxfId="54" dataCellStyle="Comma"/>
    <tableColumn id="34" xr3:uid="{A3AC516B-B770-430E-B148-E1D3D9567FAD}" name="Apr FC" dataDxfId="53" dataCellStyle="Comma"/>
    <tableColumn id="35" xr3:uid="{ECEA33AD-45C5-4E82-A009-017E85D7DB44}" name="May FC" dataDxfId="52" dataCellStyle="Comma"/>
    <tableColumn id="36" xr3:uid="{E9DB8B47-323F-434B-807B-8748ED61ED34}" name="Jun FC" dataDxfId="51" dataCellStyle="Comma"/>
    <tableColumn id="37" xr3:uid="{6374D5F8-607B-41C2-B794-601F25EB418D}" name="Jul FC" dataDxfId="50" dataCellStyle="Comma"/>
    <tableColumn id="38" xr3:uid="{B4C16149-C9F0-45EC-B182-FD3B8B7429E0}" name="Aug FC" dataDxfId="49" dataCellStyle="Comma"/>
    <tableColumn id="39" xr3:uid="{26B14811-E5F5-4106-A54B-40DE00366D76}" name="Sep FC" dataDxfId="48" dataCellStyle="Comma"/>
    <tableColumn id="40" xr3:uid="{9E952692-1BDD-4D56-A183-37BF4A11F526}" name="Oct FC" dataDxfId="47" dataCellStyle="Comma"/>
    <tableColumn id="41" xr3:uid="{A049F4C1-34D3-4A29-86A7-C671D5C6D98B}" name="Nov FC" dataDxfId="46" dataCellStyle="Comma"/>
    <tableColumn id="42" xr3:uid="{5705BE95-DF6B-473B-8FA4-9E4226201603}" name="Dec FC" dataDxfId="45" dataCellStyle="Comma"/>
    <tableColumn id="74" xr3:uid="{9D40B7D4-7BAE-4A98-8145-9A222ED326B8}" name="Total - FC" dataDxfId="44" dataCellStyle="Comma">
      <calculatedColumnFormula>SUM(Financials20263[[#This Row],[Jan FC]:[Dec FC]])</calculatedColumnFormula>
    </tableColumn>
    <tableColumn id="43" xr3:uid="{91FD6C06-93AB-414D-9B76-887643EEED96}" name="Jun-Dec FC" dataDxfId="43" dataCellStyle="Comma">
      <calculatedColumnFormula>SUM(AG2:AM2)</calculatedColumnFormula>
    </tableColumn>
    <tableColumn id="56" xr3:uid="{F69A83C4-B9A3-4262-A8CB-8CE81864D5FA}" name="Jan AC" dataDxfId="42" dataCellStyle="Comma"/>
    <tableColumn id="55" xr3:uid="{1E9D6300-4AD1-4261-A1FF-6366DF423E92}" name="Feb AC" dataDxfId="41" dataCellStyle="Comma"/>
    <tableColumn id="54" xr3:uid="{13FFF1FD-26A1-4FD6-97E8-9386AB4AC43C}" name="Mar AC" dataDxfId="40" dataCellStyle="Comma"/>
    <tableColumn id="53" xr3:uid="{4528A9EB-DCC4-4768-9C74-B00744D89F2E}" name="Apr AC" dataDxfId="39" dataCellStyle="Comma"/>
    <tableColumn id="52" xr3:uid="{09BBCE26-5305-4845-8E95-2938F78951A1}" name="May AC" dataDxfId="38" dataCellStyle="Comma"/>
    <tableColumn id="51" xr3:uid="{B53E3A5E-4C7A-47F6-98EF-98D0339ED7EF}" name="Jun AC" dataDxfId="37" dataCellStyle="Comma"/>
    <tableColumn id="50" xr3:uid="{1B3A42E1-1A4A-4F02-AB85-F321F9298327}" name="Jul AC" dataDxfId="36" dataCellStyle="Comma"/>
    <tableColumn id="49" xr3:uid="{DB3FF538-4DFF-4E76-A4ED-65067E509D32}" name="Aug AC" dataDxfId="35" dataCellStyle="Comma"/>
    <tableColumn id="48" xr3:uid="{7811DD89-220A-4A96-BB76-DDA3AB708625}" name="Sep AC" dataDxfId="34" dataCellStyle="Comma"/>
    <tableColumn id="47" xr3:uid="{A17FFA7D-49AE-4866-91BB-54ABF4DBC444}" name="Oct AC" dataDxfId="33" dataCellStyle="Comma"/>
    <tableColumn id="46" xr3:uid="{41435EA0-FEC7-48B7-855E-47C16BC64CF6}" name="Nov AC" dataDxfId="32" dataCellStyle="Comma"/>
    <tableColumn id="30" xr3:uid="{A2239101-D3EE-49BD-BE0C-6704F209BED4}" name="Dec AC" dataDxfId="31" dataCellStyle="Comma"/>
    <tableColumn id="75" xr3:uid="{C6B2B2DB-BFC6-4CA1-A44B-AB1642CA5DF4}" name="Total Actuals" dataDxfId="30" dataCellStyle="Comma">
      <calculatedColumnFormula>SUM(Financials20263[[#This Row],[Jan AC]:[Dec AC]])</calculatedColumnFormula>
    </tableColumn>
    <tableColumn id="58" xr3:uid="{C27E561F-EC4E-4A83-860E-89EDAFD8273C}" name="Jan Opp/Risk" dataDxfId="29" dataCellStyle="Comma">
      <calculatedColumnFormula>Financials20263[[#This Row],[Jan AC]]-Financials20263[[#This Row],[Jan FC]]</calculatedColumnFormula>
    </tableColumn>
    <tableColumn id="59" xr3:uid="{DC3F935F-676C-4615-83CE-F51DCA99DF38}" name="Feb Opp./Risk" dataDxfId="28" dataCellStyle="Comma">
      <calculatedColumnFormula>Financials20263[[#This Row],[Feb AC]]-Financials20263[[#This Row],[Feb FC]]</calculatedColumnFormula>
    </tableColumn>
    <tableColumn id="60" xr3:uid="{51453838-C75C-48B0-801A-F08E0238B429}" name="Mar Opp./Risk" dataDxfId="27" dataCellStyle="Comma">
      <calculatedColumnFormula>Financials20263[[#This Row],[Mar AC]]-Financials20263[[#This Row],[Mar FC]]</calculatedColumnFormula>
    </tableColumn>
    <tableColumn id="61" xr3:uid="{B784A374-2FB6-4FF5-B896-BF2FC8499F68}" name="Apr Opp./Risk" dataDxfId="26" dataCellStyle="Comma">
      <calculatedColumnFormula>Financials20263[[#This Row],[Apr AC]]-Financials20263[[#This Row],[Apr FC]]</calculatedColumnFormula>
    </tableColumn>
    <tableColumn id="62" xr3:uid="{1563E951-050B-4915-B1A7-626B46F193F0}" name="May Opp./Risk" dataDxfId="25" dataCellStyle="Comma">
      <calculatedColumnFormula>Financials20263[[#This Row],[May AC]]-Financials20263[[#This Row],[May FC]]</calculatedColumnFormula>
    </tableColumn>
    <tableColumn id="63" xr3:uid="{CE10A45E-D613-4BBA-950B-3F0858138F44}" name="Jun Opp./Risk" dataDxfId="24" dataCellStyle="Comma">
      <calculatedColumnFormula>Financials20263[[#This Row],[Jun AC]]-Financials20263[[#This Row],[Jun FC]]</calculatedColumnFormula>
    </tableColumn>
    <tableColumn id="64" xr3:uid="{5A2AAB70-868C-4DC5-B5DD-4E11E098A39F}" name="Jul Opp./Risk" dataDxfId="23" dataCellStyle="Comma">
      <calculatedColumnFormula>Financials20263[[#This Row],[Jul AC]]-Financials20263[[#This Row],[Jul FC]]</calculatedColumnFormula>
    </tableColumn>
    <tableColumn id="65" xr3:uid="{1665AA1E-8313-4AF7-B6A0-D7722A026704}" name="Aug Opp./Risk" dataDxfId="22" dataCellStyle="Comma">
      <calculatedColumnFormula>Financials20263[[#This Row],[Aug AC]]-Financials20263[[#This Row],[Aug FC]]</calculatedColumnFormula>
    </tableColumn>
    <tableColumn id="66" xr3:uid="{25976019-C5B2-4B4F-8C89-FBB761553DE6}" name="Sep Opp./Risk" dataDxfId="21" dataCellStyle="Comma">
      <calculatedColumnFormula>Financials20263[[#This Row],[Sep AC]]-Financials20263[[#This Row],[Sep FC]]</calculatedColumnFormula>
    </tableColumn>
    <tableColumn id="67" xr3:uid="{ADF406C3-7173-4813-980E-7B87D65C153C}" name="Oct Opp./Risk" dataDxfId="20" dataCellStyle="Comma">
      <calculatedColumnFormula>Financials20263[[#This Row],[Oct AC]]-Financials20263[[#This Row],[Oct FC]]</calculatedColumnFormula>
    </tableColumn>
    <tableColumn id="68" xr3:uid="{636AB1D8-3FD4-42A0-975E-52B3FA7F8493}" name="Nov Opp./Risk" dataDxfId="19" dataCellStyle="Comma">
      <calculatedColumnFormula>Financials20263[[#This Row],[Nov AC]]-Financials20263[[#This Row],[Nov FC]]</calculatedColumnFormula>
    </tableColumn>
    <tableColumn id="69" xr3:uid="{CFD742A6-574D-4723-AAC1-62CB4F69D985}" name="Dec Opp./Risk" dataDxfId="18" dataCellStyle="Comma">
      <calculatedColumnFormula>Financials20263[[#This Row],[Dec AC]]-Financials20263[[#This Row],[Dec FC]]</calculatedColumnFormula>
    </tableColumn>
    <tableColumn id="76" xr3:uid="{90F33527-CC5D-4F93-BE20-F67E6D4714B4}" name="Total Opp./Risk" dataDxfId="17" dataCellStyle="Comma">
      <calculatedColumnFormula>SUM(Financials20263[[#This Row],[Jan Opp/Risk]:[Dec Opp./Risk]])</calculatedColumnFormula>
    </tableColumn>
    <tableColumn id="45" xr3:uid="{40E9183E-CE83-4399-9E89-734953B2AD7E}" name="Notes - Swati" dataDxfId="16" dataCellStyle="Comma"/>
    <tableColumn id="57" xr3:uid="{71A027C0-CE0B-44F4-9BEA-44F1E025C29C}" name="Jan-May Actuals" dataDxfId="15" dataCellStyle="Comma">
      <calculatedColumnFormula>SUM(Financials20263[[#This Row],[Jan AC]:[May AC]])</calculatedColumnFormula>
    </tableColumn>
    <tableColumn id="8" xr3:uid="{A4CDF58C-06B8-490E-851A-3E8597DB1ABC}" name="Jan-May Forecast " dataDxfId="14">
      <calculatedColumnFormula>Financials20263[[#This Row],[2026 (Actuals + Forecast)]]-Financials20263[[#This Row],[Jan-May Actuals]]-Financials20263[[#This Row],[Jun-Dec FC]]</calculatedColumnFormula>
    </tableColumn>
    <tableColumn id="24" xr3:uid="{793354D9-A30A-4975-87DD-55AF941A43CF}" name="Forecast Jun-Dec" dataDxfId="13">
      <calculatedColumnFormula>Financials20263[[#This Row],[Jun-Dec FC]]+Financials20263[[#This Row],[Jan-May Forecast ]]</calculatedColumnFormula>
    </tableColumn>
    <tableColumn id="44" xr3:uid="{A205C803-FAD6-4776-8381-5DC72A34682B}" name="Forecast Jan-May" dataDxfId="12">
      <calculatedColumnFormula>SUM(Financials20263[[#This Row],[Jan FC]:[May FC]])</calculatedColumnFormula>
    </tableColumn>
    <tableColumn id="70" xr3:uid="{DAAE9D59-198D-4744-9647-FCD523ED7658}" name="Actual+Forecast" dataDxfId="11">
      <calculatedColumnFormula>Financials20263[[#This Row],[Jan-May Actuals]]+Financials20263[[#This Row],[Forecast Jun-Dec]]</calculatedColumnFormula>
    </tableColumn>
    <tableColumn id="71" xr3:uid="{E2A7DC33-E1C7-4989-AFA3-667DE437DAE3}" name="Non-Comitted" dataDxf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E37" sqref="E37"/>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84" t="s">
        <v>537</v>
      </c>
      <c r="D1" s="184"/>
      <c r="E1" s="184"/>
      <c r="F1" s="184"/>
      <c r="J1" s="19" t="s">
        <v>39</v>
      </c>
    </row>
    <row r="2" spans="1:10" x14ac:dyDescent="0.3">
      <c r="C2" s="184"/>
      <c r="D2" s="184"/>
      <c r="E2" s="184"/>
      <c r="F2" s="184"/>
      <c r="J2" s="20">
        <v>44788398</v>
      </c>
    </row>
    <row r="3" spans="1:10" x14ac:dyDescent="0.3">
      <c r="A3" s="8" t="s">
        <v>88</v>
      </c>
      <c r="B3" s="16" t="s">
        <v>0</v>
      </c>
      <c r="C3" t="s">
        <v>580</v>
      </c>
      <c r="D3" s="16" t="s">
        <v>44</v>
      </c>
      <c r="E3" s="16" t="s">
        <v>45</v>
      </c>
      <c r="F3" s="16" t="s">
        <v>481</v>
      </c>
      <c r="J3" s="138">
        <f>GETPIVOTDATA("Sum of 2026 Final Budget",$A$3)-J2</f>
        <v>-4.385000467300415E-2</v>
      </c>
    </row>
    <row r="4" spans="1:10" x14ac:dyDescent="0.3">
      <c r="A4" s="9" t="s">
        <v>2</v>
      </c>
      <c r="B4" s="6">
        <v>3678567</v>
      </c>
      <c r="C4" s="6">
        <v>1686396</v>
      </c>
      <c r="D4" s="6">
        <v>129900</v>
      </c>
      <c r="E4" s="6">
        <v>-2122071</v>
      </c>
      <c r="F4" s="6">
        <v>-1992171</v>
      </c>
      <c r="J4" s="45"/>
    </row>
    <row r="5" spans="1:10" x14ac:dyDescent="0.3">
      <c r="A5" s="9" t="s">
        <v>3</v>
      </c>
      <c r="B5" s="6">
        <v>116236</v>
      </c>
      <c r="C5" s="6">
        <v>181931.40333333332</v>
      </c>
      <c r="D5" s="6">
        <v>75000</v>
      </c>
      <c r="E5" s="6">
        <v>-9304.5966666666609</v>
      </c>
      <c r="F5" s="6">
        <v>65695.403333333335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7271840</v>
      </c>
      <c r="C7" s="6">
        <v>8627695.9199999999</v>
      </c>
      <c r="D7" s="6">
        <v>2222391.92</v>
      </c>
      <c r="E7" s="6">
        <v>-866536</v>
      </c>
      <c r="F7" s="6">
        <v>1355855.92</v>
      </c>
    </row>
    <row r="8" spans="1:10" x14ac:dyDescent="0.3">
      <c r="A8" s="9" t="s">
        <v>5</v>
      </c>
      <c r="B8" s="6">
        <v>2751491.34</v>
      </c>
      <c r="C8" s="6">
        <v>2735863.81</v>
      </c>
      <c r="D8" s="6">
        <v>247000</v>
      </c>
      <c r="E8" s="6">
        <v>-262627.53000000003</v>
      </c>
      <c r="F8" s="6">
        <v>-15627.529999999999</v>
      </c>
    </row>
    <row r="9" spans="1:10" x14ac:dyDescent="0.3">
      <c r="A9" s="9" t="s">
        <v>6</v>
      </c>
      <c r="B9" s="6">
        <v>2229219</v>
      </c>
      <c r="C9" s="6">
        <v>2213509.2200000002</v>
      </c>
      <c r="D9" s="6">
        <v>16289.699999999993</v>
      </c>
      <c r="E9" s="6">
        <v>-31999.47999999969</v>
      </c>
      <c r="F9" s="6">
        <v>-15709.779999999697</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45235541.13356667</v>
      </c>
      <c r="D11" s="6">
        <v>4195926.8775666654</v>
      </c>
      <c r="E11" s="6">
        <v>-3748783.7001499985</v>
      </c>
      <c r="F11" s="6">
        <v>447143.17741666653</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8" t="s">
        <v>511</v>
      </c>
      <c r="B25" s="99">
        <f>B11/1000000</f>
        <v>44.788397956149993</v>
      </c>
      <c r="C25" s="100">
        <f t="shared" ref="C25:F25" si="0">C11/1000000</f>
        <v>45.23554113356667</v>
      </c>
      <c r="D25" s="100">
        <f t="shared" si="0"/>
        <v>4.1959268775666656</v>
      </c>
      <c r="E25" s="100">
        <f t="shared" si="0"/>
        <v>-3.7487837001499984</v>
      </c>
      <c r="F25" s="100">
        <f t="shared" si="0"/>
        <v>0.44714317741666654</v>
      </c>
    </row>
    <row r="26" spans="1:6" x14ac:dyDescent="0.3">
      <c r="B26" s="43"/>
      <c r="C26" s="43"/>
      <c r="D26" s="43"/>
      <c r="E26" s="43"/>
      <c r="F26" s="43"/>
    </row>
    <row r="27" spans="1:6" x14ac:dyDescent="0.3">
      <c r="A27" s="8" t="s">
        <v>42</v>
      </c>
      <c r="B27" t="s">
        <v>43</v>
      </c>
      <c r="C27" s="185" t="s">
        <v>538</v>
      </c>
      <c r="D27" s="185"/>
      <c r="E27" s="185"/>
    </row>
    <row r="28" spans="1:6" x14ac:dyDescent="0.3">
      <c r="C28" s="185"/>
      <c r="D28" s="185"/>
      <c r="E28" s="185"/>
    </row>
    <row r="29" spans="1:6" x14ac:dyDescent="0.3">
      <c r="C29" s="8" t="s">
        <v>488</v>
      </c>
    </row>
    <row r="30" spans="1:6" ht="28.8" x14ac:dyDescent="0.3">
      <c r="A30" s="101" t="s">
        <v>54</v>
      </c>
      <c r="B30" s="101" t="s">
        <v>47</v>
      </c>
      <c r="C30" s="102" t="s">
        <v>0</v>
      </c>
      <c r="D30" s="102" t="s">
        <v>536</v>
      </c>
      <c r="E30" s="103" t="s">
        <v>481</v>
      </c>
    </row>
    <row r="31" spans="1:6" x14ac:dyDescent="0.3">
      <c r="A31" t="s">
        <v>48</v>
      </c>
      <c r="C31" s="96">
        <v>9728294.5971499998</v>
      </c>
      <c r="D31" s="96">
        <v>4972139.854166666</v>
      </c>
      <c r="E31" s="96">
        <v>591020.90284999984</v>
      </c>
    </row>
    <row r="32" spans="1:6" x14ac:dyDescent="0.3">
      <c r="A32" t="s">
        <v>49</v>
      </c>
      <c r="C32" s="96">
        <v>14299443.790000001</v>
      </c>
      <c r="D32" s="96">
        <v>6208235.1634000018</v>
      </c>
      <c r="E32" s="96">
        <v>477861.89890000061</v>
      </c>
    </row>
    <row r="33" spans="1:6" x14ac:dyDescent="0.3">
      <c r="A33" t="s">
        <v>50</v>
      </c>
      <c r="C33" s="96">
        <v>13152468.5</v>
      </c>
      <c r="D33" s="96">
        <v>9518331.629999999</v>
      </c>
      <c r="E33" s="96">
        <v>-258807.14666666748</v>
      </c>
    </row>
    <row r="34" spans="1:6" x14ac:dyDescent="0.3">
      <c r="A34" t="s">
        <v>51</v>
      </c>
      <c r="C34" s="96">
        <v>1752990.7</v>
      </c>
      <c r="D34" s="96">
        <v>442226.75</v>
      </c>
      <c r="E34" s="96">
        <v>-231959.7</v>
      </c>
    </row>
    <row r="35" spans="1:6" x14ac:dyDescent="0.3">
      <c r="A35" t="s">
        <v>52</v>
      </c>
      <c r="C35" s="96">
        <v>1785617.7549999999</v>
      </c>
      <c r="D35" s="96">
        <v>915338.64000000013</v>
      </c>
      <c r="E35" s="96">
        <v>-6029.0883333333768</v>
      </c>
    </row>
    <row r="36" spans="1:6" x14ac:dyDescent="0.3">
      <c r="A36" t="s">
        <v>53</v>
      </c>
      <c r="C36" s="96">
        <v>2627635.6140000001</v>
      </c>
      <c r="D36" s="96">
        <v>973665.95000000007</v>
      </c>
      <c r="E36" s="96">
        <v>-124943.29933333333</v>
      </c>
    </row>
    <row r="37" spans="1:6" x14ac:dyDescent="0.3">
      <c r="A37" t="s">
        <v>8</v>
      </c>
      <c r="C37" s="96">
        <v>43346450.95615001</v>
      </c>
      <c r="D37" s="96">
        <v>23029937.987566669</v>
      </c>
      <c r="E37" s="96">
        <v>447143.56741666648</v>
      </c>
      <c r="F37" s="96"/>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3" customWidth="1"/>
    <col min="10" max="10" width="27.77734375" style="102" customWidth="1"/>
  </cols>
  <sheetData>
    <row r="1" spans="1:15" x14ac:dyDescent="0.3">
      <c r="A1" s="147" t="s">
        <v>543</v>
      </c>
      <c r="B1" s="148" t="s">
        <v>54</v>
      </c>
      <c r="C1" s="148" t="s">
        <v>55</v>
      </c>
      <c r="D1" s="148" t="s">
        <v>97</v>
      </c>
      <c r="E1" s="148" t="s">
        <v>660</v>
      </c>
      <c r="F1" s="148" t="s">
        <v>661</v>
      </c>
      <c r="G1" s="148" t="s">
        <v>475</v>
      </c>
      <c r="H1" s="148" t="s">
        <v>662</v>
      </c>
      <c r="I1" s="149" t="s">
        <v>544</v>
      </c>
      <c r="J1" s="150" t="s">
        <v>545</v>
      </c>
    </row>
    <row r="2" spans="1:15" ht="43.2" hidden="1" outlineLevel="2" x14ac:dyDescent="0.3">
      <c r="A2" s="151" t="s">
        <v>2</v>
      </c>
      <c r="B2" s="152" t="s">
        <v>48</v>
      </c>
      <c r="C2" s="152" t="s">
        <v>181</v>
      </c>
      <c r="D2" s="153">
        <v>250000</v>
      </c>
      <c r="E2" s="153">
        <v>0</v>
      </c>
      <c r="F2" s="153">
        <v>152500</v>
      </c>
      <c r="G2" s="153">
        <f>E2+F2</f>
        <v>152500</v>
      </c>
      <c r="H2" s="153">
        <f>G2-D2</f>
        <v>-97500</v>
      </c>
      <c r="I2" s="154" t="s">
        <v>663</v>
      </c>
      <c r="J2" s="155" t="s">
        <v>546</v>
      </c>
      <c r="M2" s="150" t="s">
        <v>545</v>
      </c>
      <c r="N2" s="149" t="s">
        <v>544</v>
      </c>
      <c r="O2" s="150" t="s">
        <v>545</v>
      </c>
    </row>
    <row r="3" spans="1:15" ht="57.6" hidden="1" outlineLevel="2" x14ac:dyDescent="0.3">
      <c r="A3" s="151" t="s">
        <v>2</v>
      </c>
      <c r="B3" s="152" t="s">
        <v>48</v>
      </c>
      <c r="C3" s="152" t="s">
        <v>208</v>
      </c>
      <c r="D3" s="153">
        <v>2444000</v>
      </c>
      <c r="E3" s="153">
        <v>800000</v>
      </c>
      <c r="F3" s="153">
        <v>760000</v>
      </c>
      <c r="G3" s="153">
        <f>E3+F3</f>
        <v>1560000</v>
      </c>
      <c r="H3" s="153">
        <f>G3-D3</f>
        <v>-884000</v>
      </c>
      <c r="I3" s="156" t="s">
        <v>664</v>
      </c>
      <c r="J3" s="155" t="s">
        <v>546</v>
      </c>
      <c r="M3" t="s">
        <v>158</v>
      </c>
      <c r="N3" t="s">
        <v>665</v>
      </c>
      <c r="O3" t="s">
        <v>666</v>
      </c>
    </row>
    <row r="4" spans="1:15" hidden="1" outlineLevel="1" x14ac:dyDescent="0.3">
      <c r="A4" s="157" t="s">
        <v>2</v>
      </c>
      <c r="B4" s="158" t="s">
        <v>482</v>
      </c>
      <c r="C4" s="158"/>
      <c r="D4" s="159">
        <f>SUM(D2:D3)</f>
        <v>2694000</v>
      </c>
      <c r="E4" s="159">
        <f>SUM(E2:E3)</f>
        <v>800000</v>
      </c>
      <c r="F4" s="159">
        <f>SUM(F2:F3)</f>
        <v>912500</v>
      </c>
      <c r="G4" s="159">
        <f>SUM(G2:G3)</f>
        <v>1712500</v>
      </c>
      <c r="H4" s="159">
        <f>SUM(H2:H3)</f>
        <v>-981500</v>
      </c>
      <c r="I4" s="160"/>
      <c r="J4" s="161"/>
      <c r="M4" t="s">
        <v>41</v>
      </c>
      <c r="N4" t="s">
        <v>667</v>
      </c>
      <c r="O4" t="s">
        <v>668</v>
      </c>
    </row>
    <row r="5" spans="1:15" ht="43.2" hidden="1" outlineLevel="2" x14ac:dyDescent="0.3">
      <c r="A5" s="151" t="s">
        <v>2</v>
      </c>
      <c r="B5" s="152" t="s">
        <v>50</v>
      </c>
      <c r="C5" s="152" t="s">
        <v>400</v>
      </c>
      <c r="D5" s="153">
        <v>250000</v>
      </c>
      <c r="E5" s="153">
        <v>0</v>
      </c>
      <c r="F5" s="153">
        <v>150000</v>
      </c>
      <c r="G5" s="153">
        <f>E5+F5</f>
        <v>150000</v>
      </c>
      <c r="H5" s="153">
        <f>G5-D5</f>
        <v>-100000</v>
      </c>
      <c r="I5" s="156" t="s">
        <v>669</v>
      </c>
      <c r="J5" s="155" t="s">
        <v>546</v>
      </c>
      <c r="M5" t="s">
        <v>546</v>
      </c>
      <c r="N5" t="s">
        <v>670</v>
      </c>
      <c r="O5" t="s">
        <v>671</v>
      </c>
    </row>
    <row r="6" spans="1:15" ht="28.8" hidden="1" outlineLevel="2" x14ac:dyDescent="0.3">
      <c r="A6" s="151" t="s">
        <v>2</v>
      </c>
      <c r="B6" s="152" t="s">
        <v>50</v>
      </c>
      <c r="C6" s="152" t="s">
        <v>56</v>
      </c>
      <c r="D6" s="153">
        <v>50000</v>
      </c>
      <c r="E6" s="153">
        <v>0</v>
      </c>
      <c r="F6" s="153">
        <v>0</v>
      </c>
      <c r="G6" s="153">
        <f>E6+F6</f>
        <v>0</v>
      </c>
      <c r="H6" s="153">
        <f>G6-D6</f>
        <v>-50000</v>
      </c>
      <c r="I6" s="156" t="s">
        <v>672</v>
      </c>
      <c r="J6" s="155" t="s">
        <v>546</v>
      </c>
      <c r="M6" t="s">
        <v>550</v>
      </c>
      <c r="N6" t="s">
        <v>673</v>
      </c>
      <c r="O6" t="s">
        <v>674</v>
      </c>
    </row>
    <row r="7" spans="1:15" ht="28.8" hidden="1" outlineLevel="2" x14ac:dyDescent="0.3">
      <c r="A7" s="151" t="s">
        <v>2</v>
      </c>
      <c r="B7" s="152" t="s">
        <v>50</v>
      </c>
      <c r="C7" s="152" t="s">
        <v>208</v>
      </c>
      <c r="D7" s="153">
        <v>120000</v>
      </c>
      <c r="E7" s="153">
        <v>0</v>
      </c>
      <c r="F7" s="153">
        <v>120000</v>
      </c>
      <c r="G7" s="153">
        <f>E7+F7</f>
        <v>120000</v>
      </c>
      <c r="H7" s="153">
        <f>G7-D7</f>
        <v>0</v>
      </c>
      <c r="I7" s="162" t="s">
        <v>561</v>
      </c>
      <c r="J7" s="163" t="s">
        <v>547</v>
      </c>
    </row>
    <row r="8" spans="1:15" ht="43.2" hidden="1" outlineLevel="2" x14ac:dyDescent="0.3">
      <c r="A8" s="151" t="s">
        <v>2</v>
      </c>
      <c r="B8" s="152" t="s">
        <v>50</v>
      </c>
      <c r="C8" s="152" t="s">
        <v>334</v>
      </c>
      <c r="D8" s="153">
        <v>999600</v>
      </c>
      <c r="E8" s="153">
        <v>10000</v>
      </c>
      <c r="F8" s="153">
        <v>283500</v>
      </c>
      <c r="G8" s="153">
        <f>E8+F8</f>
        <v>293500</v>
      </c>
      <c r="H8" s="153">
        <f>G8-D8</f>
        <v>-706100</v>
      </c>
      <c r="I8" s="156" t="s">
        <v>675</v>
      </c>
      <c r="J8" s="155" t="s">
        <v>546</v>
      </c>
    </row>
    <row r="9" spans="1:15" hidden="1" outlineLevel="1" x14ac:dyDescent="0.3">
      <c r="A9" s="157" t="s">
        <v>2</v>
      </c>
      <c r="B9" s="158" t="s">
        <v>484</v>
      </c>
      <c r="C9" s="158"/>
      <c r="D9" s="159">
        <f>SUM(D5:D8)</f>
        <v>1419600</v>
      </c>
      <c r="E9" s="159">
        <f>SUM(E5:E8)</f>
        <v>10000</v>
      </c>
      <c r="F9" s="159">
        <f>SUM(F5:F8)</f>
        <v>553500</v>
      </c>
      <c r="G9" s="159">
        <f>SUM(G5:G8)</f>
        <v>563500</v>
      </c>
      <c r="H9" s="159">
        <f>SUM(H5:H8)</f>
        <v>-856100</v>
      </c>
      <c r="I9" s="160"/>
      <c r="J9" s="161"/>
    </row>
    <row r="10" spans="1:15" ht="28.8" hidden="1" outlineLevel="2" x14ac:dyDescent="0.3">
      <c r="A10" s="151" t="s">
        <v>2</v>
      </c>
      <c r="B10" s="152" t="s">
        <v>51</v>
      </c>
      <c r="C10" s="152" t="s">
        <v>181</v>
      </c>
      <c r="D10" s="153">
        <v>250000</v>
      </c>
      <c r="E10" s="153">
        <v>0</v>
      </c>
      <c r="F10" s="153">
        <v>150000</v>
      </c>
      <c r="G10" s="153">
        <f>E10+F10</f>
        <v>150000</v>
      </c>
      <c r="H10" s="153">
        <f>G10-D10</f>
        <v>-100000</v>
      </c>
      <c r="I10" s="156" t="s">
        <v>676</v>
      </c>
      <c r="J10" s="155" t="s">
        <v>546</v>
      </c>
    </row>
    <row r="11" spans="1:15" hidden="1" outlineLevel="1" x14ac:dyDescent="0.3">
      <c r="A11" s="157" t="s">
        <v>2</v>
      </c>
      <c r="B11" s="158" t="s">
        <v>485</v>
      </c>
      <c r="C11" s="158"/>
      <c r="D11" s="159">
        <f>SUM(D10:D10)</f>
        <v>250000</v>
      </c>
      <c r="E11" s="159">
        <f>SUM(E10:E10)</f>
        <v>0</v>
      </c>
      <c r="F11" s="159">
        <f>SUM(F10:F10)</f>
        <v>150000</v>
      </c>
      <c r="G11" s="159">
        <f>SUM(G10:G10)</f>
        <v>150000</v>
      </c>
      <c r="H11" s="159">
        <f>SUM(H10:H10)</f>
        <v>-100000</v>
      </c>
      <c r="I11" s="160"/>
      <c r="J11" s="161"/>
    </row>
    <row r="12" spans="1:15" ht="28.8" hidden="1" outlineLevel="2" x14ac:dyDescent="0.3">
      <c r="A12" s="151" t="s">
        <v>2</v>
      </c>
      <c r="B12" s="152" t="s">
        <v>53</v>
      </c>
      <c r="C12" s="152" t="s">
        <v>400</v>
      </c>
      <c r="D12" s="153">
        <v>12896</v>
      </c>
      <c r="E12" s="153">
        <v>0</v>
      </c>
      <c r="F12" s="153">
        <v>12896</v>
      </c>
      <c r="G12" s="153">
        <f>E12+F12</f>
        <v>12896</v>
      </c>
      <c r="H12" s="153">
        <f>G12-D12</f>
        <v>0</v>
      </c>
      <c r="I12" s="162" t="s">
        <v>677</v>
      </c>
      <c r="J12" s="163" t="s">
        <v>547</v>
      </c>
    </row>
    <row r="13" spans="1:15" ht="43.2" hidden="1" outlineLevel="2" x14ac:dyDescent="0.3">
      <c r="A13" s="151" t="s">
        <v>2</v>
      </c>
      <c r="B13" s="152" t="s">
        <v>53</v>
      </c>
      <c r="C13" s="152" t="s">
        <v>181</v>
      </c>
      <c r="D13" s="153">
        <v>100000</v>
      </c>
      <c r="E13" s="153">
        <v>0</v>
      </c>
      <c r="F13" s="153">
        <v>0</v>
      </c>
      <c r="G13" s="153">
        <f>E13+F13</f>
        <v>0</v>
      </c>
      <c r="H13" s="153">
        <f>G13-D13</f>
        <v>-100000</v>
      </c>
      <c r="I13" s="156" t="s">
        <v>678</v>
      </c>
      <c r="J13" s="155" t="s">
        <v>546</v>
      </c>
    </row>
    <row r="14" spans="1:15" hidden="1" outlineLevel="1" x14ac:dyDescent="0.3">
      <c r="A14" s="157" t="s">
        <v>2</v>
      </c>
      <c r="B14" s="158" t="s">
        <v>487</v>
      </c>
      <c r="C14" s="158"/>
      <c r="D14" s="159">
        <f>SUM(D12:D13)</f>
        <v>112896</v>
      </c>
      <c r="E14" s="159">
        <f>SUM(E12:E13)</f>
        <v>0</v>
      </c>
      <c r="F14" s="159">
        <f>SUM(F12:F13)</f>
        <v>12896</v>
      </c>
      <c r="G14" s="159">
        <f>SUM(G12:G13)</f>
        <v>12896</v>
      </c>
      <c r="H14" s="159">
        <f>SUM(H12:H13)</f>
        <v>-100000</v>
      </c>
      <c r="I14" s="160"/>
      <c r="J14" s="161"/>
    </row>
    <row r="15" spans="1:15" hidden="1" collapsed="1" x14ac:dyDescent="0.3">
      <c r="A15" s="164" t="s">
        <v>548</v>
      </c>
      <c r="B15" s="165"/>
      <c r="C15" s="165"/>
      <c r="D15" s="166">
        <f>SUM(D4,D9,D11,D14)</f>
        <v>4476496</v>
      </c>
      <c r="E15" s="166">
        <f>SUM(E4,E9,E11,E14)</f>
        <v>810000</v>
      </c>
      <c r="F15" s="166">
        <f>SUM(F4,F9,F11,F14)</f>
        <v>1628896</v>
      </c>
      <c r="G15" s="166">
        <f>SUM(G4,G9,G11,G14)</f>
        <v>2438896</v>
      </c>
      <c r="H15" s="166">
        <f>SUM(H4,H9,H11,H14)</f>
        <v>-2037600</v>
      </c>
      <c r="I15" s="160"/>
      <c r="J15" s="161"/>
    </row>
    <row r="16" spans="1:15" ht="28.8" outlineLevel="2" x14ac:dyDescent="0.3">
      <c r="A16" s="151" t="s">
        <v>3</v>
      </c>
      <c r="B16" s="152" t="s">
        <v>48</v>
      </c>
      <c r="C16" s="152" t="s">
        <v>70</v>
      </c>
      <c r="D16" s="153">
        <v>81590</v>
      </c>
      <c r="E16" s="153">
        <v>0</v>
      </c>
      <c r="F16" s="153">
        <v>81590</v>
      </c>
      <c r="G16" s="153">
        <f>E16+F16</f>
        <v>81590</v>
      </c>
      <c r="H16" s="153">
        <f>G16-D16</f>
        <v>0</v>
      </c>
      <c r="I16" s="162" t="s">
        <v>677</v>
      </c>
      <c r="J16" s="163" t="s">
        <v>547</v>
      </c>
    </row>
    <row r="17" spans="1:10" hidden="1" outlineLevel="1" x14ac:dyDescent="0.3">
      <c r="A17" s="157" t="s">
        <v>3</v>
      </c>
      <c r="B17" s="158" t="s">
        <v>482</v>
      </c>
      <c r="C17" s="158"/>
      <c r="D17" s="159">
        <f>SUM(D16:D16)</f>
        <v>81590</v>
      </c>
      <c r="E17" s="159">
        <f>SUM(E16:E16)</f>
        <v>0</v>
      </c>
      <c r="F17" s="159">
        <f>SUM(F16:F16)</f>
        <v>81590</v>
      </c>
      <c r="G17" s="159">
        <f>SUM(G16:G16)</f>
        <v>81590</v>
      </c>
      <c r="H17" s="159">
        <f>SUM(H16:H16)</f>
        <v>0</v>
      </c>
      <c r="I17" s="160"/>
      <c r="J17" s="161"/>
    </row>
    <row r="18" spans="1:10" ht="43.2" hidden="1" outlineLevel="2" x14ac:dyDescent="0.3">
      <c r="A18" s="151" t="s">
        <v>3</v>
      </c>
      <c r="B18" s="152" t="s">
        <v>49</v>
      </c>
      <c r="C18" s="152" t="s">
        <v>57</v>
      </c>
      <c r="D18" s="153">
        <v>34646</v>
      </c>
      <c r="E18" s="153">
        <v>2244.52</v>
      </c>
      <c r="F18" s="153">
        <v>98097.333333333343</v>
      </c>
      <c r="G18" s="153">
        <f>E18+F18</f>
        <v>100341.85333333335</v>
      </c>
      <c r="H18" s="153">
        <f>G18-D18</f>
        <v>65695.853333333347</v>
      </c>
      <c r="I18" s="167" t="s">
        <v>679</v>
      </c>
      <c r="J18" s="168" t="s">
        <v>41</v>
      </c>
    </row>
    <row r="19" spans="1:10" ht="43.2" outlineLevel="2" x14ac:dyDescent="0.3">
      <c r="A19" s="151" t="s">
        <v>3</v>
      </c>
      <c r="B19" s="152" t="s">
        <v>49</v>
      </c>
      <c r="C19" s="152" t="s">
        <v>70</v>
      </c>
      <c r="D19" s="153">
        <v>0</v>
      </c>
      <c r="E19" s="153">
        <v>20698.550000000003</v>
      </c>
      <c r="F19" s="153">
        <v>0</v>
      </c>
      <c r="G19" s="153">
        <f>E19+F19</f>
        <v>20698.550000000003</v>
      </c>
      <c r="H19" s="153">
        <f>G19-D19</f>
        <v>20698.550000000003</v>
      </c>
      <c r="I19" s="167" t="s">
        <v>680</v>
      </c>
      <c r="J19" s="168" t="s">
        <v>41</v>
      </c>
    </row>
    <row r="20" spans="1:10" hidden="1" outlineLevel="1" x14ac:dyDescent="0.3">
      <c r="A20" s="157" t="s">
        <v>3</v>
      </c>
      <c r="B20" s="158" t="s">
        <v>483</v>
      </c>
      <c r="C20" s="158"/>
      <c r="D20" s="159">
        <f>SUM(D18:D19)</f>
        <v>34646</v>
      </c>
      <c r="E20" s="159">
        <f>SUM(E18:E19)</f>
        <v>22943.070000000003</v>
      </c>
      <c r="F20" s="159">
        <f>SUM(F18:F19)</f>
        <v>98097.333333333343</v>
      </c>
      <c r="G20" s="159">
        <f>SUM(G18:G19)</f>
        <v>121040.40333333335</v>
      </c>
      <c r="H20" s="159">
        <f>SUM(H18:H19)</f>
        <v>86394.40333333335</v>
      </c>
      <c r="I20" s="160"/>
      <c r="J20" s="161"/>
    </row>
    <row r="21" spans="1:10" hidden="1" x14ac:dyDescent="0.3">
      <c r="A21" s="164" t="s">
        <v>549</v>
      </c>
      <c r="B21" s="165"/>
      <c r="C21" s="165"/>
      <c r="D21" s="166">
        <f>SUM(D17,D20)</f>
        <v>116236</v>
      </c>
      <c r="E21" s="166">
        <f>SUM(E17,E20)</f>
        <v>22943.070000000003</v>
      </c>
      <c r="F21" s="166">
        <f>SUM(F17,F20)</f>
        <v>179687.33333333334</v>
      </c>
      <c r="G21" s="166">
        <f>SUM(G17,G20)</f>
        <v>202630.40333333335</v>
      </c>
      <c r="H21" s="166">
        <f>SUM(H17,H20)</f>
        <v>86394.40333333335</v>
      </c>
      <c r="I21" s="160"/>
      <c r="J21" s="161"/>
    </row>
    <row r="22" spans="1:10" ht="28.8" hidden="1" outlineLevel="2" x14ac:dyDescent="0.3">
      <c r="A22" s="151" t="s">
        <v>4</v>
      </c>
      <c r="B22" s="152" t="s">
        <v>49</v>
      </c>
      <c r="C22" s="152" t="s">
        <v>58</v>
      </c>
      <c r="D22" s="153">
        <v>36345</v>
      </c>
      <c r="E22" s="153">
        <v>9883.380000000001</v>
      </c>
      <c r="F22" s="153">
        <v>27258.750000000004</v>
      </c>
      <c r="G22" s="153">
        <f t="shared" ref="G22:G37" si="0">E22+F22</f>
        <v>37142.130000000005</v>
      </c>
      <c r="H22" s="153">
        <f t="shared" ref="H22:H37" si="1">G22-D22</f>
        <v>797.13000000000466</v>
      </c>
      <c r="I22" s="162" t="s">
        <v>681</v>
      </c>
      <c r="J22" s="163" t="s">
        <v>547</v>
      </c>
    </row>
    <row r="23" spans="1:10" ht="28.8" hidden="1" outlineLevel="2" x14ac:dyDescent="0.3">
      <c r="A23" s="151" t="s">
        <v>4</v>
      </c>
      <c r="B23" s="152" t="s">
        <v>49</v>
      </c>
      <c r="C23" s="152" t="s">
        <v>59</v>
      </c>
      <c r="D23" s="153">
        <v>4230</v>
      </c>
      <c r="E23" s="153">
        <v>1861.8799999999999</v>
      </c>
      <c r="F23" s="153">
        <v>2465</v>
      </c>
      <c r="G23" s="153">
        <f t="shared" si="0"/>
        <v>4326.88</v>
      </c>
      <c r="H23" s="153">
        <f t="shared" si="1"/>
        <v>96.880000000000109</v>
      </c>
      <c r="I23" s="162" t="s">
        <v>681</v>
      </c>
      <c r="J23" s="163" t="s">
        <v>547</v>
      </c>
    </row>
    <row r="24" spans="1:10" ht="28.8" hidden="1" outlineLevel="2" x14ac:dyDescent="0.3">
      <c r="A24" s="151" t="s">
        <v>4</v>
      </c>
      <c r="B24" s="152" t="s">
        <v>49</v>
      </c>
      <c r="C24" s="152" t="s">
        <v>60</v>
      </c>
      <c r="D24" s="153">
        <v>2863</v>
      </c>
      <c r="E24" s="153">
        <v>0</v>
      </c>
      <c r="F24" s="153">
        <v>2863</v>
      </c>
      <c r="G24" s="153">
        <f t="shared" si="0"/>
        <v>2863</v>
      </c>
      <c r="H24" s="153">
        <f t="shared" si="1"/>
        <v>0</v>
      </c>
      <c r="I24" s="162" t="s">
        <v>681</v>
      </c>
      <c r="J24" s="163" t="s">
        <v>547</v>
      </c>
    </row>
    <row r="25" spans="1:10" ht="28.8" hidden="1" outlineLevel="2" x14ac:dyDescent="0.3">
      <c r="A25" s="151" t="s">
        <v>4</v>
      </c>
      <c r="B25" s="152" t="s">
        <v>49</v>
      </c>
      <c r="C25" s="152" t="s">
        <v>57</v>
      </c>
      <c r="D25" s="153">
        <v>180000</v>
      </c>
      <c r="E25" s="153">
        <v>55025.7</v>
      </c>
      <c r="F25" s="153">
        <v>110075</v>
      </c>
      <c r="G25" s="153">
        <f t="shared" si="0"/>
        <v>165100.70000000001</v>
      </c>
      <c r="H25" s="153">
        <f t="shared" si="1"/>
        <v>-14899.299999999988</v>
      </c>
      <c r="I25" s="156" t="s">
        <v>682</v>
      </c>
      <c r="J25" s="155" t="s">
        <v>546</v>
      </c>
    </row>
    <row r="26" spans="1:10" ht="43.2" hidden="1" outlineLevel="2" x14ac:dyDescent="0.3">
      <c r="A26" s="151" t="s">
        <v>4</v>
      </c>
      <c r="B26" s="152" t="s">
        <v>49</v>
      </c>
      <c r="C26" s="152" t="s">
        <v>61</v>
      </c>
      <c r="D26" s="153">
        <v>1674</v>
      </c>
      <c r="E26" s="153">
        <v>0</v>
      </c>
      <c r="F26" s="153">
        <v>0</v>
      </c>
      <c r="G26" s="153">
        <f t="shared" si="0"/>
        <v>0</v>
      </c>
      <c r="H26" s="153">
        <f t="shared" si="1"/>
        <v>-1674</v>
      </c>
      <c r="I26" s="156" t="s">
        <v>683</v>
      </c>
      <c r="J26" s="155" t="s">
        <v>158</v>
      </c>
    </row>
    <row r="27" spans="1:10" ht="28.8" hidden="1" outlineLevel="2" x14ac:dyDescent="0.3">
      <c r="A27" s="151" t="s">
        <v>4</v>
      </c>
      <c r="B27" s="152" t="s">
        <v>49</v>
      </c>
      <c r="C27" s="152" t="s">
        <v>62</v>
      </c>
      <c r="D27" s="153">
        <v>7043</v>
      </c>
      <c r="E27" s="153">
        <v>3133.6658999999995</v>
      </c>
      <c r="F27" s="153">
        <v>4108</v>
      </c>
      <c r="G27" s="153">
        <f t="shared" si="0"/>
        <v>7241.6659</v>
      </c>
      <c r="H27" s="153">
        <f t="shared" si="1"/>
        <v>198.66589999999997</v>
      </c>
      <c r="I27" s="162" t="s">
        <v>681</v>
      </c>
      <c r="J27" s="163" t="s">
        <v>547</v>
      </c>
    </row>
    <row r="28" spans="1:10" ht="28.8" hidden="1" outlineLevel="2" x14ac:dyDescent="0.3">
      <c r="A28" s="151" t="s">
        <v>4</v>
      </c>
      <c r="B28" s="152" t="s">
        <v>49</v>
      </c>
      <c r="C28" s="152" t="s">
        <v>63</v>
      </c>
      <c r="D28" s="153">
        <v>35314</v>
      </c>
      <c r="E28" s="153">
        <v>15103.55</v>
      </c>
      <c r="F28" s="153">
        <v>20599</v>
      </c>
      <c r="G28" s="153">
        <f t="shared" si="0"/>
        <v>35702.550000000003</v>
      </c>
      <c r="H28" s="153">
        <f t="shared" si="1"/>
        <v>388.55000000000291</v>
      </c>
      <c r="I28" s="162" t="s">
        <v>681</v>
      </c>
      <c r="J28" s="163" t="s">
        <v>547</v>
      </c>
    </row>
    <row r="29" spans="1:10" ht="28.8" hidden="1" outlineLevel="2" x14ac:dyDescent="0.3">
      <c r="A29" s="151" t="s">
        <v>4</v>
      </c>
      <c r="B29" s="152" t="s">
        <v>49</v>
      </c>
      <c r="C29" s="152" t="s">
        <v>64</v>
      </c>
      <c r="D29" s="153">
        <v>18865</v>
      </c>
      <c r="E29" s="153">
        <v>6681.98</v>
      </c>
      <c r="F29" s="153">
        <v>12829</v>
      </c>
      <c r="G29" s="153">
        <f t="shared" si="0"/>
        <v>19510.98</v>
      </c>
      <c r="H29" s="153">
        <f t="shared" si="1"/>
        <v>645.97999999999956</v>
      </c>
      <c r="I29" s="162" t="s">
        <v>681</v>
      </c>
      <c r="J29" s="163" t="s">
        <v>547</v>
      </c>
    </row>
    <row r="30" spans="1:10" ht="28.8" hidden="1" outlineLevel="2" x14ac:dyDescent="0.3">
      <c r="A30" s="151" t="s">
        <v>4</v>
      </c>
      <c r="B30" s="152" t="s">
        <v>49</v>
      </c>
      <c r="C30" s="152" t="s">
        <v>65</v>
      </c>
      <c r="D30" s="153">
        <v>25439</v>
      </c>
      <c r="E30" s="153">
        <v>10096.52</v>
      </c>
      <c r="F30" s="153">
        <v>14839.416666666664</v>
      </c>
      <c r="G30" s="153">
        <f t="shared" si="0"/>
        <v>24935.936666666665</v>
      </c>
      <c r="H30" s="153">
        <f t="shared" si="1"/>
        <v>-503.06333333333532</v>
      </c>
      <c r="I30" s="162" t="s">
        <v>681</v>
      </c>
      <c r="J30" s="163" t="s">
        <v>547</v>
      </c>
    </row>
    <row r="31" spans="1:10" ht="28.8" hidden="1" outlineLevel="2" x14ac:dyDescent="0.3">
      <c r="A31" s="151" t="s">
        <v>4</v>
      </c>
      <c r="B31" s="152" t="s">
        <v>49</v>
      </c>
      <c r="C31" s="152" t="s">
        <v>66</v>
      </c>
      <c r="D31" s="153">
        <v>34537</v>
      </c>
      <c r="E31" s="153">
        <v>13707.25</v>
      </c>
      <c r="F31" s="153">
        <v>20146.583333333332</v>
      </c>
      <c r="G31" s="153">
        <f t="shared" si="0"/>
        <v>33853.833333333328</v>
      </c>
      <c r="H31" s="153">
        <f t="shared" si="1"/>
        <v>-683.16666666667152</v>
      </c>
      <c r="I31" s="162" t="s">
        <v>681</v>
      </c>
      <c r="J31" s="163" t="s">
        <v>547</v>
      </c>
    </row>
    <row r="32" spans="1:10" ht="28.8" hidden="1" outlineLevel="2" x14ac:dyDescent="0.3">
      <c r="A32" s="151" t="s">
        <v>4</v>
      </c>
      <c r="B32" s="152" t="s">
        <v>49</v>
      </c>
      <c r="C32" s="152" t="s">
        <v>67</v>
      </c>
      <c r="D32" s="153">
        <v>7500000</v>
      </c>
      <c r="E32" s="153">
        <v>3127568.56</v>
      </c>
      <c r="F32" s="153">
        <v>4372431</v>
      </c>
      <c r="G32" s="153">
        <f t="shared" si="0"/>
        <v>7499999.5600000005</v>
      </c>
      <c r="H32" s="153">
        <f t="shared" si="1"/>
        <v>-0.43999999947845936</v>
      </c>
      <c r="I32" s="162" t="s">
        <v>681</v>
      </c>
      <c r="J32" s="163" t="s">
        <v>547</v>
      </c>
    </row>
    <row r="33" spans="1:10" ht="28.8" hidden="1" outlineLevel="2" x14ac:dyDescent="0.3">
      <c r="A33" s="151" t="s">
        <v>4</v>
      </c>
      <c r="B33" s="152" t="s">
        <v>49</v>
      </c>
      <c r="C33" s="152" t="s">
        <v>68</v>
      </c>
      <c r="D33" s="153">
        <v>52500</v>
      </c>
      <c r="E33" s="153">
        <v>0</v>
      </c>
      <c r="F33" s="153">
        <v>52500</v>
      </c>
      <c r="G33" s="153">
        <f t="shared" si="0"/>
        <v>52500</v>
      </c>
      <c r="H33" s="153">
        <f t="shared" si="1"/>
        <v>0</v>
      </c>
      <c r="I33" s="162" t="s">
        <v>681</v>
      </c>
      <c r="J33" s="163" t="s">
        <v>547</v>
      </c>
    </row>
    <row r="34" spans="1:10" ht="28.8" hidden="1" outlineLevel="2" x14ac:dyDescent="0.3">
      <c r="A34" s="151" t="s">
        <v>4</v>
      </c>
      <c r="B34" s="152" t="s">
        <v>49</v>
      </c>
      <c r="C34" s="152" t="s">
        <v>69</v>
      </c>
      <c r="D34" s="153">
        <v>3150</v>
      </c>
      <c r="E34" s="153">
        <v>3000</v>
      </c>
      <c r="F34" s="153">
        <v>0</v>
      </c>
      <c r="G34" s="153">
        <f t="shared" si="0"/>
        <v>3000</v>
      </c>
      <c r="H34" s="153">
        <f t="shared" si="1"/>
        <v>-150</v>
      </c>
      <c r="I34" s="162" t="s">
        <v>681</v>
      </c>
      <c r="J34" s="163" t="s">
        <v>547</v>
      </c>
    </row>
    <row r="35" spans="1:10" ht="28.8" hidden="1" outlineLevel="2" x14ac:dyDescent="0.3">
      <c r="A35" s="151" t="s">
        <v>4</v>
      </c>
      <c r="B35" s="152" t="s">
        <v>49</v>
      </c>
      <c r="C35" s="152" t="s">
        <v>70</v>
      </c>
      <c r="D35" s="153">
        <v>0</v>
      </c>
      <c r="E35" s="153">
        <v>139.94</v>
      </c>
      <c r="F35" s="153">
        <v>0</v>
      </c>
      <c r="G35" s="153">
        <f t="shared" si="0"/>
        <v>139.94</v>
      </c>
      <c r="H35" s="153">
        <f t="shared" si="1"/>
        <v>139.94</v>
      </c>
      <c r="I35" s="162" t="s">
        <v>681</v>
      </c>
      <c r="J35" s="163" t="s">
        <v>547</v>
      </c>
    </row>
    <row r="36" spans="1:10" ht="43.2" hidden="1" outlineLevel="2" x14ac:dyDescent="0.3">
      <c r="A36" s="151" t="s">
        <v>4</v>
      </c>
      <c r="B36" s="152" t="s">
        <v>49</v>
      </c>
      <c r="C36" s="152" t="s">
        <v>71</v>
      </c>
      <c r="D36" s="153">
        <v>421713.07500000007</v>
      </c>
      <c r="E36" s="153">
        <v>122576.03</v>
      </c>
      <c r="F36" s="153">
        <v>285316.66666666663</v>
      </c>
      <c r="G36" s="153">
        <f t="shared" si="0"/>
        <v>407892.69666666666</v>
      </c>
      <c r="H36" s="153">
        <f t="shared" si="1"/>
        <v>-13820.378333333414</v>
      </c>
      <c r="I36" s="156" t="s">
        <v>684</v>
      </c>
      <c r="J36" s="155" t="s">
        <v>546</v>
      </c>
    </row>
    <row r="37" spans="1:10" ht="28.8" hidden="1" outlineLevel="2" x14ac:dyDescent="0.3">
      <c r="A37" s="151" t="s">
        <v>4</v>
      </c>
      <c r="B37" s="152" t="s">
        <v>49</v>
      </c>
      <c r="C37" s="152" t="s">
        <v>72</v>
      </c>
      <c r="D37" s="153">
        <v>15750</v>
      </c>
      <c r="E37" s="153">
        <v>0</v>
      </c>
      <c r="F37" s="153">
        <v>15750</v>
      </c>
      <c r="G37" s="153">
        <f t="shared" si="0"/>
        <v>15750</v>
      </c>
      <c r="H37" s="153">
        <f t="shared" si="1"/>
        <v>0</v>
      </c>
      <c r="I37" s="162" t="s">
        <v>681</v>
      </c>
      <c r="J37" s="163" t="s">
        <v>547</v>
      </c>
    </row>
    <row r="38" spans="1:10" hidden="1" outlineLevel="1" x14ac:dyDescent="0.3">
      <c r="A38" s="157" t="s">
        <v>4</v>
      </c>
      <c r="B38" s="158" t="s">
        <v>483</v>
      </c>
      <c r="C38" s="158"/>
      <c r="D38" s="159">
        <f>SUM(D22:D37)</f>
        <v>8339423.0750000002</v>
      </c>
      <c r="E38" s="159">
        <f>SUM(E22:E37)</f>
        <v>3368778.4558999999</v>
      </c>
      <c r="F38" s="159">
        <f>SUM(F22:F37)</f>
        <v>4941181.416666667</v>
      </c>
      <c r="G38" s="159">
        <f>SUM(G22:G37)</f>
        <v>8309959.8725666674</v>
      </c>
      <c r="H38" s="159">
        <f>SUM(H22:H37)</f>
        <v>-29463.202433332881</v>
      </c>
      <c r="I38" s="160"/>
      <c r="J38" s="161"/>
    </row>
    <row r="39" spans="1:10" ht="28.8" hidden="1" outlineLevel="2" x14ac:dyDescent="0.3">
      <c r="A39" s="151" t="s">
        <v>4</v>
      </c>
      <c r="B39" s="152" t="s">
        <v>53</v>
      </c>
      <c r="C39" s="152" t="s">
        <v>358</v>
      </c>
      <c r="D39" s="153">
        <v>292</v>
      </c>
      <c r="E39" s="153">
        <v>0</v>
      </c>
      <c r="F39" s="153">
        <v>292</v>
      </c>
      <c r="G39" s="153">
        <f>E39+F39</f>
        <v>292</v>
      </c>
      <c r="H39" s="153">
        <f>G39-D39</f>
        <v>0</v>
      </c>
      <c r="I39" s="162" t="s">
        <v>681</v>
      </c>
      <c r="J39" s="163" t="s">
        <v>547</v>
      </c>
    </row>
    <row r="40" spans="1:10" ht="28.8" hidden="1" outlineLevel="2" x14ac:dyDescent="0.3">
      <c r="A40" s="151" t="s">
        <v>4</v>
      </c>
      <c r="B40" s="152" t="s">
        <v>53</v>
      </c>
      <c r="C40" s="152" t="s">
        <v>360</v>
      </c>
      <c r="D40" s="153">
        <v>2900</v>
      </c>
      <c r="E40" s="153">
        <v>1912.75</v>
      </c>
      <c r="F40" s="153">
        <v>987</v>
      </c>
      <c r="G40" s="153">
        <f>E40+F40</f>
        <v>2899.75</v>
      </c>
      <c r="H40" s="153">
        <f>G40-D40</f>
        <v>-0.25</v>
      </c>
      <c r="I40" s="162" t="s">
        <v>681</v>
      </c>
      <c r="J40" s="163" t="s">
        <v>547</v>
      </c>
    </row>
    <row r="41" spans="1:10" hidden="1" outlineLevel="1" collapsed="1" x14ac:dyDescent="0.3">
      <c r="A41" s="157" t="s">
        <v>4</v>
      </c>
      <c r="B41" s="158" t="s">
        <v>487</v>
      </c>
      <c r="C41" s="158"/>
      <c r="D41" s="159">
        <f>SUM(D39:D40)</f>
        <v>3192</v>
      </c>
      <c r="E41" s="159">
        <f>SUM(E39:E40)</f>
        <v>1912.75</v>
      </c>
      <c r="F41" s="159">
        <f>SUM(F39:F40)</f>
        <v>1279</v>
      </c>
      <c r="G41" s="159">
        <f>SUM(G39:G40)</f>
        <v>3191.75</v>
      </c>
      <c r="H41" s="159">
        <f>SUM(H39:H40)</f>
        <v>-0.25</v>
      </c>
      <c r="I41" s="160"/>
      <c r="J41" s="161"/>
    </row>
    <row r="42" spans="1:10" hidden="1" collapsed="1" x14ac:dyDescent="0.3">
      <c r="A42" s="164" t="s">
        <v>551</v>
      </c>
      <c r="B42" s="165"/>
      <c r="C42" s="165"/>
      <c r="D42" s="166">
        <f>SUM(D38,D41)</f>
        <v>8342615.0750000002</v>
      </c>
      <c r="E42" s="166">
        <f>SUM(E38,E41)</f>
        <v>3370691.2058999999</v>
      </c>
      <c r="F42" s="166">
        <f>SUM(F38,F41)</f>
        <v>4942460.416666667</v>
      </c>
      <c r="G42" s="166">
        <f>SUM(G38,G41)</f>
        <v>8313151.6225666674</v>
      </c>
      <c r="H42" s="166">
        <f>SUM(H38,H41)</f>
        <v>-29463.452433332881</v>
      </c>
      <c r="I42" s="160"/>
      <c r="J42" s="161"/>
    </row>
    <row r="43" spans="1:10" ht="57.6" hidden="1" outlineLevel="2" x14ac:dyDescent="0.3">
      <c r="A43" s="151" t="s">
        <v>46</v>
      </c>
      <c r="B43" s="152" t="s">
        <v>48</v>
      </c>
      <c r="C43" s="152" t="s">
        <v>73</v>
      </c>
      <c r="D43" s="153">
        <v>1438080</v>
      </c>
      <c r="E43" s="153">
        <v>638729</v>
      </c>
      <c r="F43" s="153">
        <v>838880</v>
      </c>
      <c r="G43" s="153">
        <f>E43+F43</f>
        <v>1477609</v>
      </c>
      <c r="H43" s="153">
        <f>G43-D43</f>
        <v>39529</v>
      </c>
      <c r="I43" s="156" t="s">
        <v>685</v>
      </c>
      <c r="J43" s="155" t="s">
        <v>550</v>
      </c>
    </row>
    <row r="44" spans="1:10" ht="72" hidden="1" outlineLevel="2" x14ac:dyDescent="0.3">
      <c r="A44" s="151" t="s">
        <v>46</v>
      </c>
      <c r="B44" s="152" t="s">
        <v>48</v>
      </c>
      <c r="C44" s="152" t="s">
        <v>181</v>
      </c>
      <c r="D44" s="153">
        <v>403200</v>
      </c>
      <c r="E44" s="153">
        <v>323563.92</v>
      </c>
      <c r="F44" s="153">
        <v>235200</v>
      </c>
      <c r="G44" s="153">
        <f>E44+F44</f>
        <v>558763.91999999993</v>
      </c>
      <c r="H44" s="153">
        <f>G44-D44</f>
        <v>155563.91999999993</v>
      </c>
      <c r="I44" s="105" t="s">
        <v>686</v>
      </c>
      <c r="J44" s="169" t="s">
        <v>550</v>
      </c>
    </row>
    <row r="45" spans="1:10" ht="72" hidden="1" outlineLevel="2" x14ac:dyDescent="0.3">
      <c r="A45" s="151" t="s">
        <v>46</v>
      </c>
      <c r="B45" s="152" t="s">
        <v>48</v>
      </c>
      <c r="C45" s="152" t="s">
        <v>208</v>
      </c>
      <c r="D45" s="153">
        <v>216000</v>
      </c>
      <c r="E45" s="153">
        <v>312400</v>
      </c>
      <c r="F45" s="153">
        <v>1733600</v>
      </c>
      <c r="G45" s="153">
        <f>E45+F45</f>
        <v>2046000</v>
      </c>
      <c r="H45" s="153">
        <f>G45-D45</f>
        <v>1830000</v>
      </c>
      <c r="I45" s="167" t="s">
        <v>687</v>
      </c>
      <c r="J45" s="168" t="s">
        <v>41</v>
      </c>
    </row>
    <row r="46" spans="1:10" ht="72" hidden="1" outlineLevel="2" x14ac:dyDescent="0.3">
      <c r="A46" s="151" t="s">
        <v>46</v>
      </c>
      <c r="B46" s="152" t="s">
        <v>48</v>
      </c>
      <c r="C46" s="152" t="s">
        <v>342</v>
      </c>
      <c r="D46" s="153">
        <v>940800</v>
      </c>
      <c r="E46" s="153">
        <v>718868</v>
      </c>
      <c r="F46" s="153">
        <v>763520</v>
      </c>
      <c r="G46" s="153">
        <f>E46+F46</f>
        <v>1482388</v>
      </c>
      <c r="H46" s="153">
        <f>G46-D46</f>
        <v>541588</v>
      </c>
      <c r="I46" s="167" t="s">
        <v>688</v>
      </c>
      <c r="J46" s="168" t="s">
        <v>41</v>
      </c>
    </row>
    <row r="47" spans="1:10" hidden="1" outlineLevel="1" x14ac:dyDescent="0.3">
      <c r="A47" s="157" t="s">
        <v>46</v>
      </c>
      <c r="B47" s="158" t="s">
        <v>482</v>
      </c>
      <c r="C47" s="158"/>
      <c r="D47" s="159">
        <f>SUM(D43:D46)</f>
        <v>2998080</v>
      </c>
      <c r="E47" s="159">
        <f>SUM(E43:E46)</f>
        <v>1993560.92</v>
      </c>
      <c r="F47" s="159">
        <f>SUM(F43:F46)</f>
        <v>3571200</v>
      </c>
      <c r="G47" s="159">
        <f>SUM(G43:G46)</f>
        <v>5564760.9199999999</v>
      </c>
      <c r="H47" s="159">
        <f>SUM(H43:H46)</f>
        <v>2566680.92</v>
      </c>
      <c r="I47" s="160"/>
      <c r="J47" s="161"/>
    </row>
    <row r="48" spans="1:10" ht="28.8" hidden="1" outlineLevel="2" x14ac:dyDescent="0.3">
      <c r="A48" s="151" t="s">
        <v>46</v>
      </c>
      <c r="B48" s="152" t="s">
        <v>49</v>
      </c>
      <c r="C48" s="152" t="s">
        <v>73</v>
      </c>
      <c r="D48" s="153">
        <v>414080</v>
      </c>
      <c r="E48" s="153">
        <v>182644</v>
      </c>
      <c r="F48" s="153">
        <v>174080</v>
      </c>
      <c r="G48" s="153">
        <f>E48+F48</f>
        <v>356724</v>
      </c>
      <c r="H48" s="153">
        <f>G48-D48</f>
        <v>-57356</v>
      </c>
      <c r="I48" s="156" t="s">
        <v>689</v>
      </c>
      <c r="J48" s="155" t="s">
        <v>546</v>
      </c>
    </row>
    <row r="49" spans="1:10" hidden="1" outlineLevel="1" x14ac:dyDescent="0.3">
      <c r="A49" s="157" t="s">
        <v>46</v>
      </c>
      <c r="B49" s="158" t="s">
        <v>483</v>
      </c>
      <c r="C49" s="158"/>
      <c r="D49" s="159">
        <f>SUM(D48:D48)</f>
        <v>414080</v>
      </c>
      <c r="E49" s="159">
        <f>SUM(E48:E48)</f>
        <v>182644</v>
      </c>
      <c r="F49" s="159">
        <f>SUM(F48:F48)</f>
        <v>174080</v>
      </c>
      <c r="G49" s="159">
        <f>SUM(G48:G48)</f>
        <v>356724</v>
      </c>
      <c r="H49" s="159">
        <f>SUM(H48:H48)</f>
        <v>-57356</v>
      </c>
      <c r="I49" s="160"/>
      <c r="J49" s="161"/>
    </row>
    <row r="50" spans="1:10" ht="72" hidden="1" outlineLevel="2" x14ac:dyDescent="0.3">
      <c r="A50" s="151" t="s">
        <v>46</v>
      </c>
      <c r="B50" s="152" t="s">
        <v>50</v>
      </c>
      <c r="C50" s="152" t="s">
        <v>73</v>
      </c>
      <c r="D50" s="153">
        <v>1505280</v>
      </c>
      <c r="E50" s="153">
        <v>527296</v>
      </c>
      <c r="F50" s="153">
        <v>641480</v>
      </c>
      <c r="G50" s="153">
        <f>E50+F50</f>
        <v>1168776</v>
      </c>
      <c r="H50" s="153">
        <f>G50-D50</f>
        <v>-336504</v>
      </c>
      <c r="I50" s="156" t="s">
        <v>690</v>
      </c>
      <c r="J50" s="155" t="s">
        <v>546</v>
      </c>
    </row>
    <row r="51" spans="1:10" ht="43.2" hidden="1" outlineLevel="2" x14ac:dyDescent="0.3">
      <c r="A51" s="151" t="s">
        <v>46</v>
      </c>
      <c r="B51" s="152" t="s">
        <v>50</v>
      </c>
      <c r="C51" s="152" t="s">
        <v>181</v>
      </c>
      <c r="D51" s="153">
        <v>252000</v>
      </c>
      <c r="E51" s="153">
        <v>97650</v>
      </c>
      <c r="F51" s="153">
        <v>147000</v>
      </c>
      <c r="G51" s="153">
        <f>E51+F51</f>
        <v>244650</v>
      </c>
      <c r="H51" s="153">
        <f>G51-D51</f>
        <v>-7350</v>
      </c>
      <c r="I51" s="156" t="s">
        <v>691</v>
      </c>
      <c r="J51" s="155" t="s">
        <v>546</v>
      </c>
    </row>
    <row r="52" spans="1:10" hidden="1" outlineLevel="1" x14ac:dyDescent="0.3">
      <c r="A52" s="157" t="s">
        <v>46</v>
      </c>
      <c r="B52" s="158" t="s">
        <v>484</v>
      </c>
      <c r="C52" s="158"/>
      <c r="D52" s="159">
        <f>SUM(D50:D51)</f>
        <v>1757280</v>
      </c>
      <c r="E52" s="159">
        <f>SUM(E50:E51)</f>
        <v>624946</v>
      </c>
      <c r="F52" s="159">
        <f>SUM(F50:F51)</f>
        <v>788480</v>
      </c>
      <c r="G52" s="159">
        <f>SUM(G50:G51)</f>
        <v>1413426</v>
      </c>
      <c r="H52" s="159">
        <f>SUM(H50:H51)</f>
        <v>-343854</v>
      </c>
      <c r="I52" s="160"/>
      <c r="J52" s="161"/>
    </row>
    <row r="53" spans="1:10" ht="57.6" hidden="1" outlineLevel="2" x14ac:dyDescent="0.3">
      <c r="A53" s="151" t="s">
        <v>46</v>
      </c>
      <c r="B53" s="152" t="s">
        <v>51</v>
      </c>
      <c r="C53" s="152" t="s">
        <v>181</v>
      </c>
      <c r="D53" s="153">
        <v>830400</v>
      </c>
      <c r="E53" s="153">
        <v>153040</v>
      </c>
      <c r="F53" s="153">
        <v>398400</v>
      </c>
      <c r="G53" s="153">
        <f>E53+F53</f>
        <v>551440</v>
      </c>
      <c r="H53" s="153">
        <f>G53-D53</f>
        <v>-278960</v>
      </c>
      <c r="I53" s="156" t="s">
        <v>692</v>
      </c>
      <c r="J53" s="155" t="s">
        <v>546</v>
      </c>
    </row>
    <row r="54" spans="1:10" hidden="1" outlineLevel="1" x14ac:dyDescent="0.3">
      <c r="A54" s="157" t="s">
        <v>46</v>
      </c>
      <c r="B54" s="158" t="s">
        <v>485</v>
      </c>
      <c r="C54" s="158"/>
      <c r="D54" s="159">
        <f>SUM(D53:D53)</f>
        <v>830400</v>
      </c>
      <c r="E54" s="159">
        <f>SUM(E53:E53)</f>
        <v>153040</v>
      </c>
      <c r="F54" s="159">
        <f>SUM(F53:F53)</f>
        <v>398400</v>
      </c>
      <c r="G54" s="159">
        <f>SUM(G53:G53)</f>
        <v>551440</v>
      </c>
      <c r="H54" s="159">
        <f>SUM(H53:H53)</f>
        <v>-278960</v>
      </c>
      <c r="I54" s="160"/>
      <c r="J54" s="161"/>
    </row>
    <row r="55" spans="1:10" ht="57.6" hidden="1" outlineLevel="2" x14ac:dyDescent="0.3">
      <c r="A55" s="151" t="s">
        <v>46</v>
      </c>
      <c r="B55" s="152" t="s">
        <v>53</v>
      </c>
      <c r="C55" s="152" t="s">
        <v>73</v>
      </c>
      <c r="D55" s="153">
        <v>291840</v>
      </c>
      <c r="E55" s="153">
        <v>136957</v>
      </c>
      <c r="F55" s="153">
        <v>226640</v>
      </c>
      <c r="G55" s="153">
        <f>E55+F55</f>
        <v>363597</v>
      </c>
      <c r="H55" s="153">
        <f>G55-D55</f>
        <v>71757</v>
      </c>
      <c r="I55" s="167" t="s">
        <v>693</v>
      </c>
      <c r="J55" s="168" t="s">
        <v>41</v>
      </c>
    </row>
    <row r="56" spans="1:10" ht="57.6" hidden="1" outlineLevel="2" x14ac:dyDescent="0.3">
      <c r="A56" s="151" t="s">
        <v>46</v>
      </c>
      <c r="B56" s="152" t="s">
        <v>53</v>
      </c>
      <c r="C56" s="152" t="s">
        <v>181</v>
      </c>
      <c r="D56" s="153">
        <v>161280</v>
      </c>
      <c r="E56" s="153">
        <v>46096</v>
      </c>
      <c r="F56" s="153">
        <v>38080</v>
      </c>
      <c r="G56" s="153">
        <f>E56+F56</f>
        <v>84176</v>
      </c>
      <c r="H56" s="153">
        <f>G56-D56</f>
        <v>-77104</v>
      </c>
      <c r="I56" s="156" t="s">
        <v>694</v>
      </c>
      <c r="J56" s="155" t="s">
        <v>158</v>
      </c>
    </row>
    <row r="57" spans="1:10" ht="43.2" hidden="1" outlineLevel="2" x14ac:dyDescent="0.3">
      <c r="A57" s="151" t="s">
        <v>46</v>
      </c>
      <c r="B57" s="152" t="s">
        <v>53</v>
      </c>
      <c r="C57" s="152" t="s">
        <v>185</v>
      </c>
      <c r="D57" s="153">
        <v>218880</v>
      </c>
      <c r="E57" s="153">
        <v>85892</v>
      </c>
      <c r="F57" s="153">
        <v>127680</v>
      </c>
      <c r="G57" s="153">
        <f>E57+F57</f>
        <v>213572</v>
      </c>
      <c r="H57" s="153">
        <f>G57-D57</f>
        <v>-5308</v>
      </c>
      <c r="I57" s="156" t="s">
        <v>695</v>
      </c>
      <c r="J57" s="155" t="s">
        <v>546</v>
      </c>
    </row>
    <row r="58" spans="1:10" hidden="1" outlineLevel="1" x14ac:dyDescent="0.3">
      <c r="A58" s="157" t="s">
        <v>46</v>
      </c>
      <c r="B58" s="158" t="s">
        <v>487</v>
      </c>
      <c r="C58" s="158"/>
      <c r="D58" s="159">
        <f>SUM(D55:D57)</f>
        <v>672000</v>
      </c>
      <c r="E58" s="159">
        <f>SUM(E55:E57)</f>
        <v>268945</v>
      </c>
      <c r="F58" s="159">
        <f>SUM(F55:F57)</f>
        <v>392400</v>
      </c>
      <c r="G58" s="159">
        <f>SUM(G55:G57)</f>
        <v>661345</v>
      </c>
      <c r="H58" s="159">
        <f>SUM(H55:H57)</f>
        <v>-10655</v>
      </c>
      <c r="I58" s="160"/>
      <c r="J58" s="161"/>
    </row>
    <row r="59" spans="1:10" hidden="1" collapsed="1" x14ac:dyDescent="0.3">
      <c r="A59" s="164" t="s">
        <v>552</v>
      </c>
      <c r="B59" s="165"/>
      <c r="C59" s="165"/>
      <c r="D59" s="166">
        <f>SUM(D47,D49,D52,D54,D58)</f>
        <v>6671840</v>
      </c>
      <c r="E59" s="166">
        <f>SUM(E47,E49,E52,E54,E58)</f>
        <v>3223135.92</v>
      </c>
      <c r="F59" s="166">
        <f>SUM(F47,F49,F52,F54,F58)</f>
        <v>5324560</v>
      </c>
      <c r="G59" s="166">
        <f>SUM(G47,G49,G52,G54,G58)</f>
        <v>8547695.9199999999</v>
      </c>
      <c r="H59" s="166">
        <f>SUM(H47,H49,H52,H54,H58)</f>
        <v>1875855.92</v>
      </c>
      <c r="I59" s="160"/>
      <c r="J59" s="161"/>
    </row>
    <row r="60" spans="1:10" ht="43.2" hidden="1" outlineLevel="2" x14ac:dyDescent="0.3">
      <c r="A60" s="151" t="s">
        <v>5</v>
      </c>
      <c r="B60" s="152" t="s">
        <v>48</v>
      </c>
      <c r="C60" s="152" t="s">
        <v>181</v>
      </c>
      <c r="D60" s="153">
        <v>1524552</v>
      </c>
      <c r="E60" s="153">
        <v>566480</v>
      </c>
      <c r="F60" s="153">
        <v>1044659</v>
      </c>
      <c r="G60" s="153">
        <f>E60+F60</f>
        <v>1611139</v>
      </c>
      <c r="H60" s="153">
        <f>G60-D60</f>
        <v>86587</v>
      </c>
      <c r="I60" s="170" t="s">
        <v>696</v>
      </c>
      <c r="J60" s="169" t="s">
        <v>41</v>
      </c>
    </row>
    <row r="61" spans="1:10" ht="28.8" hidden="1" outlineLevel="2" x14ac:dyDescent="0.3">
      <c r="A61" s="151" t="s">
        <v>5</v>
      </c>
      <c r="B61" s="152" t="s">
        <v>48</v>
      </c>
      <c r="C61" s="152" t="s">
        <v>208</v>
      </c>
      <c r="D61" s="153">
        <v>281039.33999999997</v>
      </c>
      <c r="E61" s="153">
        <v>111814</v>
      </c>
      <c r="F61" s="153">
        <v>165581</v>
      </c>
      <c r="G61" s="153">
        <f>E61+F61</f>
        <v>277395</v>
      </c>
      <c r="H61" s="153">
        <f>G61-D61</f>
        <v>-3644.3399999999674</v>
      </c>
      <c r="I61" s="156" t="s">
        <v>697</v>
      </c>
      <c r="J61" s="155" t="s">
        <v>546</v>
      </c>
    </row>
    <row r="62" spans="1:10" ht="43.2" hidden="1" outlineLevel="2" x14ac:dyDescent="0.3">
      <c r="A62" s="151" t="s">
        <v>5</v>
      </c>
      <c r="B62" s="152" t="s">
        <v>48</v>
      </c>
      <c r="C62" s="152" t="s">
        <v>191</v>
      </c>
      <c r="D62" s="153">
        <v>190000</v>
      </c>
      <c r="E62" s="153">
        <v>75000</v>
      </c>
      <c r="F62" s="153">
        <v>41650</v>
      </c>
      <c r="G62" s="153">
        <f>E62+F62</f>
        <v>116650</v>
      </c>
      <c r="H62" s="153">
        <f>G62-D62</f>
        <v>-73350</v>
      </c>
      <c r="I62" s="156" t="s">
        <v>698</v>
      </c>
      <c r="J62" s="155" t="s">
        <v>158</v>
      </c>
    </row>
    <row r="63" spans="1:10" hidden="1" outlineLevel="1" x14ac:dyDescent="0.3">
      <c r="A63" s="157" t="s">
        <v>5</v>
      </c>
      <c r="B63" s="158" t="s">
        <v>482</v>
      </c>
      <c r="C63" s="158"/>
      <c r="D63" s="159">
        <f>SUM(D60:D62)</f>
        <v>1995591.3399999999</v>
      </c>
      <c r="E63" s="159">
        <f>SUM(E60:E62)</f>
        <v>753294</v>
      </c>
      <c r="F63" s="159">
        <f>SUM(F60:F62)</f>
        <v>1251890</v>
      </c>
      <c r="G63" s="159">
        <f>SUM(G60:G62)</f>
        <v>2005184</v>
      </c>
      <c r="H63" s="159">
        <f>SUM(H60:H62)</f>
        <v>9592.6600000000326</v>
      </c>
      <c r="I63" s="160"/>
      <c r="J63" s="161"/>
    </row>
    <row r="64" spans="1:10" ht="43.2" hidden="1" outlineLevel="2" x14ac:dyDescent="0.3">
      <c r="A64" s="151" t="s">
        <v>5</v>
      </c>
      <c r="B64" s="152" t="s">
        <v>49</v>
      </c>
      <c r="C64" s="152" t="s">
        <v>74</v>
      </c>
      <c r="D64" s="153">
        <v>178500</v>
      </c>
      <c r="E64" s="153">
        <v>145141.29999999999</v>
      </c>
      <c r="F64" s="153">
        <v>29028.26</v>
      </c>
      <c r="G64" s="153">
        <f>E64+F64</f>
        <v>174169.56</v>
      </c>
      <c r="H64" s="153">
        <f>G64-D64</f>
        <v>-4330.4400000000023</v>
      </c>
      <c r="I64" s="156" t="s">
        <v>699</v>
      </c>
      <c r="J64" s="155" t="s">
        <v>546</v>
      </c>
    </row>
    <row r="65" spans="1:10" hidden="1" outlineLevel="1" x14ac:dyDescent="0.3">
      <c r="A65" s="157" t="s">
        <v>5</v>
      </c>
      <c r="B65" s="158" t="s">
        <v>483</v>
      </c>
      <c r="C65" s="158"/>
      <c r="D65" s="159">
        <f>SUM(D64:D64)</f>
        <v>178500</v>
      </c>
      <c r="E65" s="159">
        <f>SUM(E64:E64)</f>
        <v>145141.29999999999</v>
      </c>
      <c r="F65" s="159">
        <f>SUM(F64:F64)</f>
        <v>29028.26</v>
      </c>
      <c r="G65" s="159">
        <f>SUM(G64:G64)</f>
        <v>174169.56</v>
      </c>
      <c r="H65" s="159">
        <f>SUM(H64:H64)</f>
        <v>-4330.4400000000023</v>
      </c>
      <c r="I65" s="160"/>
      <c r="J65" s="161"/>
    </row>
    <row r="66" spans="1:10" ht="43.2" hidden="1" outlineLevel="2" x14ac:dyDescent="0.3">
      <c r="A66" s="151" t="s">
        <v>5</v>
      </c>
      <c r="B66" s="152" t="s">
        <v>50</v>
      </c>
      <c r="C66" s="152" t="s">
        <v>121</v>
      </c>
      <c r="D66" s="153">
        <v>100000</v>
      </c>
      <c r="E66" s="153">
        <v>46815</v>
      </c>
      <c r="F66" s="153">
        <v>53185</v>
      </c>
      <c r="G66" s="153">
        <f>E66+F66</f>
        <v>100000</v>
      </c>
      <c r="H66" s="153">
        <f>G66-D66</f>
        <v>0</v>
      </c>
      <c r="I66" s="162" t="s">
        <v>700</v>
      </c>
      <c r="J66" s="163" t="s">
        <v>547</v>
      </c>
    </row>
    <row r="67" spans="1:10" hidden="1" outlineLevel="1" x14ac:dyDescent="0.3">
      <c r="A67" s="157" t="s">
        <v>5</v>
      </c>
      <c r="B67" s="158" t="s">
        <v>484</v>
      </c>
      <c r="C67" s="158"/>
      <c r="D67" s="159">
        <f>SUM(D66:D66)</f>
        <v>100000</v>
      </c>
      <c r="E67" s="159">
        <f>SUM(E66:E66)</f>
        <v>46815</v>
      </c>
      <c r="F67" s="159">
        <f>SUM(F66:F66)</f>
        <v>53185</v>
      </c>
      <c r="G67" s="159">
        <f>SUM(G66:G66)</f>
        <v>100000</v>
      </c>
      <c r="H67" s="159">
        <f>SUM(H66:H66)</f>
        <v>0</v>
      </c>
      <c r="I67" s="160"/>
      <c r="J67" s="161"/>
    </row>
    <row r="68" spans="1:10" ht="57.6" hidden="1" outlineLevel="2" x14ac:dyDescent="0.3">
      <c r="A68" s="151" t="s">
        <v>5</v>
      </c>
      <c r="B68" s="152" t="s">
        <v>51</v>
      </c>
      <c r="C68" s="152" t="s">
        <v>181</v>
      </c>
      <c r="D68" s="153">
        <v>345000</v>
      </c>
      <c r="E68" s="153">
        <v>154000</v>
      </c>
      <c r="F68" s="153">
        <v>438000</v>
      </c>
      <c r="G68" s="153">
        <f>E68+F68</f>
        <v>592000</v>
      </c>
      <c r="H68" s="153">
        <f>G68-D68</f>
        <v>247000</v>
      </c>
      <c r="I68" s="106" t="s">
        <v>701</v>
      </c>
      <c r="J68" s="169" t="s">
        <v>550</v>
      </c>
    </row>
    <row r="69" spans="1:10" ht="28.8" hidden="1" outlineLevel="2" x14ac:dyDescent="0.3">
      <c r="A69" s="151" t="s">
        <v>5</v>
      </c>
      <c r="B69" s="152" t="s">
        <v>51</v>
      </c>
      <c r="C69" s="152" t="s">
        <v>208</v>
      </c>
      <c r="D69" s="153">
        <v>100000</v>
      </c>
      <c r="E69" s="153">
        <v>0</v>
      </c>
      <c r="F69" s="153">
        <v>100000</v>
      </c>
      <c r="G69" s="153">
        <f>E69+F69</f>
        <v>100000</v>
      </c>
      <c r="H69" s="153">
        <f>G69-D69</f>
        <v>0</v>
      </c>
      <c r="I69" s="162" t="s">
        <v>702</v>
      </c>
      <c r="J69" s="163" t="s">
        <v>547</v>
      </c>
    </row>
    <row r="70" spans="1:10" hidden="1" outlineLevel="1" x14ac:dyDescent="0.3">
      <c r="A70" s="157" t="s">
        <v>5</v>
      </c>
      <c r="B70" s="158" t="s">
        <v>485</v>
      </c>
      <c r="C70" s="158"/>
      <c r="D70" s="159">
        <f>SUM(D68:D69)</f>
        <v>445000</v>
      </c>
      <c r="E70" s="159">
        <f>SUM(E68:E69)</f>
        <v>154000</v>
      </c>
      <c r="F70" s="159">
        <f>SUM(F68:F69)</f>
        <v>538000</v>
      </c>
      <c r="G70" s="159">
        <f>SUM(G68:G69)</f>
        <v>692000</v>
      </c>
      <c r="H70" s="159">
        <f>SUM(H68:H69)</f>
        <v>247000</v>
      </c>
      <c r="I70" s="160"/>
      <c r="J70" s="161"/>
    </row>
    <row r="71" spans="1:10" ht="28.8" hidden="1" outlineLevel="2" x14ac:dyDescent="0.3">
      <c r="A71" s="151" t="s">
        <v>5</v>
      </c>
      <c r="B71" s="152" t="s">
        <v>53</v>
      </c>
      <c r="C71" s="152" t="s">
        <v>222</v>
      </c>
      <c r="D71" s="153">
        <v>32400</v>
      </c>
      <c r="E71" s="153">
        <v>32009.25</v>
      </c>
      <c r="F71" s="153">
        <v>0</v>
      </c>
      <c r="G71" s="153">
        <f>E71+F71</f>
        <v>32009.25</v>
      </c>
      <c r="H71" s="153">
        <f>G71-D71</f>
        <v>-390.75</v>
      </c>
      <c r="I71" s="162" t="s">
        <v>703</v>
      </c>
      <c r="J71" s="163" t="s">
        <v>158</v>
      </c>
    </row>
    <row r="72" spans="1:10" hidden="1" outlineLevel="1" x14ac:dyDescent="0.3">
      <c r="A72" s="157" t="s">
        <v>5</v>
      </c>
      <c r="B72" s="158" t="s">
        <v>487</v>
      </c>
      <c r="C72" s="158"/>
      <c r="D72" s="159">
        <f>SUM(D71:D71)</f>
        <v>32400</v>
      </c>
      <c r="E72" s="159">
        <f>SUM(E71:E71)</f>
        <v>32009.25</v>
      </c>
      <c r="F72" s="159">
        <f>SUM(F71:F71)</f>
        <v>0</v>
      </c>
      <c r="G72" s="159">
        <f>SUM(G71:G71)</f>
        <v>32009.25</v>
      </c>
      <c r="H72" s="159">
        <f>SUM(H71:H71)</f>
        <v>-390.75</v>
      </c>
      <c r="I72" s="160"/>
      <c r="J72" s="161"/>
    </row>
    <row r="73" spans="1:10" hidden="1" collapsed="1" x14ac:dyDescent="0.3">
      <c r="A73" s="164" t="s">
        <v>553</v>
      </c>
      <c r="B73" s="165"/>
      <c r="C73" s="165"/>
      <c r="D73" s="166">
        <f>SUM(D63,D65,D67,D70,D72)</f>
        <v>2751491.34</v>
      </c>
      <c r="E73" s="166">
        <f>SUM(E63,E65,E67,E70,E72)</f>
        <v>1131259.55</v>
      </c>
      <c r="F73" s="166">
        <f>SUM(F63,F65,F67,F70,F72)</f>
        <v>1872103.26</v>
      </c>
      <c r="G73" s="166">
        <f>SUM(G63,G65,G67,G70,G72)</f>
        <v>3003362.81</v>
      </c>
      <c r="H73" s="166">
        <f>SUM(H63,H65,H67,H70,H72)</f>
        <v>251871.47000000003</v>
      </c>
      <c r="I73" s="160"/>
      <c r="J73" s="161"/>
    </row>
    <row r="74" spans="1:10" ht="28.8" hidden="1" outlineLevel="2" x14ac:dyDescent="0.3">
      <c r="A74" s="151" t="s">
        <v>6</v>
      </c>
      <c r="B74" s="152" t="s">
        <v>50</v>
      </c>
      <c r="C74" s="152" t="s">
        <v>368</v>
      </c>
      <c r="D74" s="153">
        <v>4409</v>
      </c>
      <c r="E74" s="153">
        <v>4982.8</v>
      </c>
      <c r="F74" s="153">
        <v>0</v>
      </c>
      <c r="G74" s="153">
        <f t="shared" ref="G74:G79" si="2">E74+F74</f>
        <v>4982.8</v>
      </c>
      <c r="H74" s="153">
        <f t="shared" ref="H74:H79" si="3">G74-D74</f>
        <v>573.80000000000018</v>
      </c>
      <c r="I74" s="162" t="s">
        <v>704</v>
      </c>
      <c r="J74" s="163" t="s">
        <v>550</v>
      </c>
    </row>
    <row r="75" spans="1:10" ht="28.8" hidden="1" outlineLevel="2" x14ac:dyDescent="0.3">
      <c r="A75" s="151" t="s">
        <v>6</v>
      </c>
      <c r="B75" s="152" t="s">
        <v>50</v>
      </c>
      <c r="C75" s="152" t="s">
        <v>159</v>
      </c>
      <c r="D75" s="153">
        <v>14886</v>
      </c>
      <c r="E75" s="153">
        <v>5443.74</v>
      </c>
      <c r="F75" s="153">
        <v>7621.3200000000006</v>
      </c>
      <c r="G75" s="153">
        <f t="shared" si="2"/>
        <v>13065.060000000001</v>
      </c>
      <c r="H75" s="153">
        <f t="shared" si="3"/>
        <v>-1820.9399999999987</v>
      </c>
      <c r="I75" s="156" t="s">
        <v>705</v>
      </c>
      <c r="J75" s="155" t="s">
        <v>546</v>
      </c>
    </row>
    <row r="76" spans="1:10" ht="28.8" hidden="1" outlineLevel="2" x14ac:dyDescent="0.3">
      <c r="A76" s="151" t="s">
        <v>6</v>
      </c>
      <c r="B76" s="152" t="s">
        <v>50</v>
      </c>
      <c r="C76" s="152" t="s">
        <v>362</v>
      </c>
      <c r="D76" s="153">
        <v>8400</v>
      </c>
      <c r="E76" s="153">
        <v>8000</v>
      </c>
      <c r="F76" s="153">
        <v>0</v>
      </c>
      <c r="G76" s="153">
        <f t="shared" si="2"/>
        <v>8000</v>
      </c>
      <c r="H76" s="153">
        <f t="shared" si="3"/>
        <v>-400</v>
      </c>
      <c r="I76" s="162" t="s">
        <v>706</v>
      </c>
      <c r="J76" s="155" t="s">
        <v>546</v>
      </c>
    </row>
    <row r="77" spans="1:10" ht="28.8" hidden="1" outlineLevel="2" x14ac:dyDescent="0.3">
      <c r="A77" s="151" t="s">
        <v>6</v>
      </c>
      <c r="B77" s="152" t="s">
        <v>50</v>
      </c>
      <c r="C77" s="152" t="s">
        <v>478</v>
      </c>
      <c r="D77" s="153">
        <v>0</v>
      </c>
      <c r="E77" s="153">
        <v>15208</v>
      </c>
      <c r="F77" s="153">
        <v>0</v>
      </c>
      <c r="G77" s="153">
        <f t="shared" si="2"/>
        <v>15208</v>
      </c>
      <c r="H77" s="153">
        <f t="shared" si="3"/>
        <v>15208</v>
      </c>
      <c r="I77" s="167" t="s">
        <v>707</v>
      </c>
      <c r="J77" s="168" t="s">
        <v>41</v>
      </c>
    </row>
    <row r="78" spans="1:10" ht="28.8" hidden="1" outlineLevel="2" x14ac:dyDescent="0.3">
      <c r="A78" s="151" t="s">
        <v>6</v>
      </c>
      <c r="B78" s="152" t="s">
        <v>50</v>
      </c>
      <c r="C78" s="152" t="s">
        <v>371</v>
      </c>
      <c r="D78" s="153">
        <v>67470</v>
      </c>
      <c r="E78" s="153">
        <v>34242.9</v>
      </c>
      <c r="F78" s="153">
        <v>33735</v>
      </c>
      <c r="G78" s="153">
        <f t="shared" si="2"/>
        <v>67977.899999999994</v>
      </c>
      <c r="H78" s="153">
        <f t="shared" si="3"/>
        <v>507.89999999999418</v>
      </c>
      <c r="I78" s="162" t="s">
        <v>708</v>
      </c>
      <c r="J78" s="163" t="s">
        <v>550</v>
      </c>
    </row>
    <row r="79" spans="1:10" ht="28.8" hidden="1" outlineLevel="2" x14ac:dyDescent="0.3">
      <c r="A79" s="151" t="s">
        <v>6</v>
      </c>
      <c r="B79" s="152" t="s">
        <v>50</v>
      </c>
      <c r="C79" s="152" t="s">
        <v>374</v>
      </c>
      <c r="D79" s="153">
        <v>25000</v>
      </c>
      <c r="E79" s="153">
        <v>0</v>
      </c>
      <c r="F79" s="153">
        <v>25000</v>
      </c>
      <c r="G79" s="153">
        <f t="shared" si="2"/>
        <v>25000</v>
      </c>
      <c r="H79" s="153">
        <f t="shared" si="3"/>
        <v>0</v>
      </c>
      <c r="I79" s="162" t="s">
        <v>554</v>
      </c>
      <c r="J79" s="163" t="s">
        <v>547</v>
      </c>
    </row>
    <row r="80" spans="1:10" hidden="1" outlineLevel="1" x14ac:dyDescent="0.3">
      <c r="A80" s="157" t="s">
        <v>6</v>
      </c>
      <c r="B80" s="158" t="s">
        <v>484</v>
      </c>
      <c r="C80" s="158"/>
      <c r="D80" s="159">
        <f>SUM(D74:D79)</f>
        <v>120165</v>
      </c>
      <c r="E80" s="159">
        <f>SUM(E74:E79)</f>
        <v>67877.440000000002</v>
      </c>
      <c r="F80" s="159">
        <f>SUM(F74:F79)</f>
        <v>66356.320000000007</v>
      </c>
      <c r="G80" s="159">
        <f>SUM(G74:G79)</f>
        <v>134233.76</v>
      </c>
      <c r="H80" s="159">
        <f>SUM(H74:H79)</f>
        <v>14068.759999999995</v>
      </c>
      <c r="I80" s="160"/>
      <c r="J80" s="161"/>
    </row>
    <row r="81" spans="1:10" ht="28.8" hidden="1" outlineLevel="2" x14ac:dyDescent="0.3">
      <c r="A81" s="151" t="s">
        <v>6</v>
      </c>
      <c r="B81" s="152" t="s">
        <v>51</v>
      </c>
      <c r="C81" s="152" t="s">
        <v>166</v>
      </c>
      <c r="D81" s="153">
        <v>12200</v>
      </c>
      <c r="E81" s="153">
        <v>0</v>
      </c>
      <c r="F81" s="153">
        <v>12200</v>
      </c>
      <c r="G81" s="153">
        <f>E81+F81</f>
        <v>12200</v>
      </c>
      <c r="H81" s="153">
        <f>G81-D81</f>
        <v>0</v>
      </c>
      <c r="I81" s="162" t="s">
        <v>555</v>
      </c>
      <c r="J81" s="163" t="s">
        <v>547</v>
      </c>
    </row>
    <row r="82" spans="1:10" hidden="1" outlineLevel="1" x14ac:dyDescent="0.3">
      <c r="A82" s="157" t="s">
        <v>6</v>
      </c>
      <c r="B82" s="158" t="s">
        <v>485</v>
      </c>
      <c r="C82" s="158"/>
      <c r="D82" s="159">
        <f>SUM(D81:D81)</f>
        <v>12200</v>
      </c>
      <c r="E82" s="159">
        <f>SUM(E81:E81)</f>
        <v>0</v>
      </c>
      <c r="F82" s="159">
        <f>SUM(F81:F81)</f>
        <v>12200</v>
      </c>
      <c r="G82" s="159">
        <f>SUM(G81:G81)</f>
        <v>12200</v>
      </c>
      <c r="H82" s="159">
        <f>SUM(H81:H81)</f>
        <v>0</v>
      </c>
      <c r="I82" s="160"/>
      <c r="J82" s="161"/>
    </row>
    <row r="83" spans="1:10" ht="28.8" hidden="1" outlineLevel="2" x14ac:dyDescent="0.3">
      <c r="A83" s="151" t="s">
        <v>6</v>
      </c>
      <c r="B83" s="152" t="s">
        <v>52</v>
      </c>
      <c r="C83" s="152" t="s">
        <v>370</v>
      </c>
      <c r="D83" s="153">
        <v>359</v>
      </c>
      <c r="E83" s="153">
        <v>0</v>
      </c>
      <c r="F83" s="153">
        <v>359</v>
      </c>
      <c r="G83" s="153">
        <f>E83+F83</f>
        <v>359</v>
      </c>
      <c r="H83" s="153">
        <f>G83-D83</f>
        <v>0</v>
      </c>
      <c r="I83" s="162" t="s">
        <v>556</v>
      </c>
      <c r="J83" s="163" t="s">
        <v>547</v>
      </c>
    </row>
    <row r="84" spans="1:10" hidden="1" outlineLevel="1" x14ac:dyDescent="0.3">
      <c r="A84" s="157" t="s">
        <v>6</v>
      </c>
      <c r="B84" s="158" t="s">
        <v>486</v>
      </c>
      <c r="C84" s="158"/>
      <c r="D84" s="159">
        <f>SUM(D83:D83)</f>
        <v>359</v>
      </c>
      <c r="E84" s="159">
        <f>SUM(E83:E83)</f>
        <v>0</v>
      </c>
      <c r="F84" s="159">
        <f>SUM(F83:F83)</f>
        <v>359</v>
      </c>
      <c r="G84" s="159">
        <f>SUM(G83:G83)</f>
        <v>359</v>
      </c>
      <c r="H84" s="159">
        <f>SUM(H83:H83)</f>
        <v>0</v>
      </c>
      <c r="I84" s="160"/>
      <c r="J84" s="161"/>
    </row>
    <row r="85" spans="1:10" ht="28.8" hidden="1" outlineLevel="2" x14ac:dyDescent="0.3">
      <c r="A85" s="151" t="s">
        <v>6</v>
      </c>
      <c r="B85" s="152" t="s">
        <v>53</v>
      </c>
      <c r="C85" s="152" t="s">
        <v>170</v>
      </c>
      <c r="D85" s="153">
        <v>236250</v>
      </c>
      <c r="E85" s="153">
        <v>0</v>
      </c>
      <c r="F85" s="153">
        <v>236250</v>
      </c>
      <c r="G85" s="153">
        <f>E85+F85</f>
        <v>236250</v>
      </c>
      <c r="H85" s="153">
        <f>G85-D85</f>
        <v>0</v>
      </c>
      <c r="I85" s="162" t="s">
        <v>557</v>
      </c>
      <c r="J85" s="163" t="s">
        <v>547</v>
      </c>
    </row>
    <row r="86" spans="1:10" ht="28.8" hidden="1" outlineLevel="2" x14ac:dyDescent="0.3">
      <c r="A86" s="151" t="s">
        <v>6</v>
      </c>
      <c r="B86" s="152" t="s">
        <v>53</v>
      </c>
      <c r="C86" s="152" t="s">
        <v>176</v>
      </c>
      <c r="D86" s="153">
        <v>141750</v>
      </c>
      <c r="E86" s="153">
        <v>0</v>
      </c>
      <c r="F86" s="153">
        <v>141750</v>
      </c>
      <c r="G86" s="153">
        <f>E86+F86</f>
        <v>141750</v>
      </c>
      <c r="H86" s="153">
        <f>G86-D86</f>
        <v>0</v>
      </c>
      <c r="I86" s="162" t="s">
        <v>557</v>
      </c>
      <c r="J86" s="163" t="s">
        <v>547</v>
      </c>
    </row>
    <row r="87" spans="1:10" ht="28.8" hidden="1" outlineLevel="2" x14ac:dyDescent="0.3">
      <c r="A87" s="151" t="s">
        <v>6</v>
      </c>
      <c r="B87" s="152" t="s">
        <v>53</v>
      </c>
      <c r="C87" s="152" t="s">
        <v>177</v>
      </c>
      <c r="D87" s="153">
        <v>17099</v>
      </c>
      <c r="E87" s="153">
        <v>0</v>
      </c>
      <c r="F87" s="153">
        <v>17099</v>
      </c>
      <c r="G87" s="153">
        <f>E87+F87</f>
        <v>17099</v>
      </c>
      <c r="H87" s="153">
        <f>G87-D87</f>
        <v>0</v>
      </c>
      <c r="I87" s="162" t="s">
        <v>558</v>
      </c>
      <c r="J87" s="163" t="s">
        <v>547</v>
      </c>
    </row>
    <row r="88" spans="1:10" ht="43.2" hidden="1" outlineLevel="2" x14ac:dyDescent="0.3">
      <c r="A88" s="151" t="s">
        <v>6</v>
      </c>
      <c r="B88" s="152" t="s">
        <v>53</v>
      </c>
      <c r="C88" s="152" t="s">
        <v>112</v>
      </c>
      <c r="D88" s="153">
        <v>259449</v>
      </c>
      <c r="E88" s="153">
        <v>83657.850000000006</v>
      </c>
      <c r="F88" s="153">
        <v>125791</v>
      </c>
      <c r="G88" s="153">
        <f>E88+F88</f>
        <v>209448.85</v>
      </c>
      <c r="H88" s="153">
        <f>G88-D88</f>
        <v>-50000.149999999994</v>
      </c>
      <c r="I88" s="156" t="s">
        <v>709</v>
      </c>
      <c r="J88" s="155" t="s">
        <v>546</v>
      </c>
    </row>
    <row r="89" spans="1:10" hidden="1" outlineLevel="1" x14ac:dyDescent="0.3">
      <c r="A89" s="157" t="s">
        <v>6</v>
      </c>
      <c r="B89" s="158" t="s">
        <v>487</v>
      </c>
      <c r="C89" s="158"/>
      <c r="D89" s="159">
        <f>SUM(D85:D88)</f>
        <v>654548</v>
      </c>
      <c r="E89" s="159">
        <f>SUM(E85:E88)</f>
        <v>83657.850000000006</v>
      </c>
      <c r="F89" s="159">
        <f>SUM(F85:F88)</f>
        <v>520890</v>
      </c>
      <c r="G89" s="159">
        <f>SUM(G85:G88)</f>
        <v>604547.85</v>
      </c>
      <c r="H89" s="159">
        <f>SUM(H85:H88)</f>
        <v>-50000.149999999994</v>
      </c>
      <c r="I89" s="160"/>
      <c r="J89" s="161"/>
    </row>
    <row r="90" spans="1:10" ht="43.2" hidden="1" outlineLevel="2" x14ac:dyDescent="0.3">
      <c r="A90" s="151" t="s">
        <v>6</v>
      </c>
      <c r="B90" s="152" t="s">
        <v>420</v>
      </c>
      <c r="C90" s="152" t="s">
        <v>419</v>
      </c>
      <c r="D90" s="153">
        <v>1244018</v>
      </c>
      <c r="E90" s="153">
        <v>600811.08750000014</v>
      </c>
      <c r="F90" s="153">
        <v>841135.5225000002</v>
      </c>
      <c r="G90" s="153">
        <f>E90+F90</f>
        <v>1441946.6100000003</v>
      </c>
      <c r="H90" s="153">
        <f>G90-D90</f>
        <v>197928.61000000034</v>
      </c>
      <c r="I90" s="170" t="s">
        <v>710</v>
      </c>
      <c r="J90" s="169" t="s">
        <v>41</v>
      </c>
    </row>
    <row r="91" spans="1:10" hidden="1" outlineLevel="1" x14ac:dyDescent="0.3">
      <c r="A91" s="157" t="s">
        <v>6</v>
      </c>
      <c r="B91" s="158" t="s">
        <v>559</v>
      </c>
      <c r="C91" s="158"/>
      <c r="D91" s="159">
        <f>SUM(D90:D90)</f>
        <v>1244018</v>
      </c>
      <c r="E91" s="159">
        <f>SUM(E90:E90)</f>
        <v>600811.08750000014</v>
      </c>
      <c r="F91" s="159">
        <f>SUM(F90:F90)</f>
        <v>841135.5225000002</v>
      </c>
      <c r="G91" s="159">
        <f>SUM(G90:G90)</f>
        <v>1441946.6100000003</v>
      </c>
      <c r="H91" s="159">
        <f>SUM(H90:H90)</f>
        <v>197928.61000000034</v>
      </c>
      <c r="I91" s="160"/>
      <c r="J91" s="161"/>
    </row>
    <row r="92" spans="1:10" hidden="1" collapsed="1" x14ac:dyDescent="0.3">
      <c r="A92" s="164" t="s">
        <v>560</v>
      </c>
      <c r="B92" s="165"/>
      <c r="C92" s="165"/>
      <c r="D92" s="166">
        <f>SUM(D80,D82,D84,D89,D91)</f>
        <v>2031290</v>
      </c>
      <c r="E92" s="166">
        <f>SUM(E80,E82,E84,E89,E91)</f>
        <v>752346.37750000018</v>
      </c>
      <c r="F92" s="166">
        <f>SUM(F80,F82,F84,F89,F91)</f>
        <v>1440940.8425000003</v>
      </c>
      <c r="G92" s="166">
        <f>SUM(G80,G82,G84,G89,G91)</f>
        <v>2193287.2200000002</v>
      </c>
      <c r="H92" s="166">
        <f>SUM(H80,H82,H84,H89,H91)</f>
        <v>161997.22000000032</v>
      </c>
      <c r="I92" s="160"/>
      <c r="J92" s="161"/>
    </row>
    <row r="93" spans="1:10" ht="43.2" hidden="1" outlineLevel="2" x14ac:dyDescent="0.3">
      <c r="A93" s="151" t="s">
        <v>7</v>
      </c>
      <c r="B93" s="152" t="s">
        <v>48</v>
      </c>
      <c r="C93" s="152" t="s">
        <v>322</v>
      </c>
      <c r="D93" s="153">
        <v>191646</v>
      </c>
      <c r="E93" s="153">
        <v>28503.335000000003</v>
      </c>
      <c r="F93" s="153">
        <v>99761.672500000001</v>
      </c>
      <c r="G93" s="153">
        <f t="shared" ref="G93:G100" si="4">E93+F93</f>
        <v>128265.00750000001</v>
      </c>
      <c r="H93" s="153">
        <f t="shared" ref="H93:H100" si="5">G93-D93</f>
        <v>-63380.992499999993</v>
      </c>
      <c r="I93" s="156" t="s">
        <v>711</v>
      </c>
      <c r="J93" s="155" t="s">
        <v>546</v>
      </c>
    </row>
    <row r="94" spans="1:10" ht="28.8" hidden="1" outlineLevel="2" x14ac:dyDescent="0.3">
      <c r="A94" s="151" t="s">
        <v>7</v>
      </c>
      <c r="B94" s="152" t="s">
        <v>48</v>
      </c>
      <c r="C94" s="152" t="s">
        <v>234</v>
      </c>
      <c r="D94" s="153">
        <v>10080</v>
      </c>
      <c r="E94" s="153">
        <v>4800</v>
      </c>
      <c r="F94" s="153">
        <v>5280</v>
      </c>
      <c r="G94" s="153">
        <f t="shared" si="4"/>
        <v>10080</v>
      </c>
      <c r="H94" s="153">
        <f t="shared" si="5"/>
        <v>0</v>
      </c>
      <c r="I94" s="162" t="s">
        <v>561</v>
      </c>
      <c r="J94" s="163" t="s">
        <v>547</v>
      </c>
    </row>
    <row r="95" spans="1:10" ht="28.8" hidden="1" outlineLevel="2" x14ac:dyDescent="0.3">
      <c r="A95" s="151" t="s">
        <v>7</v>
      </c>
      <c r="B95" s="152" t="s">
        <v>48</v>
      </c>
      <c r="C95" s="152" t="s">
        <v>313</v>
      </c>
      <c r="D95" s="153">
        <v>139684</v>
      </c>
      <c r="E95" s="153">
        <v>58201.666666666672</v>
      </c>
      <c r="F95" s="153">
        <v>81482.333333333328</v>
      </c>
      <c r="G95" s="153">
        <f t="shared" si="4"/>
        <v>139684</v>
      </c>
      <c r="H95" s="153">
        <f t="shared" si="5"/>
        <v>0</v>
      </c>
      <c r="I95" s="162" t="s">
        <v>562</v>
      </c>
      <c r="J95" s="163" t="s">
        <v>547</v>
      </c>
    </row>
    <row r="96" spans="1:10" ht="28.8" hidden="1" outlineLevel="2" x14ac:dyDescent="0.3">
      <c r="A96" s="151" t="s">
        <v>7</v>
      </c>
      <c r="B96" s="152" t="s">
        <v>48</v>
      </c>
      <c r="C96" s="152" t="s">
        <v>181</v>
      </c>
      <c r="D96" s="153">
        <v>100844.1</v>
      </c>
      <c r="E96" s="153">
        <v>96041.64</v>
      </c>
      <c r="F96" s="153">
        <v>0</v>
      </c>
      <c r="G96" s="153">
        <f t="shared" si="4"/>
        <v>96041.64</v>
      </c>
      <c r="H96" s="153">
        <f t="shared" si="5"/>
        <v>-4802.4600000000064</v>
      </c>
      <c r="I96" s="156" t="s">
        <v>712</v>
      </c>
      <c r="J96" s="155" t="s">
        <v>158</v>
      </c>
    </row>
    <row r="97" spans="1:10" ht="28.8" hidden="1" outlineLevel="2" x14ac:dyDescent="0.3">
      <c r="A97" s="151" t="s">
        <v>7</v>
      </c>
      <c r="B97" s="152" t="s">
        <v>48</v>
      </c>
      <c r="C97" s="152" t="s">
        <v>304</v>
      </c>
      <c r="D97" s="153">
        <v>117539.0055</v>
      </c>
      <c r="E97" s="153">
        <v>14025.49</v>
      </c>
      <c r="F97" s="153">
        <v>103536.75</v>
      </c>
      <c r="G97" s="153">
        <f t="shared" si="4"/>
        <v>117562.24000000001</v>
      </c>
      <c r="H97" s="153">
        <f t="shared" si="5"/>
        <v>23.234500000005937</v>
      </c>
      <c r="I97" s="162" t="s">
        <v>565</v>
      </c>
      <c r="J97" s="163" t="s">
        <v>547</v>
      </c>
    </row>
    <row r="98" spans="1:10" ht="43.2" hidden="1" outlineLevel="2" x14ac:dyDescent="0.3">
      <c r="A98" s="151" t="s">
        <v>7</v>
      </c>
      <c r="B98" s="152" t="s">
        <v>48</v>
      </c>
      <c r="C98" s="152" t="s">
        <v>208</v>
      </c>
      <c r="D98" s="153">
        <v>1410968.58415</v>
      </c>
      <c r="E98" s="153">
        <v>553592.44999999995</v>
      </c>
      <c r="F98" s="153">
        <v>641600.51250000007</v>
      </c>
      <c r="G98" s="153">
        <f t="shared" si="4"/>
        <v>1195192.9624999999</v>
      </c>
      <c r="H98" s="153">
        <f t="shared" si="5"/>
        <v>-215775.6216500001</v>
      </c>
      <c r="I98" s="156" t="s">
        <v>713</v>
      </c>
      <c r="J98" s="155" t="s">
        <v>546</v>
      </c>
    </row>
    <row r="99" spans="1:10" ht="28.8" hidden="1" outlineLevel="2" x14ac:dyDescent="0.3">
      <c r="A99" s="151" t="s">
        <v>7</v>
      </c>
      <c r="B99" s="152" t="s">
        <v>48</v>
      </c>
      <c r="C99" s="152" t="s">
        <v>278</v>
      </c>
      <c r="D99" s="153">
        <v>51930.15</v>
      </c>
      <c r="E99" s="153">
        <v>46713</v>
      </c>
      <c r="F99" s="153">
        <v>7470</v>
      </c>
      <c r="G99" s="153">
        <f t="shared" si="4"/>
        <v>54183</v>
      </c>
      <c r="H99" s="153">
        <f t="shared" si="5"/>
        <v>2252.8499999999985</v>
      </c>
      <c r="I99" s="170" t="s">
        <v>714</v>
      </c>
      <c r="J99" s="169" t="s">
        <v>41</v>
      </c>
    </row>
    <row r="100" spans="1:10" ht="28.8" hidden="1" outlineLevel="2" x14ac:dyDescent="0.3">
      <c r="A100" s="151" t="s">
        <v>7</v>
      </c>
      <c r="B100" s="152" t="s">
        <v>48</v>
      </c>
      <c r="C100" s="152" t="s">
        <v>70</v>
      </c>
      <c r="D100" s="153">
        <v>215860.41749999998</v>
      </c>
      <c r="E100" s="153">
        <v>957.23</v>
      </c>
      <c r="F100" s="153">
        <v>214903.5</v>
      </c>
      <c r="G100" s="153">
        <f t="shared" si="4"/>
        <v>215860.73</v>
      </c>
      <c r="H100" s="153">
        <f t="shared" si="5"/>
        <v>0.31250000002910383</v>
      </c>
      <c r="I100" s="162" t="s">
        <v>715</v>
      </c>
      <c r="J100" s="163" t="s">
        <v>547</v>
      </c>
    </row>
    <row r="101" spans="1:10" hidden="1" outlineLevel="1" x14ac:dyDescent="0.3">
      <c r="A101" s="157" t="s">
        <v>7</v>
      </c>
      <c r="B101" s="158" t="s">
        <v>482</v>
      </c>
      <c r="C101" s="158"/>
      <c r="D101" s="159">
        <f>SUM(D93:D100)</f>
        <v>2238552.25715</v>
      </c>
      <c r="E101" s="159">
        <f>SUM(E93:E100)</f>
        <v>802834.81166666653</v>
      </c>
      <c r="F101" s="159">
        <f>SUM(F93:F100)</f>
        <v>1154034.7683333335</v>
      </c>
      <c r="G101" s="159">
        <f>SUM(G93:G100)</f>
        <v>1956869.5799999998</v>
      </c>
      <c r="H101" s="159">
        <f>SUM(H93:H100)</f>
        <v>-281682.67715000012</v>
      </c>
      <c r="I101" s="160"/>
      <c r="J101" s="161"/>
    </row>
    <row r="102" spans="1:10" ht="28.8" hidden="1" outlineLevel="2" x14ac:dyDescent="0.3">
      <c r="A102" s="151" t="s">
        <v>7</v>
      </c>
      <c r="B102" s="152" t="s">
        <v>49</v>
      </c>
      <c r="C102" s="152" t="s">
        <v>57</v>
      </c>
      <c r="D102" s="153">
        <v>1338002.9220000003</v>
      </c>
      <c r="E102" s="153">
        <v>7579.2400000000007</v>
      </c>
      <c r="F102" s="153">
        <v>1330423.9310000001</v>
      </c>
      <c r="G102" s="153">
        <f t="shared" ref="G102:G110" si="6">E102+F102</f>
        <v>1338003.1710000001</v>
      </c>
      <c r="H102" s="153">
        <f t="shared" ref="H102:H110" si="7">G102-D102</f>
        <v>0.24899999983608723</v>
      </c>
      <c r="I102" s="162" t="s">
        <v>716</v>
      </c>
      <c r="J102" s="163" t="s">
        <v>547</v>
      </c>
    </row>
    <row r="103" spans="1:10" ht="28.8" hidden="1" outlineLevel="2" x14ac:dyDescent="0.3">
      <c r="A103" s="151" t="s">
        <v>7</v>
      </c>
      <c r="B103" s="152" t="s">
        <v>49</v>
      </c>
      <c r="C103" s="152" t="s">
        <v>75</v>
      </c>
      <c r="D103" s="153">
        <v>5250</v>
      </c>
      <c r="E103" s="153">
        <v>0</v>
      </c>
      <c r="F103" s="153">
        <v>5250</v>
      </c>
      <c r="G103" s="153">
        <f t="shared" si="6"/>
        <v>5250</v>
      </c>
      <c r="H103" s="153">
        <f t="shared" si="7"/>
        <v>0</v>
      </c>
      <c r="I103" s="162" t="s">
        <v>563</v>
      </c>
      <c r="J103" s="163" t="s">
        <v>547</v>
      </c>
    </row>
    <row r="104" spans="1:10" ht="28.8" hidden="1" outlineLevel="2" x14ac:dyDescent="0.3">
      <c r="A104" s="151" t="s">
        <v>7</v>
      </c>
      <c r="B104" s="152" t="s">
        <v>49</v>
      </c>
      <c r="C104" s="152" t="s">
        <v>76</v>
      </c>
      <c r="D104" s="153">
        <v>27790.5285</v>
      </c>
      <c r="E104" s="153">
        <v>0</v>
      </c>
      <c r="F104" s="153">
        <v>27791</v>
      </c>
      <c r="G104" s="153">
        <f t="shared" si="6"/>
        <v>27791</v>
      </c>
      <c r="H104" s="153">
        <f t="shared" si="7"/>
        <v>0.47149999999965075</v>
      </c>
      <c r="I104" s="162" t="s">
        <v>717</v>
      </c>
      <c r="J104" s="163" t="s">
        <v>547</v>
      </c>
    </row>
    <row r="105" spans="1:10" ht="43.2" hidden="1" outlineLevel="2" x14ac:dyDescent="0.3">
      <c r="A105" s="151" t="s">
        <v>7</v>
      </c>
      <c r="B105" s="152" t="s">
        <v>49</v>
      </c>
      <c r="C105" s="152" t="s">
        <v>67</v>
      </c>
      <c r="D105" s="153">
        <v>3052298</v>
      </c>
      <c r="E105" s="153">
        <v>1263122.23</v>
      </c>
      <c r="F105" s="153">
        <v>2113806.3666666667</v>
      </c>
      <c r="G105" s="153">
        <f t="shared" si="6"/>
        <v>3376928.5966666667</v>
      </c>
      <c r="H105" s="153">
        <f t="shared" si="7"/>
        <v>324630.59666666668</v>
      </c>
      <c r="I105" s="170" t="s">
        <v>718</v>
      </c>
      <c r="J105" s="168" t="s">
        <v>41</v>
      </c>
    </row>
    <row r="106" spans="1:10" ht="28.8" hidden="1" outlineLevel="2" x14ac:dyDescent="0.3">
      <c r="A106" s="151" t="s">
        <v>7</v>
      </c>
      <c r="B106" s="152" t="s">
        <v>49</v>
      </c>
      <c r="C106" s="152" t="s">
        <v>77</v>
      </c>
      <c r="D106" s="153">
        <v>307613.80000000005</v>
      </c>
      <c r="E106" s="153">
        <v>124541.66666666666</v>
      </c>
      <c r="F106" s="153">
        <v>181125</v>
      </c>
      <c r="G106" s="153">
        <f t="shared" si="6"/>
        <v>305666.66666666663</v>
      </c>
      <c r="H106" s="153">
        <f t="shared" si="7"/>
        <v>-1947.1333333334187</v>
      </c>
      <c r="I106" s="156" t="s">
        <v>719</v>
      </c>
      <c r="J106" s="155" t="s">
        <v>158</v>
      </c>
    </row>
    <row r="107" spans="1:10" ht="43.2" hidden="1" outlineLevel="2" x14ac:dyDescent="0.3">
      <c r="A107" s="151" t="s">
        <v>7</v>
      </c>
      <c r="B107" s="152" t="s">
        <v>49</v>
      </c>
      <c r="C107" s="152" t="s">
        <v>74</v>
      </c>
      <c r="D107" s="153">
        <v>453011.9645</v>
      </c>
      <c r="E107" s="153">
        <v>209854.97916666663</v>
      </c>
      <c r="F107" s="153">
        <v>343788.93949999998</v>
      </c>
      <c r="G107" s="153">
        <f t="shared" si="6"/>
        <v>553643.91866666661</v>
      </c>
      <c r="H107" s="153">
        <f t="shared" si="7"/>
        <v>100631.9541666666</v>
      </c>
      <c r="I107" s="167" t="s">
        <v>720</v>
      </c>
      <c r="J107" s="168" t="s">
        <v>41</v>
      </c>
    </row>
    <row r="108" spans="1:10" ht="28.8" hidden="1" outlineLevel="2" x14ac:dyDescent="0.3">
      <c r="A108" s="151" t="s">
        <v>7</v>
      </c>
      <c r="B108" s="152" t="s">
        <v>49</v>
      </c>
      <c r="C108" s="152" t="s">
        <v>70</v>
      </c>
      <c r="D108" s="153">
        <v>0</v>
      </c>
      <c r="E108" s="153">
        <v>0</v>
      </c>
      <c r="F108" s="153">
        <v>0</v>
      </c>
      <c r="G108" s="153">
        <f t="shared" si="6"/>
        <v>0</v>
      </c>
      <c r="H108" s="153">
        <f t="shared" si="7"/>
        <v>0</v>
      </c>
      <c r="I108" s="162" t="s">
        <v>721</v>
      </c>
      <c r="J108" s="163" t="s">
        <v>547</v>
      </c>
    </row>
    <row r="109" spans="1:10" ht="28.8" hidden="1" outlineLevel="2" x14ac:dyDescent="0.3">
      <c r="A109" s="151" t="s">
        <v>7</v>
      </c>
      <c r="B109" s="152" t="s">
        <v>49</v>
      </c>
      <c r="C109" s="152" t="s">
        <v>78</v>
      </c>
      <c r="D109" s="153">
        <v>5407.5</v>
      </c>
      <c r="E109" s="153">
        <v>0</v>
      </c>
      <c r="F109" s="153">
        <v>5407.5</v>
      </c>
      <c r="G109" s="153">
        <f t="shared" si="6"/>
        <v>5407.5</v>
      </c>
      <c r="H109" s="153">
        <f t="shared" si="7"/>
        <v>0</v>
      </c>
      <c r="I109" s="162" t="s">
        <v>561</v>
      </c>
      <c r="J109" s="163" t="s">
        <v>547</v>
      </c>
    </row>
    <row r="110" spans="1:10" ht="28.8" hidden="1" outlineLevel="2" x14ac:dyDescent="0.3">
      <c r="A110" s="151" t="s">
        <v>7</v>
      </c>
      <c r="B110" s="152" t="s">
        <v>49</v>
      </c>
      <c r="C110" s="152" t="s">
        <v>79</v>
      </c>
      <c r="D110" s="153">
        <v>61830</v>
      </c>
      <c r="E110" s="153">
        <v>0</v>
      </c>
      <c r="F110" s="153">
        <v>61830</v>
      </c>
      <c r="G110" s="153">
        <f t="shared" si="6"/>
        <v>61830</v>
      </c>
      <c r="H110" s="153">
        <f t="shared" si="7"/>
        <v>0</v>
      </c>
      <c r="I110" s="162" t="s">
        <v>564</v>
      </c>
      <c r="J110" s="163" t="s">
        <v>547</v>
      </c>
    </row>
    <row r="111" spans="1:10" hidden="1" outlineLevel="1" x14ac:dyDescent="0.3">
      <c r="A111" s="157" t="s">
        <v>7</v>
      </c>
      <c r="B111" s="158" t="s">
        <v>483</v>
      </c>
      <c r="C111" s="158"/>
      <c r="D111" s="159">
        <f>SUM(D102:D110)</f>
        <v>5251204.7149999999</v>
      </c>
      <c r="E111" s="159">
        <f>SUM(E102:E110)</f>
        <v>1605098.1158333332</v>
      </c>
      <c r="F111" s="159">
        <f>SUM(F102:F110)</f>
        <v>4069422.7371666669</v>
      </c>
      <c r="G111" s="159">
        <f>SUM(G102:G110)</f>
        <v>5674520.8530000001</v>
      </c>
      <c r="H111" s="159">
        <f>SUM(H102:H110)</f>
        <v>423316.13799999969</v>
      </c>
      <c r="I111" s="160"/>
      <c r="J111" s="161"/>
    </row>
    <row r="112" spans="1:10" ht="28.8" hidden="1" outlineLevel="2" x14ac:dyDescent="0.3">
      <c r="A112" s="151" t="s">
        <v>7</v>
      </c>
      <c r="B112" s="152" t="s">
        <v>50</v>
      </c>
      <c r="C112" s="152" t="s">
        <v>406</v>
      </c>
      <c r="D112" s="153">
        <v>1778445.9000000001</v>
      </c>
      <c r="E112" s="153">
        <v>776946.67499999993</v>
      </c>
      <c r="F112" s="153">
        <v>1087725.345</v>
      </c>
      <c r="G112" s="153">
        <f t="shared" ref="G112:G122" si="8">E112+F112</f>
        <v>1864672.02</v>
      </c>
      <c r="H112" s="153">
        <f t="shared" ref="H112:H122" si="9">G112-D112</f>
        <v>86226.119999999879</v>
      </c>
      <c r="I112" s="167" t="s">
        <v>722</v>
      </c>
      <c r="J112" s="168" t="s">
        <v>41</v>
      </c>
    </row>
    <row r="113" spans="1:10" ht="28.8" hidden="1" outlineLevel="2" x14ac:dyDescent="0.3">
      <c r="A113" s="151" t="s">
        <v>7</v>
      </c>
      <c r="B113" s="152" t="s">
        <v>50</v>
      </c>
      <c r="C113" s="152" t="s">
        <v>416</v>
      </c>
      <c r="D113" s="153">
        <v>0</v>
      </c>
      <c r="E113" s="153">
        <v>92000</v>
      </c>
      <c r="F113" s="153">
        <v>10000</v>
      </c>
      <c r="G113" s="153">
        <f t="shared" si="8"/>
        <v>102000</v>
      </c>
      <c r="H113" s="153">
        <f t="shared" si="9"/>
        <v>102000</v>
      </c>
      <c r="I113" s="167" t="s">
        <v>723</v>
      </c>
      <c r="J113" s="168" t="s">
        <v>41</v>
      </c>
    </row>
    <row r="114" spans="1:10" ht="43.2" hidden="1" outlineLevel="2" x14ac:dyDescent="0.3">
      <c r="A114" s="151" t="s">
        <v>7</v>
      </c>
      <c r="B114" s="152" t="s">
        <v>50</v>
      </c>
      <c r="C114" s="152" t="s">
        <v>56</v>
      </c>
      <c r="D114" s="153">
        <v>3617396</v>
      </c>
      <c r="E114" s="153">
        <v>1737038.96</v>
      </c>
      <c r="F114" s="153">
        <v>2336436.4099999997</v>
      </c>
      <c r="G114" s="153">
        <f t="shared" si="8"/>
        <v>4073475.3699999996</v>
      </c>
      <c r="H114" s="153">
        <f t="shared" si="9"/>
        <v>456079.36999999965</v>
      </c>
      <c r="I114" s="167" t="s">
        <v>724</v>
      </c>
      <c r="J114" s="168" t="s">
        <v>41</v>
      </c>
    </row>
    <row r="115" spans="1:10" ht="28.8" hidden="1" outlineLevel="2" x14ac:dyDescent="0.3">
      <c r="A115" s="151" t="s">
        <v>7</v>
      </c>
      <c r="B115" s="152" t="s">
        <v>50</v>
      </c>
      <c r="C115" s="152" t="s">
        <v>133</v>
      </c>
      <c r="D115" s="153">
        <v>14700</v>
      </c>
      <c r="E115" s="153">
        <v>9900</v>
      </c>
      <c r="F115" s="153">
        <v>46050</v>
      </c>
      <c r="G115" s="153">
        <f t="shared" si="8"/>
        <v>55950</v>
      </c>
      <c r="H115" s="153">
        <f t="shared" si="9"/>
        <v>41250</v>
      </c>
      <c r="I115" s="170" t="s">
        <v>725</v>
      </c>
      <c r="J115" s="169" t="s">
        <v>41</v>
      </c>
    </row>
    <row r="116" spans="1:10" ht="28.8" hidden="1" outlineLevel="2" x14ac:dyDescent="0.3">
      <c r="A116" s="151" t="s">
        <v>7</v>
      </c>
      <c r="B116" s="152" t="s">
        <v>50</v>
      </c>
      <c r="C116" s="152" t="s">
        <v>240</v>
      </c>
      <c r="D116" s="153">
        <v>12600</v>
      </c>
      <c r="E116" s="153">
        <v>12000</v>
      </c>
      <c r="F116" s="153">
        <v>0</v>
      </c>
      <c r="G116" s="153">
        <f t="shared" si="8"/>
        <v>12000</v>
      </c>
      <c r="H116" s="153">
        <f t="shared" si="9"/>
        <v>-600</v>
      </c>
      <c r="I116" s="162" t="s">
        <v>726</v>
      </c>
      <c r="J116" s="163" t="s">
        <v>158</v>
      </c>
    </row>
    <row r="117" spans="1:10" ht="43.2" hidden="1" outlineLevel="2" x14ac:dyDescent="0.3">
      <c r="A117" s="151" t="s">
        <v>7</v>
      </c>
      <c r="B117" s="152" t="s">
        <v>50</v>
      </c>
      <c r="C117" s="152" t="s">
        <v>208</v>
      </c>
      <c r="D117" s="153">
        <v>111003</v>
      </c>
      <c r="E117" s="153">
        <v>101291</v>
      </c>
      <c r="F117" s="153">
        <v>14460</v>
      </c>
      <c r="G117" s="153">
        <f t="shared" si="8"/>
        <v>115751</v>
      </c>
      <c r="H117" s="153">
        <f t="shared" si="9"/>
        <v>4748</v>
      </c>
      <c r="I117" s="170" t="s">
        <v>727</v>
      </c>
      <c r="J117" s="169" t="s">
        <v>41</v>
      </c>
    </row>
    <row r="118" spans="1:10" ht="28.8" hidden="1" outlineLevel="2" x14ac:dyDescent="0.3">
      <c r="A118" s="151" t="s">
        <v>7</v>
      </c>
      <c r="B118" s="152" t="s">
        <v>50</v>
      </c>
      <c r="C118" s="152" t="s">
        <v>256</v>
      </c>
      <c r="D118" s="153">
        <v>2751</v>
      </c>
      <c r="E118" s="153">
        <v>3192.75</v>
      </c>
      <c r="F118" s="153">
        <v>0</v>
      </c>
      <c r="G118" s="153">
        <f t="shared" si="8"/>
        <v>3192.75</v>
      </c>
      <c r="H118" s="153">
        <f t="shared" si="9"/>
        <v>441.75</v>
      </c>
      <c r="I118" s="162" t="s">
        <v>728</v>
      </c>
      <c r="J118" s="163" t="s">
        <v>547</v>
      </c>
    </row>
    <row r="119" spans="1:10" ht="43.2" hidden="1" outlineLevel="2" x14ac:dyDescent="0.3">
      <c r="A119" s="151" t="s">
        <v>7</v>
      </c>
      <c r="B119" s="152" t="s">
        <v>50</v>
      </c>
      <c r="C119" s="152" t="s">
        <v>334</v>
      </c>
      <c r="D119" s="153">
        <v>3500000</v>
      </c>
      <c r="E119" s="153">
        <v>1522576.67</v>
      </c>
      <c r="F119" s="153">
        <v>2095744.4133333336</v>
      </c>
      <c r="G119" s="153">
        <f t="shared" si="8"/>
        <v>3618321.0833333335</v>
      </c>
      <c r="H119" s="153">
        <f t="shared" si="9"/>
        <v>118321.08333333349</v>
      </c>
      <c r="I119" s="170" t="s">
        <v>729</v>
      </c>
      <c r="J119" s="169" t="s">
        <v>550</v>
      </c>
    </row>
    <row r="120" spans="1:10" ht="28.8" hidden="1" outlineLevel="2" x14ac:dyDescent="0.3">
      <c r="A120" s="151" t="s">
        <v>7</v>
      </c>
      <c r="B120" s="152" t="s">
        <v>50</v>
      </c>
      <c r="C120" s="152" t="s">
        <v>409</v>
      </c>
      <c r="D120" s="153">
        <v>298544.40000000002</v>
      </c>
      <c r="E120" s="153">
        <v>118470.15416666667</v>
      </c>
      <c r="F120" s="153">
        <v>165858.21583333332</v>
      </c>
      <c r="G120" s="153">
        <f t="shared" si="8"/>
        <v>284328.37</v>
      </c>
      <c r="H120" s="153">
        <f t="shared" si="9"/>
        <v>-14216.030000000028</v>
      </c>
      <c r="I120" s="156" t="s">
        <v>730</v>
      </c>
      <c r="J120" s="155" t="s">
        <v>158</v>
      </c>
    </row>
    <row r="121" spans="1:10" ht="28.8" hidden="1" outlineLevel="2" x14ac:dyDescent="0.3">
      <c r="A121" s="151" t="s">
        <v>7</v>
      </c>
      <c r="B121" s="152" t="s">
        <v>50</v>
      </c>
      <c r="C121" s="152" t="s">
        <v>272</v>
      </c>
      <c r="D121" s="153">
        <v>8435.7000000000007</v>
      </c>
      <c r="E121" s="153">
        <v>0</v>
      </c>
      <c r="F121" s="153">
        <v>8436</v>
      </c>
      <c r="G121" s="153">
        <f t="shared" si="8"/>
        <v>8436</v>
      </c>
      <c r="H121" s="153">
        <f t="shared" si="9"/>
        <v>0.2999999999992724</v>
      </c>
      <c r="I121" s="162" t="s">
        <v>717</v>
      </c>
      <c r="J121" s="163" t="s">
        <v>547</v>
      </c>
    </row>
    <row r="122" spans="1:10" ht="28.8" hidden="1" outlineLevel="2" x14ac:dyDescent="0.3">
      <c r="A122" s="151" t="s">
        <v>7</v>
      </c>
      <c r="B122" s="152" t="s">
        <v>50</v>
      </c>
      <c r="C122" s="152" t="s">
        <v>353</v>
      </c>
      <c r="D122" s="153">
        <v>411547.5</v>
      </c>
      <c r="E122" s="153">
        <v>226822.91666666669</v>
      </c>
      <c r="F122" s="153">
        <v>317552.08333333331</v>
      </c>
      <c r="G122" s="153">
        <f t="shared" si="8"/>
        <v>544375</v>
      </c>
      <c r="H122" s="153">
        <f t="shared" si="9"/>
        <v>132827.5</v>
      </c>
      <c r="I122" s="167" t="s">
        <v>731</v>
      </c>
      <c r="J122" s="168" t="s">
        <v>41</v>
      </c>
    </row>
    <row r="123" spans="1:10" hidden="1" outlineLevel="1" collapsed="1" x14ac:dyDescent="0.3">
      <c r="A123" s="157" t="s">
        <v>7</v>
      </c>
      <c r="B123" s="158" t="s">
        <v>484</v>
      </c>
      <c r="C123" s="158"/>
      <c r="D123" s="159">
        <f>SUM(D112:D122)</f>
        <v>9755423.5</v>
      </c>
      <c r="E123" s="159">
        <f>SUM(E112:E122)</f>
        <v>4600239.1258333335</v>
      </c>
      <c r="F123" s="159">
        <f>SUM(F112:F122)</f>
        <v>6082262.4674999993</v>
      </c>
      <c r="G123" s="159">
        <f>SUM(G112:G122)</f>
        <v>10682501.593333332</v>
      </c>
      <c r="H123" s="159">
        <f>SUM(H112:H122)</f>
        <v>927078.09333333303</v>
      </c>
      <c r="I123" s="160"/>
      <c r="J123" s="161"/>
    </row>
    <row r="124" spans="1:10" ht="28.8" hidden="1" outlineLevel="2" x14ac:dyDescent="0.3">
      <c r="A124" s="151" t="s">
        <v>7</v>
      </c>
      <c r="B124" s="152" t="s">
        <v>51</v>
      </c>
      <c r="C124" s="152" t="s">
        <v>248</v>
      </c>
      <c r="D124" s="153">
        <v>1260</v>
      </c>
      <c r="E124" s="153">
        <v>1260</v>
      </c>
      <c r="F124" s="153">
        <v>0</v>
      </c>
      <c r="G124" s="153">
        <f>E124+F124</f>
        <v>1260</v>
      </c>
      <c r="H124" s="153">
        <f>G124-D124</f>
        <v>0</v>
      </c>
      <c r="I124" s="162" t="s">
        <v>566</v>
      </c>
      <c r="J124" s="163" t="s">
        <v>547</v>
      </c>
    </row>
    <row r="125" spans="1:10" ht="28.8" hidden="1" outlineLevel="2" x14ac:dyDescent="0.3">
      <c r="A125" s="151" t="s">
        <v>7</v>
      </c>
      <c r="B125" s="152" t="s">
        <v>51</v>
      </c>
      <c r="C125" s="152" t="s">
        <v>282</v>
      </c>
      <c r="D125" s="153">
        <v>39305.700000000004</v>
      </c>
      <c r="E125" s="153">
        <v>2808</v>
      </c>
      <c r="F125" s="153">
        <v>36498</v>
      </c>
      <c r="G125" s="153">
        <f>E125+F125</f>
        <v>39306</v>
      </c>
      <c r="H125" s="153">
        <f>G125-D125</f>
        <v>0.29999999999563443</v>
      </c>
      <c r="I125" s="162" t="s">
        <v>717</v>
      </c>
      <c r="J125" s="163" t="s">
        <v>547</v>
      </c>
    </row>
    <row r="126" spans="1:10" ht="28.8" hidden="1" outlineLevel="2" x14ac:dyDescent="0.3">
      <c r="A126" s="151" t="s">
        <v>7</v>
      </c>
      <c r="B126" s="152" t="s">
        <v>51</v>
      </c>
      <c r="C126" s="152" t="s">
        <v>284</v>
      </c>
      <c r="D126" s="153">
        <v>174825</v>
      </c>
      <c r="E126" s="153">
        <v>72843.75</v>
      </c>
      <c r="F126" s="153">
        <v>101981.25</v>
      </c>
      <c r="G126" s="153">
        <f>E126+F126</f>
        <v>174825</v>
      </c>
      <c r="H126" s="153">
        <f>G126-D126</f>
        <v>0</v>
      </c>
      <c r="I126" s="162" t="s">
        <v>561</v>
      </c>
      <c r="J126" s="163" t="s">
        <v>547</v>
      </c>
    </row>
    <row r="127" spans="1:10" hidden="1" outlineLevel="1" collapsed="1" x14ac:dyDescent="0.3">
      <c r="A127" s="157" t="s">
        <v>7</v>
      </c>
      <c r="B127" s="158" t="s">
        <v>485</v>
      </c>
      <c r="C127" s="158"/>
      <c r="D127" s="159">
        <f>SUM(D124:D126)</f>
        <v>215390.7</v>
      </c>
      <c r="E127" s="159">
        <f>SUM(E124:E126)</f>
        <v>76911.75</v>
      </c>
      <c r="F127" s="159">
        <f>SUM(F124:F126)</f>
        <v>138479.25</v>
      </c>
      <c r="G127" s="159">
        <f>SUM(G124:G126)</f>
        <v>215391</v>
      </c>
      <c r="H127" s="159">
        <f>SUM(H124:H126)</f>
        <v>0.29999999999563443</v>
      </c>
      <c r="I127" s="160"/>
      <c r="J127" s="161"/>
    </row>
    <row r="128" spans="1:10" ht="28.8" hidden="1" outlineLevel="2" x14ac:dyDescent="0.3">
      <c r="A128" s="151" t="s">
        <v>7</v>
      </c>
      <c r="B128" s="152" t="s">
        <v>52</v>
      </c>
      <c r="C128" s="152" t="s">
        <v>198</v>
      </c>
      <c r="D128" s="153">
        <v>1211114.9924999999</v>
      </c>
      <c r="E128" s="153">
        <v>635699.3433333335</v>
      </c>
      <c r="F128" s="153">
        <v>575415.35666666669</v>
      </c>
      <c r="G128" s="153">
        <f>E128+F128</f>
        <v>1211114.7000000002</v>
      </c>
      <c r="H128" s="153">
        <f>G128-D128</f>
        <v>-0.2924999997485429</v>
      </c>
      <c r="I128" s="162" t="s">
        <v>561</v>
      </c>
      <c r="J128" s="163" t="s">
        <v>547</v>
      </c>
    </row>
    <row r="129" spans="1:10" ht="28.8" hidden="1" outlineLevel="2" x14ac:dyDescent="0.3">
      <c r="A129" s="151" t="s">
        <v>7</v>
      </c>
      <c r="B129" s="152" t="s">
        <v>52</v>
      </c>
      <c r="C129" s="152" t="s">
        <v>236</v>
      </c>
      <c r="D129" s="153">
        <v>238897.86250000002</v>
      </c>
      <c r="E129" s="153">
        <v>0</v>
      </c>
      <c r="F129" s="153">
        <v>232868.65</v>
      </c>
      <c r="G129" s="153">
        <f>E129+F129</f>
        <v>232868.65</v>
      </c>
      <c r="H129" s="153">
        <f>G129-D129</f>
        <v>-6029.2125000000233</v>
      </c>
      <c r="I129" s="156" t="s">
        <v>732</v>
      </c>
      <c r="J129" s="155" t="s">
        <v>546</v>
      </c>
    </row>
    <row r="130" spans="1:10" ht="28.8" hidden="1" outlineLevel="2" x14ac:dyDescent="0.3">
      <c r="A130" s="151" t="s">
        <v>7</v>
      </c>
      <c r="B130" s="152" t="s">
        <v>52</v>
      </c>
      <c r="C130" s="152" t="s">
        <v>381</v>
      </c>
      <c r="D130" s="153">
        <v>160000</v>
      </c>
      <c r="E130" s="153">
        <v>62500</v>
      </c>
      <c r="F130" s="153">
        <v>97500</v>
      </c>
      <c r="G130" s="153">
        <f>E130+F130</f>
        <v>160000</v>
      </c>
      <c r="H130" s="153">
        <f>G130-D130</f>
        <v>0</v>
      </c>
      <c r="I130" s="162" t="s">
        <v>733</v>
      </c>
      <c r="J130" s="163" t="s">
        <v>547</v>
      </c>
    </row>
    <row r="131" spans="1:10" ht="28.8" hidden="1" outlineLevel="2" x14ac:dyDescent="0.3">
      <c r="A131" s="151" t="s">
        <v>7</v>
      </c>
      <c r="B131" s="152" t="s">
        <v>52</v>
      </c>
      <c r="C131" s="152" t="s">
        <v>138</v>
      </c>
      <c r="D131" s="153">
        <v>175245.90000000002</v>
      </c>
      <c r="E131" s="153">
        <v>57666.666666666672</v>
      </c>
      <c r="F131" s="153">
        <v>117579.65</v>
      </c>
      <c r="G131" s="153">
        <f>E131+F131</f>
        <v>175246.31666666665</v>
      </c>
      <c r="H131" s="153">
        <f>G131-D131</f>
        <v>0.41666666662786156</v>
      </c>
      <c r="I131" s="156" t="s">
        <v>734</v>
      </c>
      <c r="J131" s="155" t="s">
        <v>546</v>
      </c>
    </row>
    <row r="132" spans="1:10" hidden="1" outlineLevel="1" collapsed="1" x14ac:dyDescent="0.3">
      <c r="A132" s="157" t="s">
        <v>7</v>
      </c>
      <c r="B132" s="158" t="s">
        <v>486</v>
      </c>
      <c r="C132" s="158"/>
      <c r="D132" s="159">
        <f>SUM(D128:D131)</f>
        <v>1785258.7549999999</v>
      </c>
      <c r="E132" s="159">
        <f>SUM(E128:E131)</f>
        <v>755866.01000000013</v>
      </c>
      <c r="F132" s="159">
        <f>SUM(F128:F131)</f>
        <v>1023363.6566666667</v>
      </c>
      <c r="G132" s="159">
        <f>SUM(G128:G131)</f>
        <v>1779229.6666666667</v>
      </c>
      <c r="H132" s="159">
        <f>SUM(H128:H131)</f>
        <v>-6029.088333333144</v>
      </c>
      <c r="I132" s="160"/>
      <c r="J132" s="161"/>
    </row>
    <row r="133" spans="1:10" ht="28.8" hidden="1" outlineLevel="2" x14ac:dyDescent="0.3">
      <c r="A133" s="151" t="s">
        <v>7</v>
      </c>
      <c r="B133" s="152" t="s">
        <v>53</v>
      </c>
      <c r="C133" s="152" t="s">
        <v>324</v>
      </c>
      <c r="D133" s="153">
        <v>50400</v>
      </c>
      <c r="E133" s="153">
        <v>0</v>
      </c>
      <c r="F133" s="153">
        <v>50400</v>
      </c>
      <c r="G133" s="153">
        <f t="shared" ref="G133:G145" si="10">E133+F133</f>
        <v>50400</v>
      </c>
      <c r="H133" s="153">
        <f t="shared" ref="H133:H145" si="11">G133-D133</f>
        <v>0</v>
      </c>
      <c r="I133" s="162" t="s">
        <v>561</v>
      </c>
      <c r="J133" s="163" t="s">
        <v>547</v>
      </c>
    </row>
    <row r="134" spans="1:10" ht="28.8" hidden="1" outlineLevel="2" x14ac:dyDescent="0.3">
      <c r="A134" s="151" t="s">
        <v>7</v>
      </c>
      <c r="B134" s="152" t="s">
        <v>53</v>
      </c>
      <c r="C134" s="152" t="s">
        <v>222</v>
      </c>
      <c r="D134" s="153">
        <v>99225</v>
      </c>
      <c r="E134" s="153">
        <v>40500</v>
      </c>
      <c r="F134" s="153">
        <v>58725</v>
      </c>
      <c r="G134" s="153">
        <f t="shared" si="10"/>
        <v>99225</v>
      </c>
      <c r="H134" s="153">
        <f t="shared" si="11"/>
        <v>0</v>
      </c>
      <c r="I134" s="162" t="s">
        <v>561</v>
      </c>
      <c r="J134" s="163" t="s">
        <v>547</v>
      </c>
    </row>
    <row r="135" spans="1:10" ht="28.8" hidden="1" outlineLevel="2" x14ac:dyDescent="0.3">
      <c r="A135" s="151" t="s">
        <v>7</v>
      </c>
      <c r="B135" s="152" t="s">
        <v>53</v>
      </c>
      <c r="C135" s="152" t="s">
        <v>57</v>
      </c>
      <c r="D135" s="153">
        <v>2512</v>
      </c>
      <c r="E135" s="153">
        <v>8136.97</v>
      </c>
      <c r="F135" s="153">
        <v>0</v>
      </c>
      <c r="G135" s="153">
        <f t="shared" si="10"/>
        <v>8136.97</v>
      </c>
      <c r="H135" s="153">
        <f t="shared" si="11"/>
        <v>5624.97</v>
      </c>
      <c r="I135" s="170" t="s">
        <v>735</v>
      </c>
      <c r="J135" s="169" t="s">
        <v>41</v>
      </c>
    </row>
    <row r="136" spans="1:10" ht="28.8" hidden="1" outlineLevel="2" x14ac:dyDescent="0.3">
      <c r="A136" s="151" t="s">
        <v>7</v>
      </c>
      <c r="B136" s="152" t="s">
        <v>53</v>
      </c>
      <c r="C136" s="152" t="s">
        <v>308</v>
      </c>
      <c r="D136" s="153">
        <v>32760</v>
      </c>
      <c r="E136" s="153">
        <v>0</v>
      </c>
      <c r="F136" s="153">
        <v>32760</v>
      </c>
      <c r="G136" s="153">
        <f t="shared" si="10"/>
        <v>32760</v>
      </c>
      <c r="H136" s="153">
        <f t="shared" si="11"/>
        <v>0</v>
      </c>
      <c r="I136" s="162" t="s">
        <v>561</v>
      </c>
      <c r="J136" s="163" t="s">
        <v>547</v>
      </c>
    </row>
    <row r="137" spans="1:10" ht="28.8" hidden="1" outlineLevel="2" x14ac:dyDescent="0.3">
      <c r="A137" s="151" t="s">
        <v>7</v>
      </c>
      <c r="B137" s="152" t="s">
        <v>53</v>
      </c>
      <c r="C137" s="152" t="s">
        <v>318</v>
      </c>
      <c r="D137" s="153">
        <v>3150</v>
      </c>
      <c r="E137" s="153">
        <v>0</v>
      </c>
      <c r="F137" s="153">
        <v>3150</v>
      </c>
      <c r="G137" s="153">
        <f t="shared" si="10"/>
        <v>3150</v>
      </c>
      <c r="H137" s="153">
        <f t="shared" si="11"/>
        <v>0</v>
      </c>
      <c r="I137" s="162" t="s">
        <v>561</v>
      </c>
      <c r="J137" s="163" t="s">
        <v>547</v>
      </c>
    </row>
    <row r="138" spans="1:10" ht="28.8" hidden="1" outlineLevel="2" x14ac:dyDescent="0.3">
      <c r="A138" s="151" t="s">
        <v>7</v>
      </c>
      <c r="B138" s="152" t="s">
        <v>53</v>
      </c>
      <c r="C138" s="152" t="s">
        <v>333</v>
      </c>
      <c r="D138" s="153">
        <v>48934</v>
      </c>
      <c r="E138" s="153">
        <v>8895</v>
      </c>
      <c r="F138" s="153">
        <v>40037</v>
      </c>
      <c r="G138" s="153">
        <f t="shared" si="10"/>
        <v>48932</v>
      </c>
      <c r="H138" s="153">
        <f t="shared" si="11"/>
        <v>-2</v>
      </c>
      <c r="I138" s="162" t="s">
        <v>561</v>
      </c>
      <c r="J138" s="163" t="s">
        <v>547</v>
      </c>
    </row>
    <row r="139" spans="1:10" ht="28.8" hidden="1" outlineLevel="2" x14ac:dyDescent="0.3">
      <c r="A139" s="151" t="s">
        <v>7</v>
      </c>
      <c r="B139" s="152" t="s">
        <v>53</v>
      </c>
      <c r="C139" s="152" t="s">
        <v>242</v>
      </c>
      <c r="D139" s="153">
        <v>90000</v>
      </c>
      <c r="E139" s="153">
        <v>0</v>
      </c>
      <c r="F139" s="153">
        <v>90000</v>
      </c>
      <c r="G139" s="153">
        <f t="shared" si="10"/>
        <v>90000</v>
      </c>
      <c r="H139" s="153">
        <f t="shared" si="11"/>
        <v>0</v>
      </c>
      <c r="I139" s="162" t="s">
        <v>561</v>
      </c>
      <c r="J139" s="163" t="s">
        <v>547</v>
      </c>
    </row>
    <row r="140" spans="1:10" ht="28.8" hidden="1" outlineLevel="2" x14ac:dyDescent="0.3">
      <c r="A140" s="151" t="s">
        <v>7</v>
      </c>
      <c r="B140" s="152" t="s">
        <v>53</v>
      </c>
      <c r="C140" s="152" t="s">
        <v>320</v>
      </c>
      <c r="D140" s="153">
        <v>2594.5500000000002</v>
      </c>
      <c r="E140" s="153">
        <v>0</v>
      </c>
      <c r="F140" s="153">
        <v>2595</v>
      </c>
      <c r="G140" s="153">
        <f t="shared" si="10"/>
        <v>2595</v>
      </c>
      <c r="H140" s="153">
        <f t="shared" si="11"/>
        <v>0.4499999999998181</v>
      </c>
      <c r="I140" s="162" t="s">
        <v>717</v>
      </c>
      <c r="J140" s="163" t="s">
        <v>547</v>
      </c>
    </row>
    <row r="141" spans="1:10" ht="28.8" hidden="1" outlineLevel="2" x14ac:dyDescent="0.3">
      <c r="A141" s="151" t="s">
        <v>7</v>
      </c>
      <c r="B141" s="152" t="s">
        <v>53</v>
      </c>
      <c r="C141" s="152" t="s">
        <v>402</v>
      </c>
      <c r="D141" s="153">
        <v>100000</v>
      </c>
      <c r="E141" s="153">
        <v>0</v>
      </c>
      <c r="F141" s="153">
        <v>113850</v>
      </c>
      <c r="G141" s="153">
        <f t="shared" si="10"/>
        <v>113850</v>
      </c>
      <c r="H141" s="153">
        <f t="shared" si="11"/>
        <v>13850</v>
      </c>
      <c r="I141" s="170" t="s">
        <v>736</v>
      </c>
      <c r="J141" s="169" t="s">
        <v>41</v>
      </c>
    </row>
    <row r="142" spans="1:10" ht="28.8" hidden="1" outlineLevel="2" x14ac:dyDescent="0.3">
      <c r="A142" s="151" t="s">
        <v>7</v>
      </c>
      <c r="B142" s="152" t="s">
        <v>53</v>
      </c>
      <c r="C142" s="152" t="s">
        <v>276</v>
      </c>
      <c r="D142" s="153">
        <v>72888.816000000006</v>
      </c>
      <c r="E142" s="153">
        <v>69417.919999999998</v>
      </c>
      <c r="F142" s="153">
        <v>0</v>
      </c>
      <c r="G142" s="153">
        <f t="shared" si="10"/>
        <v>69417.919999999998</v>
      </c>
      <c r="H142" s="153">
        <f t="shared" si="11"/>
        <v>-3470.8960000000079</v>
      </c>
      <c r="I142" s="156" t="s">
        <v>737</v>
      </c>
      <c r="J142" s="155" t="s">
        <v>158</v>
      </c>
    </row>
    <row r="143" spans="1:10" ht="28.8" hidden="1" outlineLevel="2" x14ac:dyDescent="0.3">
      <c r="A143" s="151" t="s">
        <v>7</v>
      </c>
      <c r="B143" s="152" t="s">
        <v>53</v>
      </c>
      <c r="C143" s="152" t="s">
        <v>347</v>
      </c>
      <c r="D143" s="153">
        <v>139031.20000000001</v>
      </c>
      <c r="E143" s="153">
        <v>56980</v>
      </c>
      <c r="F143" s="153">
        <v>82051.666666666672</v>
      </c>
      <c r="G143" s="153">
        <f t="shared" si="10"/>
        <v>139031.66666666669</v>
      </c>
      <c r="H143" s="153">
        <f t="shared" si="11"/>
        <v>0.46666666667442769</v>
      </c>
      <c r="I143" s="162" t="s">
        <v>717</v>
      </c>
      <c r="J143" s="163" t="s">
        <v>547</v>
      </c>
    </row>
    <row r="144" spans="1:10" hidden="1" outlineLevel="2" x14ac:dyDescent="0.3">
      <c r="A144" s="151" t="s">
        <v>7</v>
      </c>
      <c r="B144" s="152" t="s">
        <v>53</v>
      </c>
      <c r="C144" s="152" t="s">
        <v>298</v>
      </c>
      <c r="D144" s="153">
        <v>70432.698000000004</v>
      </c>
      <c r="E144" s="153">
        <v>878.21</v>
      </c>
      <c r="F144" s="153">
        <v>69432.698000000004</v>
      </c>
      <c r="G144" s="153">
        <f t="shared" si="10"/>
        <v>70310.90800000001</v>
      </c>
      <c r="H144" s="153">
        <f t="shared" si="11"/>
        <v>-121.7899999999936</v>
      </c>
      <c r="I144" s="162" t="s">
        <v>738</v>
      </c>
      <c r="J144" s="163" t="s">
        <v>546</v>
      </c>
    </row>
    <row r="145" spans="1:10" ht="28.8" hidden="1" outlineLevel="2" x14ac:dyDescent="0.3">
      <c r="A145" s="151" t="s">
        <v>7</v>
      </c>
      <c r="B145" s="152" t="s">
        <v>53</v>
      </c>
      <c r="C145" s="152" t="s">
        <v>215</v>
      </c>
      <c r="D145" s="153">
        <v>440671.35000000003</v>
      </c>
      <c r="E145" s="153">
        <v>108702.6</v>
      </c>
      <c r="F145" s="153">
        <v>331968.40000000002</v>
      </c>
      <c r="G145" s="153">
        <f t="shared" si="10"/>
        <v>440671</v>
      </c>
      <c r="H145" s="153">
        <f t="shared" si="11"/>
        <v>-0.3500000000349246</v>
      </c>
      <c r="I145" s="162" t="s">
        <v>717</v>
      </c>
      <c r="J145" s="163" t="s">
        <v>547</v>
      </c>
    </row>
    <row r="146" spans="1:10" hidden="1" outlineLevel="1" collapsed="1" x14ac:dyDescent="0.3">
      <c r="A146" s="157" t="s">
        <v>7</v>
      </c>
      <c r="B146" s="158" t="s">
        <v>487</v>
      </c>
      <c r="C146" s="158"/>
      <c r="D146" s="159">
        <f>SUM(D133:D145)</f>
        <v>1152599.6140000001</v>
      </c>
      <c r="E146" s="159">
        <f>SUM(E133:E145)</f>
        <v>293510.7</v>
      </c>
      <c r="F146" s="159">
        <f>SUM(F133:F145)</f>
        <v>874969.76466666674</v>
      </c>
      <c r="G146" s="159">
        <f>SUM(G133:G145)</f>
        <v>1168480.4646666667</v>
      </c>
      <c r="H146" s="159">
        <f>SUM(H133:H145)</f>
        <v>15880.850666666636</v>
      </c>
      <c r="I146" s="160"/>
      <c r="J146" s="161"/>
    </row>
    <row r="147" spans="1:10" hidden="1" collapsed="1" x14ac:dyDescent="0.3">
      <c r="A147" s="171" t="s">
        <v>567</v>
      </c>
      <c r="B147" s="172"/>
      <c r="C147" s="172"/>
      <c r="D147" s="173">
        <f>SUM(D101,D111,D123,D127,D132,D146)</f>
        <v>20398429.541149996</v>
      </c>
      <c r="E147" s="173">
        <f>SUM(E101,E111,E123,E127,E132,E146)</f>
        <v>8134460.5133333327</v>
      </c>
      <c r="F147" s="173">
        <f>SUM(F101,F111,F123,F127,F132,F146)</f>
        <v>13342532.644333333</v>
      </c>
      <c r="G147" s="173">
        <f>SUM(G101,G111,G123,G127,G132,G146)</f>
        <v>21476993.157666668</v>
      </c>
      <c r="H147" s="173">
        <f>SUM(H101,H111,H123,H127,H132,H146)</f>
        <v>1078563.6165166663</v>
      </c>
      <c r="I147" s="174"/>
      <c r="J147" s="175"/>
    </row>
    <row r="148" spans="1:10" hidden="1" x14ac:dyDescent="0.3"/>
    <row r="149" spans="1:10" hidden="1" x14ac:dyDescent="0.3">
      <c r="D149" s="176">
        <f>SUM(D147,D92,D73,D59,D42,D21,D15)</f>
        <v>44788397.956149995</v>
      </c>
      <c r="E149" s="176">
        <f t="shared" ref="E149:H149" si="12">SUM(E147,E92,E73,E59,E42,E21,E15)</f>
        <v>17444836.636733335</v>
      </c>
      <c r="F149" s="176">
        <f t="shared" si="12"/>
        <v>28731180.496833332</v>
      </c>
      <c r="G149" s="176">
        <f t="shared" si="12"/>
        <v>46176017.13356667</v>
      </c>
      <c r="H149" s="176">
        <f t="shared" si="12"/>
        <v>1387619.1774166673</v>
      </c>
    </row>
    <row r="150" spans="1:10" hidden="1" x14ac:dyDescent="0.3"/>
    <row r="151" spans="1:10" hidden="1" x14ac:dyDescent="0.3">
      <c r="B151" s="177"/>
    </row>
    <row r="152" spans="1:10" hidden="1" x14ac:dyDescent="0.3">
      <c r="B152" s="177"/>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 priority="1">
      <formula>$J2="Hard Opportunity"</formula>
    </cfRule>
    <cfRule type="expression" dxfId="8" priority="2">
      <formula>$J2="Hard Risk"</formula>
    </cfRule>
    <cfRule type="expression" dxfId="7" priority="3">
      <formula>$J2="Soft Opportunity"</formula>
    </cfRule>
    <cfRule type="expression" dxfId="6" priority="4">
      <formula>$J2="Soft Risk"</formula>
    </cfRule>
  </conditionalFormatting>
  <conditionalFormatting sqref="J2:J149">
    <cfRule type="expression" dxfId="5" priority="5">
      <formula>$J2="Hard Opportunity"</formula>
    </cfRule>
    <cfRule type="expression" dxfId="4" priority="6">
      <formula>$J2="Hard Risk"</formula>
    </cfRule>
    <cfRule type="expression" dxfId="3" priority="7">
      <formula>$J2="Soft Opportunity"</formula>
    </cfRule>
    <cfRule type="expression" dxfId="2"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3" sqref="G3"/>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488</v>
      </c>
    </row>
    <row r="2" spans="1:16" x14ac:dyDescent="0.3">
      <c r="A2" s="8" t="s">
        <v>54</v>
      </c>
      <c r="B2" t="s">
        <v>489</v>
      </c>
      <c r="C2" t="s">
        <v>490</v>
      </c>
      <c r="D2" t="s">
        <v>508</v>
      </c>
      <c r="E2" t="s">
        <v>491</v>
      </c>
      <c r="F2" t="s">
        <v>492</v>
      </c>
      <c r="G2" t="s">
        <v>509</v>
      </c>
      <c r="H2" t="s">
        <v>493</v>
      </c>
      <c r="I2" t="s">
        <v>494</v>
      </c>
      <c r="J2" t="s">
        <v>510</v>
      </c>
      <c r="K2" t="s">
        <v>581</v>
      </c>
      <c r="L2" t="s">
        <v>582</v>
      </c>
      <c r="M2" t="s">
        <v>583</v>
      </c>
      <c r="N2" t="s">
        <v>641</v>
      </c>
      <c r="O2" t="s">
        <v>642</v>
      </c>
      <c r="P2" t="s">
        <v>643</v>
      </c>
    </row>
    <row r="3" spans="1:16" x14ac:dyDescent="0.3">
      <c r="A3" t="s">
        <v>48</v>
      </c>
      <c r="B3" s="97">
        <v>858455.56333333324</v>
      </c>
      <c r="C3" s="97">
        <v>858344.35333333327</v>
      </c>
      <c r="D3" s="97">
        <v>-111.21000000000276</v>
      </c>
      <c r="E3" s="97">
        <v>929854.57333333325</v>
      </c>
      <c r="F3" s="97">
        <v>932993.91333333333</v>
      </c>
      <c r="G3" s="97">
        <v>3139.3399999999965</v>
      </c>
      <c r="H3" s="97">
        <v>872198.97333333339</v>
      </c>
      <c r="I3" s="97">
        <v>949145.58333333337</v>
      </c>
      <c r="J3" s="97">
        <v>76946.609999999971</v>
      </c>
      <c r="K3" s="97">
        <v>845437.49083333323</v>
      </c>
      <c r="L3" s="97">
        <v>877895.58083333331</v>
      </c>
      <c r="M3" s="97">
        <v>32458.09</v>
      </c>
      <c r="N3" s="97">
        <v>855269.49083333323</v>
      </c>
      <c r="O3" s="97">
        <v>731310.30083333328</v>
      </c>
      <c r="P3" s="97">
        <v>-123959.19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3415477.5079166666</v>
      </c>
      <c r="I9" s="97">
        <v>3446160.7425000006</v>
      </c>
      <c r="J9" s="97">
        <v>30683.234583333353</v>
      </c>
      <c r="K9" s="97">
        <v>3962383.796083333</v>
      </c>
      <c r="L9" s="97">
        <v>3658367.2383666672</v>
      </c>
      <c r="M9" s="97">
        <v>-304016.55771666672</v>
      </c>
      <c r="N9" s="97">
        <v>3455198.9060833333</v>
      </c>
      <c r="O9" s="97">
        <v>3164169.3883666666</v>
      </c>
      <c r="P9" s="97">
        <v>-291029.51771666668</v>
      </c>
    </row>
    <row r="12" spans="1:16" ht="15" thickBot="1" x14ac:dyDescent="0.35"/>
    <row r="13" spans="1:16" ht="14.4" customHeight="1" x14ac:dyDescent="0.3">
      <c r="F13" s="186">
        <f>(D9+G9+J9+M9+P9)/100000</f>
        <v>-5.7274933751666666</v>
      </c>
      <c r="G13" s="189" t="s">
        <v>644</v>
      </c>
      <c r="H13" s="190"/>
      <c r="I13" s="190"/>
      <c r="J13" s="191"/>
    </row>
    <row r="14" spans="1:16" x14ac:dyDescent="0.3">
      <c r="F14" s="187"/>
      <c r="G14" s="192"/>
      <c r="H14" s="193"/>
      <c r="I14" s="193"/>
      <c r="J14" s="194"/>
    </row>
    <row r="15" spans="1:16" ht="15" thickBot="1" x14ac:dyDescent="0.35">
      <c r="F15" s="188"/>
      <c r="G15" s="195"/>
      <c r="H15" s="196"/>
      <c r="I15" s="196"/>
      <c r="J15" s="197"/>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9"/>
  <sheetViews>
    <sheetView zoomScaleNormal="100" workbookViewId="0">
      <pane xSplit="2" ySplit="1" topLeftCell="U17" activePane="bottomRight" state="frozen"/>
      <selection pane="topRight" activeCell="C1" sqref="C1"/>
      <selection pane="bottomLeft" activeCell="A2" sqref="A2"/>
      <selection pane="bottomRight" activeCell="V123" sqref="V123"/>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627</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495</v>
      </c>
      <c r="BD1" s="72" t="s">
        <v>496</v>
      </c>
      <c r="BE1" s="72" t="s">
        <v>497</v>
      </c>
      <c r="BF1" s="72" t="s">
        <v>498</v>
      </c>
      <c r="BG1" s="73" t="s">
        <v>499</v>
      </c>
      <c r="BH1" s="73" t="s">
        <v>500</v>
      </c>
      <c r="BI1" s="73" t="s">
        <v>501</v>
      </c>
      <c r="BJ1" s="73" t="s">
        <v>502</v>
      </c>
      <c r="BK1" s="73" t="s">
        <v>503</v>
      </c>
      <c r="BL1" s="73" t="s">
        <v>504</v>
      </c>
      <c r="BM1" s="73" t="s">
        <v>505</v>
      </c>
      <c r="BN1" s="74" t="s">
        <v>506</v>
      </c>
      <c r="BO1" s="74" t="s">
        <v>507</v>
      </c>
      <c r="BP1" s="31" t="s">
        <v>472</v>
      </c>
      <c r="BQ1" s="50" t="s">
        <v>645</v>
      </c>
      <c r="BR1" s="50" t="s">
        <v>646</v>
      </c>
      <c r="BS1" s="50" t="s">
        <v>647</v>
      </c>
      <c r="BT1" s="50" t="s">
        <v>648</v>
      </c>
      <c r="BU1" s="50" t="s">
        <v>649</v>
      </c>
      <c r="BV1" s="50" t="s">
        <v>750</v>
      </c>
    </row>
    <row r="2" spans="1:76" hidden="1"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hidden="1"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hidden="1"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749</v>
      </c>
      <c r="AB4" s="52">
        <v>11185.549999999997</v>
      </c>
      <c r="AC4" s="52">
        <v>7399.97</v>
      </c>
      <c r="AD4" s="52">
        <v>16129.190000000002</v>
      </c>
      <c r="AE4" s="52">
        <v>25262</v>
      </c>
      <c r="AF4" s="52">
        <v>23681.14</v>
      </c>
      <c r="AG4" s="52"/>
      <c r="AH4" s="52"/>
      <c r="AI4" s="52"/>
      <c r="AJ4" s="52"/>
      <c r="AK4" s="52"/>
      <c r="AL4" s="52"/>
      <c r="AM4" s="46">
        <f>159449-83658+50000+20222</f>
        <v>146013</v>
      </c>
      <c r="AN4" s="46">
        <f>SUM(Financials20263[[#This Row],[Jan FC]:[Dec FC]])</f>
        <v>229670.85</v>
      </c>
      <c r="AO4" s="15">
        <f t="shared" si="5"/>
        <v>146013</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-146013</v>
      </c>
      <c r="BO4" s="71">
        <f>SUM(Financials20263[[#This Row],[Jan Opp/Risk]:[Dec Opp./Risk]])</f>
        <v>-146013</v>
      </c>
      <c r="BP4" s="87" t="s">
        <v>513</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146013</v>
      </c>
      <c r="BT4" s="6">
        <f>SUM(Financials20263[[#This Row],[Jan FC]:[May FC]])</f>
        <v>83657.850000000006</v>
      </c>
      <c r="BU4" s="6">
        <f>Financials20263[[#This Row],[Jan-May Actuals]]+Financials20263[[#This Row],[Forecast Jun-Dec]]</f>
        <v>229670.85</v>
      </c>
      <c r="BV4" s="6"/>
      <c r="BW4" s="6"/>
      <c r="BX4" s="6"/>
    </row>
    <row r="5" spans="1:76" hidden="1"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592</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hidden="1"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hidden="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5">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hidden="1" x14ac:dyDescent="0.3">
      <c r="A8" s="22" t="s">
        <v>101</v>
      </c>
      <c r="B8" s="21" t="s">
        <v>133</v>
      </c>
      <c r="C8" s="21"/>
      <c r="D8" s="10" t="s">
        <v>517</v>
      </c>
      <c r="E8" s="7" t="s">
        <v>518</v>
      </c>
      <c r="F8" s="3" t="s">
        <v>123</v>
      </c>
      <c r="G8" s="3" t="s">
        <v>50</v>
      </c>
      <c r="H8" s="104">
        <v>46120</v>
      </c>
      <c r="I8" s="104">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571</v>
      </c>
      <c r="AB8" s="52"/>
      <c r="AC8" s="52"/>
      <c r="AD8" s="52"/>
      <c r="AE8" s="52">
        <v>7500</v>
      </c>
      <c r="AF8" s="52">
        <v>2400</v>
      </c>
      <c r="AG8" s="51"/>
      <c r="AH8" s="52"/>
      <c r="AI8" s="52"/>
      <c r="AJ8" s="52"/>
      <c r="AK8" s="52"/>
      <c r="AL8" s="51"/>
      <c r="AM8" s="111">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520</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hidden="1"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650</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hidden="1"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597</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hidden="1"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519</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hidden="1"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519</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hidden="1"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hidden="1"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hidden="1"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hidden="1"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519</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hidden="1"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hidden="1"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hidden="1"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hidden="1"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740</v>
      </c>
      <c r="AB21" s="52">
        <v>113296</v>
      </c>
      <c r="AC21" s="52">
        <v>113296</v>
      </c>
      <c r="AD21" s="52">
        <v>113296</v>
      </c>
      <c r="AE21" s="52">
        <v>116743</v>
      </c>
      <c r="AF21" s="52">
        <v>120956</v>
      </c>
      <c r="AG21" s="52">
        <v>120190</v>
      </c>
      <c r="AH21" s="52">
        <v>120190</v>
      </c>
      <c r="AI21" s="52">
        <v>127356</v>
      </c>
      <c r="AJ21" s="52">
        <v>127356</v>
      </c>
      <c r="AK21" s="52">
        <v>127356</v>
      </c>
      <c r="AL21" s="52">
        <v>127356</v>
      </c>
      <c r="AM21" s="52">
        <v>127356</v>
      </c>
      <c r="AN21" s="52">
        <f>SUM(Financials20263[[#This Row],[Jan FC]:[Dec FC]])</f>
        <v>1454747</v>
      </c>
      <c r="AO21" s="15">
        <f t="shared" si="5"/>
        <v>877160</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-3447</v>
      </c>
      <c r="BG21" s="71">
        <f>Financials20263[[#This Row],[May AC]]-Financials20263[[#This Row],[May FC]]</f>
        <v>-7660</v>
      </c>
      <c r="BH21" s="71">
        <f>Financials20263[[#This Row],[Jun AC]]-Financials20263[[#This Row],[Jun FC]]</f>
        <v>-120190</v>
      </c>
      <c r="BI21" s="71">
        <f>Financials20263[[#This Row],[Jul AC]]-Financials20263[[#This Row],[Jul FC]]</f>
        <v>-120190</v>
      </c>
      <c r="BJ21" s="71">
        <f>Financials20263[[#This Row],[Aug AC]]-Financials20263[[#This Row],[Aug FC]]</f>
        <v>-127356</v>
      </c>
      <c r="BK21" s="71">
        <f>Financials20263[[#This Row],[Sep AC]]-Financials20263[[#This Row],[Sep FC]]</f>
        <v>-127356</v>
      </c>
      <c r="BL21" s="71">
        <f>Financials20263[[#This Row],[Oct AC]]-Financials20263[[#This Row],[Oct FC]]</f>
        <v>-127356</v>
      </c>
      <c r="BM21" s="71">
        <f>Financials20263[[#This Row],[Nov AC]]-Financials20263[[#This Row],[Nov FC]]</f>
        <v>-127356</v>
      </c>
      <c r="BN21" s="71">
        <f>Financials20263[[#This Row],[Dec AC]]-Financials20263[[#This Row],[Dec FC]]</f>
        <v>-127356</v>
      </c>
      <c r="BO21" s="71">
        <f>SUM(Financials20263[[#This Row],[Jan Opp/Risk]:[Dec Opp./Risk]])</f>
        <v>-888267</v>
      </c>
      <c r="BP21" s="89" t="s">
        <v>651</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877160</v>
      </c>
      <c r="BT21" s="6">
        <f>SUM(Financials20263[[#This Row],[Jan FC]:[May FC]])</f>
        <v>577587</v>
      </c>
      <c r="BU21" s="6">
        <f>Financials20263[[#This Row],[Jan-May Actuals]]+Financials20263[[#This Row],[Forecast Jun-Dec]]</f>
        <v>1443640</v>
      </c>
      <c r="BV21" s="6"/>
      <c r="BW21" s="6"/>
      <c r="BX21" s="6"/>
    </row>
    <row r="22" spans="1:76" hidden="1"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526</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hidden="1"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525</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526</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hidden="1"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525</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630</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hidden="1"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525</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631</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hidden="1"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525</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526</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hidden="1"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640</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519</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735000</v>
      </c>
      <c r="X28" s="15">
        <f t="shared" si="7"/>
        <v>0</v>
      </c>
      <c r="Y28" s="15">
        <f t="shared" si="2"/>
        <v>390000</v>
      </c>
      <c r="Z28" s="15">
        <f>SUM(Financials20263[[#This Row],[2026 Opportunity]:[2026 Risk]])</f>
        <v>390000</v>
      </c>
      <c r="AA28" s="11" t="s">
        <v>196</v>
      </c>
      <c r="AB28" s="52">
        <f>Financials20263[[#This Row],[2026 Final Budget]]/12</f>
        <v>28750</v>
      </c>
      <c r="AC28" s="52">
        <f>Financials20263[[#This Row],[2026 Final Budget]]/12</f>
        <v>28750</v>
      </c>
      <c r="AD28" s="52">
        <v>41750</v>
      </c>
      <c r="AE28" s="52">
        <v>54750</v>
      </c>
      <c r="AF28" s="52">
        <v>54750</v>
      </c>
      <c r="AG28" s="52">
        <v>54750</v>
      </c>
      <c r="AH28" s="52">
        <v>67750</v>
      </c>
      <c r="AI28" s="52">
        <v>80750</v>
      </c>
      <c r="AJ28" s="52">
        <v>80750</v>
      </c>
      <c r="AK28" s="52">
        <v>80750</v>
      </c>
      <c r="AL28" s="52">
        <v>80750</v>
      </c>
      <c r="AM28" s="52">
        <v>80750</v>
      </c>
      <c r="AN28" s="52">
        <f>SUM(Financials20263[[#This Row],[Jan FC]:[Dec FC]])</f>
        <v>735000</v>
      </c>
      <c r="AO28" s="15">
        <f t="shared" si="5"/>
        <v>526250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-67750</v>
      </c>
      <c r="BJ28" s="71">
        <f>Financials20263[[#This Row],[Aug AC]]-Financials20263[[#This Row],[Aug FC]]</f>
        <v>-80750</v>
      </c>
      <c r="BK28" s="71">
        <f>Financials20263[[#This Row],[Sep AC]]-Financials20263[[#This Row],[Sep FC]]</f>
        <v>-80750</v>
      </c>
      <c r="BL28" s="71">
        <f>Financials20263[[#This Row],[Oct AC]]-Financials20263[[#This Row],[Oct FC]]</f>
        <v>-80750</v>
      </c>
      <c r="BM28" s="71">
        <f>Financials20263[[#This Row],[Nov AC]]-Financials20263[[#This Row],[Nov FC]]</f>
        <v>-80750</v>
      </c>
      <c r="BN28" s="71">
        <f>Financials20263[[#This Row],[Dec AC]]-Financials20263[[#This Row],[Dec FC]]</f>
        <v>-80750</v>
      </c>
      <c r="BO28" s="71">
        <f>SUM(Financials20263[[#This Row],[Jan Opp/Risk]:[Dec Opp./Risk]])</f>
        <v>-581000</v>
      </c>
      <c r="BP28" s="87" t="s">
        <v>529</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581000</v>
      </c>
      <c r="BT28" s="6">
        <f>SUM(Financials20263[[#This Row],[Jan FC]:[May FC]])</f>
        <v>208750</v>
      </c>
      <c r="BU28" s="6">
        <f>Financials20263[[#This Row],[Jan-May Actuals]]+Financials20263[[#This Row],[Forecast Jun-Dec]]</f>
        <v>735000</v>
      </c>
      <c r="BV28" s="6"/>
      <c r="BW28" s="6"/>
      <c r="BX28" s="6"/>
    </row>
    <row r="29" spans="1:76" hidden="1"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526</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hidden="1"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526</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629</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hidden="1"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524</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652</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620</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hidden="1"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577</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584</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hidden="1"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531</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hidden="1"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519</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hidden="1"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hidden="1"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hidden="1"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hidden="1"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515</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hidden="1"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516</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hidden="1"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hidden="1"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534</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hidden="1"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594</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hidden="1"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hidden="1"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hidden="1"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595</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596</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hidden="1"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514</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528</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hidden="1"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519</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hidden="1"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hidden="1"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585</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576</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hidden="1"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hidden="1"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hidden="1"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hidden="1"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hidden="1"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519</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hidden="1"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519</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hidden="1"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hidden="1"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653</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hidden="1"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480</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hidden="1"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hidden="1"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1">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519</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hidden="1"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hidden="1"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519</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hidden="1"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hidden="1"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hidden="1"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hidden="1"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hidden="1"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hidden="1"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hidden="1"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519</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hidden="1"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hidden="1"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hidden="1"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hidden="1"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574</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hidden="1"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hidden="1"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512</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hidden="1"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572</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hidden="1"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hidden="1"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hidden="1"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hidden="1"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542</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625</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hidden="1"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hidden="1"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578</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579</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hidden="1"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519</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hidden="1"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hidden="1"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593</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hidden="1"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519</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hidden="1"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573</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hidden="1"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637</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636</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hidden="1"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618</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619</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hidden="1"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523</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hidden="1"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519</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t="s">
        <v>751</v>
      </c>
      <c r="BW96" s="6"/>
      <c r="BX96" s="6"/>
    </row>
    <row r="97" spans="1:76" hidden="1"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hidden="1"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526</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hidden="1"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519</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hidden="1"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626</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hidden="1"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f>1244018+197929</f>
        <v>1441947</v>
      </c>
      <c r="W101" s="15">
        <f t="shared" si="29"/>
        <v>1441946.6100000003</v>
      </c>
      <c r="X101" s="15">
        <f t="shared" si="33"/>
        <v>-0.38999999966472387</v>
      </c>
      <c r="Y101" s="15">
        <f t="shared" si="30"/>
        <v>0</v>
      </c>
      <c r="Z101" s="37">
        <f>SUM(Financials20263[[#This Row],[2026 Opportunity]:[2026 Risk]])</f>
        <v>-0.38999999966472387</v>
      </c>
      <c r="AA101" s="41" t="s">
        <v>748</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624</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hidden="1"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519</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hidden="1"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539</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574</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hidden="1"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2">
        <v>372</v>
      </c>
      <c r="AU104" s="112">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hidden="1"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535</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2">
        <v>628.64919999999995</v>
      </c>
      <c r="AU105" s="112">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519</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hidden="1"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hidden="1"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634</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569</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hidden="1"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519</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hidden="1"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519</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hidden="1"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540</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540</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hidden="1"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519</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hidden="1"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519</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hidden="1"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hidden="1"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519</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hidden="1"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hidden="1"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hidden="1"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hidden="1"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575</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hidden="1"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81590</v>
      </c>
      <c r="W119" s="15">
        <f t="shared" si="29"/>
        <v>81589.55</v>
      </c>
      <c r="X119" s="15">
        <f t="shared" si="33"/>
        <v>-0.44999999999708962</v>
      </c>
      <c r="Y119" s="15">
        <f t="shared" si="30"/>
        <v>0</v>
      </c>
      <c r="Z119" s="15">
        <f>SUM(Financials20263[[#This Row],[2026 Opportunity]:[2026 Risk]])</f>
        <v>-0.44999999999708962</v>
      </c>
      <c r="AA119" s="3" t="s">
        <v>744</v>
      </c>
      <c r="AB119" s="52"/>
      <c r="AC119" s="52"/>
      <c r="AD119" s="52"/>
      <c r="AE119" s="52"/>
      <c r="AF119" s="52"/>
      <c r="AG119" s="52"/>
      <c r="AH119" s="52"/>
      <c r="AI119" s="52"/>
      <c r="AJ119" s="52"/>
      <c r="AK119" s="52"/>
      <c r="AL119" s="52"/>
      <c r="AM119" s="46">
        <v>60891</v>
      </c>
      <c r="AN119" s="52">
        <f>SUM(Financials20263[[#This Row],[Jan FC]:[Dec FC]])</f>
        <v>60891</v>
      </c>
      <c r="AO119" s="15">
        <f t="shared" si="31"/>
        <v>60891</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-60891</v>
      </c>
      <c r="BO119" s="71">
        <f>SUM(Financials20263[[#This Row],[Jan Opp/Risk]:[Dec Opp./Risk]])</f>
        <v>-32427.67</v>
      </c>
      <c r="BP119" s="87" t="s">
        <v>654</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60891</v>
      </c>
      <c r="BT119" s="6">
        <f>SUM(Financials20263[[#This Row],[Jan FC]:[May FC]])</f>
        <v>0</v>
      </c>
      <c r="BU119" s="6">
        <f>Financials20263[[#This Row],[Jan-May Actuals]]+Financials20263[[#This Row],[Forecast Jun-Dec]]</f>
        <v>81589.55</v>
      </c>
      <c r="BV119" s="6"/>
      <c r="BW119" s="6"/>
      <c r="BX119" s="6"/>
    </row>
    <row r="120" spans="1:76" hidden="1"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628</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533</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hidden="1"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f>81590*0</f>
        <v>0</v>
      </c>
      <c r="W121" s="15">
        <f t="shared" si="29"/>
        <v>0</v>
      </c>
      <c r="X121" s="15">
        <f t="shared" si="33"/>
        <v>0</v>
      </c>
      <c r="Y121" s="15">
        <f t="shared" si="30"/>
        <v>0</v>
      </c>
      <c r="Z121" s="15">
        <f>SUM(Financials20263[[#This Row],[2026 Opportunity]:[2026 Risk]])</f>
        <v>0</v>
      </c>
      <c r="AA121" s="14" t="s">
        <v>745</v>
      </c>
      <c r="AB121" s="52"/>
      <c r="AC121" s="52"/>
      <c r="AD121" s="52"/>
      <c r="AE121" s="52"/>
      <c r="AF121" s="52"/>
      <c r="AG121" s="52"/>
      <c r="AH121" s="52"/>
      <c r="AI121" s="52"/>
      <c r="AJ121" s="52"/>
      <c r="AK121" s="52"/>
      <c r="AL121" s="52"/>
      <c r="AM121" s="52"/>
      <c r="AN121" s="52">
        <f>SUM(Financials20263[[#This Row],[Jan FC]:[Dec FC]])</f>
        <v>0</v>
      </c>
      <c r="AO121" s="15">
        <f t="shared" si="31"/>
        <v>0</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0</v>
      </c>
      <c r="BF121" s="71">
        <f>Financials20263[[#This Row],[Apr AC]]-Financials20263[[#This Row],[Apr FC]]</f>
        <v>0</v>
      </c>
      <c r="BG121" s="71">
        <f>Financials20263[[#This Row],[May AC]]-Financials20263[[#This Row],[May FC]]</f>
        <v>0</v>
      </c>
      <c r="BH121" s="71">
        <f>Financials20263[[#This Row],[Jun AC]]-Financials20263[[#This Row],[Jun FC]]</f>
        <v>0</v>
      </c>
      <c r="BI121" s="71">
        <f>Financials20263[[#This Row],[Jul AC]]-Financials20263[[#This Row],[Jul FC]]</f>
        <v>0</v>
      </c>
      <c r="BJ121" s="71">
        <f>Financials20263[[#This Row],[Aug AC]]-Financials20263[[#This Row],[Aug FC]]</f>
        <v>0</v>
      </c>
      <c r="BK121" s="71">
        <f>Financials20263[[#This Row],[Sep AC]]-Financials20263[[#This Row],[Sep FC]]</f>
        <v>0</v>
      </c>
      <c r="BL121" s="71">
        <f>Financials20263[[#This Row],[Oct AC]]-Financials20263[[#This Row],[Oct FC]]</f>
        <v>0</v>
      </c>
      <c r="BM121" s="71">
        <f>Financials20263[[#This Row],[Nov AC]]-Financials20263[[#This Row],[Nov FC]]</f>
        <v>0</v>
      </c>
      <c r="BN121" s="71">
        <f>Financials20263[[#This Row],[Dec AC]]-Financials20263[[#This Row],[Dec FC]]</f>
        <v>0</v>
      </c>
      <c r="BO121" s="71">
        <f>SUM(Financials20263[[#This Row],[Jan Opp/Risk]:[Dec Opp./Risk]])</f>
        <v>0</v>
      </c>
      <c r="BP121" s="87"/>
      <c r="BQ121" s="47">
        <f>SUM(Financials20263[[#This Row],[Jan AC]:[May AC]])</f>
        <v>0</v>
      </c>
      <c r="BR121" s="6">
        <f>Financials20263[[#This Row],[2026 (Actuals + Forecast)]]-Financials20263[[#This Row],[Jan-May Actuals]]-Financials20263[[#This Row],[Jun-Dec FC]]</f>
        <v>0</v>
      </c>
      <c r="BS121" s="6">
        <f>Financials20263[[#This Row],[Jun-Dec FC]]+Financials20263[[#This Row],[Jan-May Forecast ]]</f>
        <v>0</v>
      </c>
      <c r="BT121" s="6">
        <f>SUM(Financials20263[[#This Row],[Jan FC]:[May FC]])</f>
        <v>0</v>
      </c>
      <c r="BU121" s="6">
        <f>Financials20263[[#This Row],[Jan-May Actuals]]+Financials20263[[#This Row],[Forecast Jun-Dec]]</f>
        <v>0</v>
      </c>
      <c r="BV121" s="6"/>
      <c r="BW121" s="6"/>
      <c r="BX121" s="6"/>
    </row>
    <row r="122" spans="1:76" hidden="1"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6">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623</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t="s">
        <v>751</v>
      </c>
      <c r="BW123" s="6"/>
      <c r="BX123" s="6"/>
    </row>
    <row r="124" spans="1:76" hidden="1"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f>165000-95195</f>
        <v>69805</v>
      </c>
      <c r="W124" s="15">
        <f t="shared" si="29"/>
        <v>0</v>
      </c>
      <c r="X124" s="15">
        <f t="shared" si="33"/>
        <v>-69805</v>
      </c>
      <c r="Y124" s="15">
        <f t="shared" si="30"/>
        <v>0</v>
      </c>
      <c r="Z124" s="15">
        <f>SUM(Financials20263[[#This Row],[2026 Opportunity]:[2026 Risk]])</f>
        <v>-69805</v>
      </c>
      <c r="AA124" s="3" t="s">
        <v>743</v>
      </c>
      <c r="AB124" s="52"/>
      <c r="AC124" s="52"/>
      <c r="AD124" s="52"/>
      <c r="AE124" s="52"/>
      <c r="AF124" s="52"/>
      <c r="AG124" s="52"/>
      <c r="AH124" s="52"/>
      <c r="AI124" s="52"/>
      <c r="AJ124" s="52"/>
      <c r="AK124" s="52"/>
      <c r="AL124" s="52"/>
      <c r="AM124" s="46">
        <v>0</v>
      </c>
      <c r="AN124" s="52">
        <f>SUM(Financials20263[[#This Row],[Jan FC]:[Dec FC]])</f>
        <v>0</v>
      </c>
      <c r="AO124" s="15">
        <f t="shared" si="31"/>
        <v>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0</v>
      </c>
      <c r="BO124" s="71">
        <f>SUM(Financials20263[[#This Row],[Jan Opp/Risk]:[Dec Opp./Risk]])</f>
        <v>0</v>
      </c>
      <c r="BP124" s="87" t="s">
        <v>623</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0</v>
      </c>
      <c r="BT124" s="6">
        <f>SUM(Financials20263[[#This Row],[Jan FC]:[May FC]])</f>
        <v>0</v>
      </c>
      <c r="BU124" s="6">
        <f>Financials20263[[#This Row],[Jan-May Actuals]]+Financials20263[[#This Row],[Forecast Jun-Dec]]</f>
        <v>0</v>
      </c>
      <c r="BV124" s="6"/>
      <c r="BW124" s="6"/>
      <c r="BX124" s="6"/>
    </row>
    <row r="125" spans="1:76" hidden="1"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623</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t="s">
        <v>751</v>
      </c>
      <c r="BW125" s="6"/>
      <c r="BX125" s="6"/>
    </row>
    <row r="126" spans="1:76" hidden="1"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655</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656</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t="s">
        <v>751</v>
      </c>
      <c r="BW126" s="6"/>
      <c r="BX126" s="6"/>
    </row>
    <row r="127" spans="1:76" hidden="1"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657</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658</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hidden="1"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638</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617</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hidden="1"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621</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623</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t="s">
        <v>751</v>
      </c>
      <c r="BW129" s="6"/>
      <c r="BX129" s="6"/>
    </row>
    <row r="130" spans="1:76" hidden="1"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f>600000*0</f>
        <v>0</v>
      </c>
      <c r="W130" s="15">
        <f t="shared" ref="W130:W150" si="48">AO130+IF(ISBLANK(AP130),AB130,AP130)+IF(ISBLANK(AQ130),AC130,AQ130)+IF(ISBLANK(AR130),AD130,AR130)+IF(ISBLANK(AS130),AE130,AS130)+IF(ISBLANK(AT130),AF130,AT130)</f>
        <v>0</v>
      </c>
      <c r="X130" s="15">
        <f t="shared" si="33"/>
        <v>0</v>
      </c>
      <c r="Y130" s="15">
        <f t="shared" ref="Y130:Y148" si="49">IF(W130 &gt; V130, W130 - V130, 0)</f>
        <v>0</v>
      </c>
      <c r="Z130" s="15">
        <f>SUM(Financials20263[[#This Row],[2026 Opportunity]:[2026 Risk]])</f>
        <v>0</v>
      </c>
      <c r="AA130" s="3" t="s">
        <v>742</v>
      </c>
      <c r="AB130" s="52"/>
      <c r="AC130" s="52"/>
      <c r="AD130" s="52"/>
      <c r="AE130" s="52"/>
      <c r="AF130" s="52"/>
      <c r="AG130" s="52"/>
      <c r="AH130" s="52"/>
      <c r="AI130" s="52"/>
      <c r="AJ130" s="52"/>
      <c r="AK130" s="52"/>
      <c r="AL130" s="52"/>
      <c r="AM130" s="46"/>
      <c r="AN130" s="75">
        <f>SUM(Financials20263[[#This Row],[Jan FC]:[Dec FC]])</f>
        <v>0</v>
      </c>
      <c r="AO130" s="15">
        <f t="shared" si="31"/>
        <v>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0</v>
      </c>
      <c r="BO130" s="71">
        <f>SUM(Financials20263[[#This Row],[Jan Opp/Risk]:[Dec Opp./Risk]])</f>
        <v>0</v>
      </c>
      <c r="BP130" s="87" t="s">
        <v>623</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0</v>
      </c>
      <c r="BT130" s="6">
        <f>SUM(Financials20263[[#This Row],[Jan FC]:[May FC]])</f>
        <v>0</v>
      </c>
      <c r="BU130" s="6">
        <f>Financials20263[[#This Row],[Jan-May Actuals]]+Financials20263[[#This Row],[Forecast Jun-Dec]]</f>
        <v>0</v>
      </c>
      <c r="BV130" s="6"/>
      <c r="BW130" s="6"/>
      <c r="BX130" s="6"/>
    </row>
    <row r="131" spans="1:76" hidden="1"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622</v>
      </c>
      <c r="AB131" s="52"/>
      <c r="AC131" s="52"/>
      <c r="AD131" s="52"/>
      <c r="AE131" s="52"/>
      <c r="AF131" s="52"/>
      <c r="AG131" s="52"/>
      <c r="AH131" s="52"/>
      <c r="AI131" s="52"/>
      <c r="AJ131" s="52"/>
      <c r="AK131" s="52"/>
      <c r="AL131" s="52"/>
      <c r="AM131" s="52"/>
      <c r="AN131" s="75">
        <f>SUM(Financials20263[[#This Row],[Jan FC]:[Dec FC]])</f>
        <v>0</v>
      </c>
      <c r="AO131" s="15">
        <f t="shared" ref="AO131:AO150"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623</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t="s">
        <v>751</v>
      </c>
      <c r="BW131" s="6"/>
      <c r="BX131" s="6"/>
    </row>
    <row r="132" spans="1:76" hidden="1"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519</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hidden="1"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0</v>
      </c>
      <c r="X134" s="15">
        <f t="shared" si="33"/>
        <v>-100000</v>
      </c>
      <c r="Y134" s="15">
        <f t="shared" si="49"/>
        <v>0</v>
      </c>
      <c r="Z134" s="15">
        <f>SUM(Financials20263[[#This Row],[2026 Opportunity]:[2026 Risk]])</f>
        <v>-100000</v>
      </c>
      <c r="AA134" s="3" t="s">
        <v>743</v>
      </c>
      <c r="AB134" s="52"/>
      <c r="AC134" s="52"/>
      <c r="AD134" s="52"/>
      <c r="AE134" s="52"/>
      <c r="AF134" s="52"/>
      <c r="AG134" s="52"/>
      <c r="AH134" s="52"/>
      <c r="AI134" s="52"/>
      <c r="AJ134" s="52"/>
      <c r="AK134" s="52"/>
      <c r="AL134" s="52"/>
      <c r="AM134" s="46"/>
      <c r="AN134" s="52">
        <f>SUM(Financials20263[[#This Row],[Jan FC]:[Dec FC]])</f>
        <v>0</v>
      </c>
      <c r="AO134" s="15">
        <f t="shared" si="50"/>
        <v>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0</v>
      </c>
      <c r="BO134" s="71">
        <f>SUM(Financials20263[[#This Row],[Jan Opp/Risk]:[Dec Opp./Risk]])</f>
        <v>0</v>
      </c>
      <c r="BP134" s="87" t="s">
        <v>623</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0</v>
      </c>
      <c r="BT134" s="6">
        <f>SUM(Financials20263[[#This Row],[Jan FC]:[May FC]])</f>
        <v>0</v>
      </c>
      <c r="BU134" s="6">
        <f>Financials20263[[#This Row],[Jan-May Actuals]]+Financials20263[[#This Row],[Forecast Jun-Dec]]</f>
        <v>0</v>
      </c>
      <c r="BV134" s="6"/>
      <c r="BW134" s="6"/>
      <c r="BX134" s="6"/>
    </row>
    <row r="135" spans="1:76" hidden="1"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623</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t="s">
        <v>751</v>
      </c>
      <c r="BW135" s="6"/>
      <c r="BX135" s="6"/>
    </row>
    <row r="136" spans="1:76" hidden="1"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639</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623</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hidden="1"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f>250000-197929</f>
        <v>52071</v>
      </c>
      <c r="W137" s="15">
        <f t="shared" si="48"/>
        <v>0</v>
      </c>
      <c r="X137" s="15">
        <f t="shared" ref="X137:X150" si="51">IF(V137 &gt;= W137, V137 - W137, 0)*-1</f>
        <v>-52071</v>
      </c>
      <c r="Y137" s="15">
        <f t="shared" si="49"/>
        <v>0</v>
      </c>
      <c r="Z137" s="15">
        <f>SUM(Financials20263[[#This Row],[2026 Opportunity]:[2026 Risk]])</f>
        <v>-52071</v>
      </c>
      <c r="AA137" s="3" t="s">
        <v>741</v>
      </c>
      <c r="AB137" s="52"/>
      <c r="AC137" s="52"/>
      <c r="AD137" s="52"/>
      <c r="AE137" s="52"/>
      <c r="AF137" s="52"/>
      <c r="AG137" s="52"/>
      <c r="AH137" s="52"/>
      <c r="AI137" s="52"/>
      <c r="AJ137" s="52"/>
      <c r="AK137" s="52"/>
      <c r="AL137" s="52"/>
      <c r="AM137" s="46"/>
      <c r="AN137" s="75">
        <f>SUM(Financials20263[[#This Row],[Jan FC]:[Dec FC]])</f>
        <v>0</v>
      </c>
      <c r="AO137" s="15">
        <f t="shared" si="50"/>
        <v>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0</v>
      </c>
      <c r="BO137" s="71">
        <f>SUM(Financials20263[[#This Row],[Jan Opp/Risk]:[Dec Opp./Risk]])</f>
        <v>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0</v>
      </c>
      <c r="BT137" s="6">
        <f>SUM(Financials20263[[#This Row],[Jan FC]:[May FC]])</f>
        <v>0</v>
      </c>
      <c r="BU137" s="6">
        <f>Financials20263[[#This Row],[Jan-May Actuals]]+Financials20263[[#This Row],[Forecast Jun-Dec]]</f>
        <v>0</v>
      </c>
      <c r="BV137" s="6" t="s">
        <v>751</v>
      </c>
      <c r="BW137" s="6"/>
      <c r="BX137" s="6"/>
    </row>
    <row r="138" spans="1:76" hidden="1"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623</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t="s">
        <v>751</v>
      </c>
      <c r="BW138" s="6"/>
      <c r="BX138" s="6"/>
    </row>
    <row r="139" spans="1:76" hidden="1"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530</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hidden="1"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519</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hidden="1"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519</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hidden="1"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532</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hidden="1"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600000</v>
      </c>
      <c r="W143" s="15">
        <f t="shared" si="48"/>
        <v>606720</v>
      </c>
      <c r="X143" s="15">
        <f t="shared" si="51"/>
        <v>0</v>
      </c>
      <c r="Y143" s="15">
        <f t="shared" si="49"/>
        <v>6720</v>
      </c>
      <c r="Z143" s="15">
        <f>SUM(Financials20263[[#This Row],[2026 Opportunity]:[2026 Risk]])</f>
        <v>6720</v>
      </c>
      <c r="AA143" s="3" t="s">
        <v>747</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522</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hidden="1"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633</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632</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hidden="1"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527</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hidden="1"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521</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hidden="1"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541</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c r="BV147" s="6"/>
    </row>
    <row r="148" spans="1:76" hidden="1"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c r="BV148" s="6"/>
    </row>
    <row r="149" spans="1:76" ht="43.2" hidden="1" x14ac:dyDescent="0.3">
      <c r="A149" s="32" t="s">
        <v>101</v>
      </c>
      <c r="B149" s="21" t="s">
        <v>739</v>
      </c>
      <c r="C149" s="33"/>
      <c r="D149" s="10" t="s">
        <v>186</v>
      </c>
      <c r="E149" s="7" t="s">
        <v>186</v>
      </c>
      <c r="F149" s="3"/>
      <c r="G149" s="3" t="s">
        <v>49</v>
      </c>
      <c r="H149" s="4"/>
      <c r="I149" s="4"/>
      <c r="J149" s="35"/>
      <c r="K149" s="3" t="str">
        <f t="shared" ref="K149" si="55">D149 &amp; "-" &amp;E149</f>
        <v>T&amp;M-T&amp;M</v>
      </c>
      <c r="L149" s="21" t="s">
        <v>124</v>
      </c>
      <c r="M149" s="21" t="s">
        <v>46</v>
      </c>
      <c r="N149" s="21" t="s">
        <v>189</v>
      </c>
      <c r="O149" s="21" t="s">
        <v>186</v>
      </c>
      <c r="P149" s="21" t="s">
        <v>126</v>
      </c>
      <c r="Q149" s="21" t="s">
        <v>127</v>
      </c>
      <c r="R149" s="21" t="s">
        <v>128</v>
      </c>
      <c r="S149" s="33"/>
      <c r="T149" s="36"/>
      <c r="U149" s="36"/>
      <c r="V149" s="36"/>
      <c r="W149" s="15">
        <f>AO149+IF(ISBLANK(AP149),AB149,AP149)+IF(ISBLANK(AQ149),AC149,AQ149)+IF(ISBLANK(AR149),AD149,AR149)+IF(ISBLANK(AS149),AE149,AS149)+IF(ISBLANK(AT149),AF149,AT149)</f>
        <v>80000</v>
      </c>
      <c r="X149" s="15">
        <f>IF(V149 &gt;= W149, V149 - W149, 0)*-1</f>
        <v>0</v>
      </c>
      <c r="Y149" s="37">
        <f>IF(W149 &gt; V149, W149 - V149, 0)</f>
        <v>80000</v>
      </c>
      <c r="Z149" s="37">
        <f>SUM(Financials20263[[#This Row],[2026 Opportunity]:[2026 Risk]])</f>
        <v>80000</v>
      </c>
      <c r="AA149" s="179" t="s">
        <v>746</v>
      </c>
      <c r="AB149" s="54"/>
      <c r="AC149" s="54"/>
      <c r="AD149" s="54"/>
      <c r="AE149" s="54"/>
      <c r="AF149" s="54"/>
      <c r="AG149" s="54"/>
      <c r="AH149" s="54"/>
      <c r="AI149" s="54"/>
      <c r="AJ149" s="54"/>
      <c r="AK149" s="54"/>
      <c r="AL149" s="178">
        <v>80000</v>
      </c>
      <c r="AM149" s="54"/>
      <c r="AN149" s="54">
        <f>SUM(Financials20263[[#This Row],[Jan FC]:[Dec FC]])</f>
        <v>80000</v>
      </c>
      <c r="AO149" s="15">
        <f>SUM(AG149:AM149)</f>
        <v>80000</v>
      </c>
      <c r="AP149" s="63"/>
      <c r="AQ149" s="63"/>
      <c r="AR149" s="63"/>
      <c r="AS149" s="63"/>
      <c r="AT149" s="63"/>
      <c r="AU149" s="63"/>
      <c r="AV149" s="63"/>
      <c r="AW149" s="63"/>
      <c r="AX149" s="63"/>
      <c r="AY149" s="63"/>
      <c r="AZ149" s="63"/>
      <c r="BA149" s="63"/>
      <c r="BB149" s="82">
        <f>SUM(Financials20263[[#This Row],[Jan AC]:[Dec AC]])</f>
        <v>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-80000</v>
      </c>
      <c r="BN149" s="71">
        <f>Financials20263[[#This Row],[Dec AC]]-Financials20263[[#This Row],[Dec FC]]</f>
        <v>0</v>
      </c>
      <c r="BO149" s="84">
        <f>SUM(Financials20263[[#This Row],[Jan Opp/Risk]:[Dec Opp./Risk]])</f>
        <v>-80000</v>
      </c>
      <c r="BP149" s="94"/>
      <c r="BQ149" s="47">
        <f>SUM(Financials20263[[#This Row],[Jan AC]:[May AC]])</f>
        <v>0</v>
      </c>
      <c r="BR149" s="6">
        <f>Financials20263[[#This Row],[2026 (Actuals + Forecast)]]-Financials20263[[#This Row],[Jan-May Actuals]]-Financials20263[[#This Row],[Jun-Dec FC]]</f>
        <v>0</v>
      </c>
      <c r="BS149" s="6">
        <f>Financials20263[[#This Row],[Jun-Dec FC]]+Financials20263[[#This Row],[Jan-May Forecast ]]</f>
        <v>80000</v>
      </c>
      <c r="BT149" s="6">
        <f>SUM(Financials20263[[#This Row],[Jan FC]:[May FC]])</f>
        <v>0</v>
      </c>
      <c r="BU149" s="6">
        <f>Financials20263[[#This Row],[Jan-May Actuals]]+Financials20263[[#This Row],[Forecast Jun-Dec]]</f>
        <v>80000</v>
      </c>
      <c r="BV149" s="6"/>
    </row>
    <row r="150" spans="1:76" ht="57.6" hidden="1" x14ac:dyDescent="0.3">
      <c r="A150" s="32" t="s">
        <v>101</v>
      </c>
      <c r="B150" s="21" t="s">
        <v>416</v>
      </c>
      <c r="C150" s="39"/>
      <c r="D150" s="10" t="s">
        <v>31</v>
      </c>
      <c r="E150" s="7" t="s">
        <v>204</v>
      </c>
      <c r="F150" s="3" t="s">
        <v>205</v>
      </c>
      <c r="G150" s="3" t="s">
        <v>50</v>
      </c>
      <c r="H150" s="4">
        <v>45992</v>
      </c>
      <c r="I150" s="4">
        <v>46387</v>
      </c>
      <c r="J150" s="40" t="s">
        <v>203</v>
      </c>
      <c r="K150" s="40" t="str">
        <f>D150 &amp; "-" &amp;E150</f>
        <v>Prj000469-Support - Prod Support for Ops Apps</v>
      </c>
      <c r="L150" s="39" t="s">
        <v>106</v>
      </c>
      <c r="M150" s="39" t="s">
        <v>7</v>
      </c>
      <c r="N150" s="39" t="s">
        <v>7</v>
      </c>
      <c r="O150" s="39" t="s">
        <v>224</v>
      </c>
      <c r="P150" s="39" t="s">
        <v>107</v>
      </c>
      <c r="Q150" s="33" t="s">
        <v>108</v>
      </c>
      <c r="R150" s="39" t="s">
        <v>108</v>
      </c>
      <c r="S150" s="39" t="s">
        <v>132</v>
      </c>
      <c r="T150" s="36">
        <v>0</v>
      </c>
      <c r="U150" s="37">
        <v>0</v>
      </c>
      <c r="V150" s="37">
        <v>0</v>
      </c>
      <c r="W150" s="15">
        <f t="shared" si="48"/>
        <v>102000</v>
      </c>
      <c r="X150" s="15">
        <f t="shared" si="51"/>
        <v>0</v>
      </c>
      <c r="Y150" s="38">
        <f>IF(W150 &gt; V150, W150 - V150, 0)</f>
        <v>102000</v>
      </c>
      <c r="Z150" s="38">
        <f>SUM(Financials20263[[#This Row],[2026 Opportunity]:[2026 Risk]])</f>
        <v>102000</v>
      </c>
      <c r="AA150" s="14" t="s">
        <v>417</v>
      </c>
      <c r="AB150" s="54"/>
      <c r="AC150" s="54"/>
      <c r="AD150" s="54"/>
      <c r="AE150" s="54">
        <v>92000</v>
      </c>
      <c r="AF150" s="54"/>
      <c r="AG150" s="54"/>
      <c r="AH150" s="54"/>
      <c r="AI150" s="54"/>
      <c r="AJ150" s="54"/>
      <c r="AK150" s="54"/>
      <c r="AL150" s="54"/>
      <c r="AM150" s="54">
        <v>10000</v>
      </c>
      <c r="AN150" s="54">
        <f>SUM(Financials20263[[#This Row],[Jan FC]:[Dec FC]])</f>
        <v>102000</v>
      </c>
      <c r="AO150" s="15">
        <f t="shared" si="50"/>
        <v>10000</v>
      </c>
      <c r="AP150" s="63"/>
      <c r="AQ150" s="63"/>
      <c r="AR150" s="63"/>
      <c r="AS150" s="63">
        <v>92000</v>
      </c>
      <c r="AT150" s="63"/>
      <c r="AU150" s="63"/>
      <c r="AV150" s="63"/>
      <c r="AW150" s="63"/>
      <c r="AX150" s="63"/>
      <c r="AY150" s="63"/>
      <c r="AZ150" s="63"/>
      <c r="BA150" s="63"/>
      <c r="BB150" s="82">
        <f>SUM(Financials20263[[#This Row],[Jan AC]:[Dec AC]])</f>
        <v>92000</v>
      </c>
      <c r="BC150" s="71">
        <f>Financials20263[[#This Row],[Jan AC]]-Financials20263[[#This Row],[Jan FC]]</f>
        <v>0</v>
      </c>
      <c r="BD150" s="71">
        <f>Financials20263[[#This Row],[Feb AC]]-Financials20263[[#This Row],[Feb FC]]</f>
        <v>0</v>
      </c>
      <c r="BE150" s="71">
        <f>Financials20263[[#This Row],[Mar AC]]-Financials20263[[#This Row],[Mar FC]]</f>
        <v>0</v>
      </c>
      <c r="BF150" s="71">
        <f>Financials20263[[#This Row],[Apr AC]]-Financials20263[[#This Row],[Apr FC]]</f>
        <v>0</v>
      </c>
      <c r="BG150" s="71">
        <f>Financials20263[[#This Row],[May AC]]-Financials20263[[#This Row],[May FC]]</f>
        <v>0</v>
      </c>
      <c r="BH150" s="71">
        <f>Financials20263[[#This Row],[Jun AC]]-Financials20263[[#This Row],[Jun FC]]</f>
        <v>0</v>
      </c>
      <c r="BI150" s="71">
        <f>Financials20263[[#This Row],[Jul AC]]-Financials20263[[#This Row],[Jul FC]]</f>
        <v>0</v>
      </c>
      <c r="BJ150" s="71">
        <f>Financials20263[[#This Row],[Aug AC]]-Financials20263[[#This Row],[Aug FC]]</f>
        <v>0</v>
      </c>
      <c r="BK150" s="71">
        <f>Financials20263[[#This Row],[Sep AC]]-Financials20263[[#This Row],[Sep FC]]</f>
        <v>0</v>
      </c>
      <c r="BL150" s="71">
        <f>Financials20263[[#This Row],[Oct AC]]-Financials20263[[#This Row],[Oct FC]]</f>
        <v>0</v>
      </c>
      <c r="BM150" s="71">
        <f>Financials20263[[#This Row],[Nov AC]]-Financials20263[[#This Row],[Nov FC]]</f>
        <v>0</v>
      </c>
      <c r="BN150" s="71">
        <f>Financials20263[[#This Row],[Dec AC]]-Financials20263[[#This Row],[Dec FC]]</f>
        <v>-10000</v>
      </c>
      <c r="BO150" s="84">
        <f>SUM(Financials20263[[#This Row],[Jan Opp/Risk]:[Dec Opp./Risk]])</f>
        <v>-10000</v>
      </c>
      <c r="BP150" s="95" t="s">
        <v>659</v>
      </c>
      <c r="BQ150" s="47">
        <f>SUM(Financials20263[[#This Row],[Jan AC]:[May AC]])</f>
        <v>92000</v>
      </c>
      <c r="BR150" s="6">
        <f>Financials20263[[#This Row],[2026 (Actuals + Forecast)]]-Financials20263[[#This Row],[Jan-May Actuals]]-Financials20263[[#This Row],[Jun-Dec FC]]</f>
        <v>0</v>
      </c>
      <c r="BS150" s="6">
        <f>Financials20263[[#This Row],[Jun-Dec FC]]+Financials20263[[#This Row],[Jan-May Forecast ]]</f>
        <v>10000</v>
      </c>
      <c r="BT150" s="6">
        <f>SUM(Financials20263[[#This Row],[Jan FC]:[May FC]])</f>
        <v>92000</v>
      </c>
      <c r="BU150" s="6">
        <f>Financials20263[[#This Row],[Jan-May Actuals]]+Financials20263[[#This Row],[Forecast Jun-Dec]]</f>
        <v>102000</v>
      </c>
      <c r="BV150" s="6"/>
    </row>
    <row r="151" spans="1:76" x14ac:dyDescent="0.3">
      <c r="A151" s="140"/>
      <c r="B151" s="140"/>
      <c r="C151" s="141"/>
      <c r="D151"/>
      <c r="G151"/>
      <c r="J151" s="142"/>
      <c r="K151" s="142"/>
      <c r="L151" s="141"/>
      <c r="M151" s="141"/>
      <c r="N151" s="141"/>
      <c r="O151" s="141"/>
      <c r="P151" s="141"/>
      <c r="Q151" s="140"/>
      <c r="R151" s="141"/>
      <c r="S151" s="141"/>
      <c r="T151" s="6"/>
      <c r="U151" s="143"/>
      <c r="V151" s="143"/>
      <c r="W151" s="143"/>
      <c r="X151" s="143"/>
      <c r="Y151" s="144"/>
      <c r="Z151" s="144"/>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6" x14ac:dyDescent="0.3">
      <c r="A152" s="107"/>
      <c r="B152" s="107" t="s">
        <v>570</v>
      </c>
      <c r="C152" s="107"/>
      <c r="D152" s="108"/>
      <c r="E152" s="107"/>
      <c r="F152" s="107"/>
      <c r="G152" s="108"/>
      <c r="H152" s="109"/>
      <c r="I152" s="109"/>
      <c r="J152" s="107"/>
      <c r="K152" s="107"/>
      <c r="L152" s="107"/>
      <c r="M152" s="107"/>
      <c r="N152" s="107"/>
      <c r="O152" s="107"/>
      <c r="P152" s="107"/>
      <c r="Q152" s="107"/>
      <c r="R152" s="107"/>
      <c r="S152" s="107"/>
      <c r="T152" s="110">
        <f t="shared" ref="T152:AY152" si="56">SUBTOTAL(9,T2:T151)</f>
        <v>1937757.79</v>
      </c>
      <c r="U152" s="110">
        <f t="shared" si="56"/>
        <v>1461645.032909784</v>
      </c>
      <c r="V152" s="110">
        <f t="shared" si="56"/>
        <v>1752990.7</v>
      </c>
      <c r="W152" s="110">
        <f t="shared" si="56"/>
        <v>1664031</v>
      </c>
      <c r="X152" s="110">
        <f t="shared" si="56"/>
        <v>-478960</v>
      </c>
      <c r="Y152" s="110">
        <f t="shared" si="56"/>
        <v>390000.3</v>
      </c>
      <c r="Z152" s="110">
        <f t="shared" si="56"/>
        <v>-88959.700000000012</v>
      </c>
      <c r="AA152" s="110">
        <f t="shared" si="56"/>
        <v>0</v>
      </c>
      <c r="AB152" s="110">
        <f t="shared" si="56"/>
        <v>94578.75</v>
      </c>
      <c r="AC152" s="110">
        <f t="shared" si="56"/>
        <v>67318.75</v>
      </c>
      <c r="AD152" s="110">
        <f t="shared" si="56"/>
        <v>82346.75</v>
      </c>
      <c r="AE152" s="110">
        <f t="shared" si="56"/>
        <v>94098.75</v>
      </c>
      <c r="AF152" s="110">
        <f t="shared" si="56"/>
        <v>108678.75</v>
      </c>
      <c r="AG152" s="110">
        <f t="shared" si="56"/>
        <v>124038.75</v>
      </c>
      <c r="AH152" s="110">
        <f t="shared" si="56"/>
        <v>137038.75</v>
      </c>
      <c r="AI152" s="110">
        <f t="shared" si="56"/>
        <v>150038.75</v>
      </c>
      <c r="AJ152" s="110">
        <f t="shared" si="56"/>
        <v>150038.75</v>
      </c>
      <c r="AK152" s="110">
        <f t="shared" si="56"/>
        <v>150038.75</v>
      </c>
      <c r="AL152" s="110">
        <f t="shared" si="56"/>
        <v>186536.75</v>
      </c>
      <c r="AM152" s="110">
        <f t="shared" si="56"/>
        <v>312238.75</v>
      </c>
      <c r="AN152" s="110">
        <f t="shared" si="56"/>
        <v>1656991</v>
      </c>
      <c r="AO152" s="110">
        <f t="shared" si="56"/>
        <v>1209969.25</v>
      </c>
      <c r="AP152" s="110">
        <f t="shared" si="56"/>
        <v>89378.75</v>
      </c>
      <c r="AQ152" s="110">
        <f t="shared" si="56"/>
        <v>66118.75</v>
      </c>
      <c r="AR152" s="110">
        <f t="shared" si="56"/>
        <v>84746.75</v>
      </c>
      <c r="AS152" s="110">
        <f t="shared" si="56"/>
        <v>96498.75</v>
      </c>
      <c r="AT152" s="110">
        <f t="shared" si="56"/>
        <v>47208.75</v>
      </c>
      <c r="AU152" s="110">
        <f t="shared" si="56"/>
        <v>14568.75</v>
      </c>
      <c r="AV152" s="110">
        <f t="shared" si="56"/>
        <v>14568.75</v>
      </c>
      <c r="AW152" s="110">
        <f t="shared" si="56"/>
        <v>14568.75</v>
      </c>
      <c r="AX152" s="110">
        <f t="shared" si="56"/>
        <v>14568.75</v>
      </c>
      <c r="AY152" s="110">
        <f t="shared" si="56"/>
        <v>0</v>
      </c>
      <c r="AZ152" s="110">
        <f t="shared" ref="AZ152:BQ152" si="57">SUBTOTAL(9,AZ2:AZ151)</f>
        <v>0</v>
      </c>
      <c r="BA152" s="110">
        <f t="shared" si="57"/>
        <v>0</v>
      </c>
      <c r="BB152" s="110">
        <f t="shared" si="57"/>
        <v>442226.75</v>
      </c>
      <c r="BC152" s="110">
        <f t="shared" si="57"/>
        <v>-5200</v>
      </c>
      <c r="BD152" s="110">
        <f t="shared" si="57"/>
        <v>-1200</v>
      </c>
      <c r="BE152" s="110">
        <f t="shared" si="57"/>
        <v>2400</v>
      </c>
      <c r="BF152" s="110">
        <f t="shared" si="57"/>
        <v>2400</v>
      </c>
      <c r="BG152" s="110">
        <f t="shared" si="57"/>
        <v>-61470</v>
      </c>
      <c r="BH152" s="110">
        <f t="shared" si="57"/>
        <v>-109470</v>
      </c>
      <c r="BI152" s="110">
        <f t="shared" si="57"/>
        <v>-122470</v>
      </c>
      <c r="BJ152" s="110">
        <f t="shared" si="57"/>
        <v>-135470</v>
      </c>
      <c r="BK152" s="110">
        <f t="shared" si="57"/>
        <v>-135470</v>
      </c>
      <c r="BL152" s="110">
        <f t="shared" si="57"/>
        <v>-150038.75</v>
      </c>
      <c r="BM152" s="110">
        <f t="shared" si="57"/>
        <v>-186536.75</v>
      </c>
      <c r="BN152" s="110">
        <f t="shared" si="57"/>
        <v>-312238.75</v>
      </c>
      <c r="BO152" s="110">
        <f t="shared" si="57"/>
        <v>-1214764.25</v>
      </c>
      <c r="BP152" s="110">
        <f t="shared" si="57"/>
        <v>0</v>
      </c>
      <c r="BQ152" s="110">
        <f t="shared" si="57"/>
        <v>383951.75</v>
      </c>
    </row>
    <row r="154" spans="1:76" x14ac:dyDescent="0.3">
      <c r="T154" s="6"/>
      <c r="U154" s="135"/>
      <c r="V154" s="139"/>
      <c r="AH154" s="6"/>
    </row>
    <row r="155" spans="1:76" x14ac:dyDescent="0.3">
      <c r="U155" s="43"/>
      <c r="AE155"/>
      <c r="AF155"/>
      <c r="AG155" s="6"/>
      <c r="AH155" s="146"/>
    </row>
    <row r="156" spans="1:76" x14ac:dyDescent="0.3">
      <c r="U156" s="6"/>
    </row>
    <row r="161" spans="40:41" x14ac:dyDescent="0.3">
      <c r="AN161"/>
    </row>
    <row r="162" spans="40:41" x14ac:dyDescent="0.3">
      <c r="AN162"/>
    </row>
    <row r="163" spans="40:41" x14ac:dyDescent="0.3">
      <c r="AN163"/>
    </row>
    <row r="164" spans="40:41" x14ac:dyDescent="0.3">
      <c r="AN164"/>
    </row>
    <row r="165" spans="40:41" x14ac:dyDescent="0.3">
      <c r="AN165"/>
      <c r="AO165" s="137"/>
    </row>
    <row r="166" spans="40:41" x14ac:dyDescent="0.3">
      <c r="AN166"/>
    </row>
    <row r="167" spans="40:41" x14ac:dyDescent="0.3">
      <c r="AN167"/>
    </row>
    <row r="168" spans="40:41" x14ac:dyDescent="0.3">
      <c r="AN168"/>
    </row>
    <row r="169" spans="40:41" x14ac:dyDescent="0.3">
      <c r="AN169"/>
    </row>
  </sheetData>
  <conditionalFormatting sqref="Y1:Z151">
    <cfRule type="cellIs" dxfId="1"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3" t="s">
        <v>42</v>
      </c>
      <c r="B1" s="113" t="s">
        <v>55</v>
      </c>
      <c r="C1" s="113" t="s">
        <v>80</v>
      </c>
      <c r="D1" s="113" t="s">
        <v>81</v>
      </c>
      <c r="E1" s="113" t="s">
        <v>82</v>
      </c>
      <c r="F1" s="113" t="s">
        <v>83</v>
      </c>
      <c r="G1" s="113" t="s">
        <v>54</v>
      </c>
      <c r="H1" s="114" t="s">
        <v>84</v>
      </c>
      <c r="I1" s="114" t="s">
        <v>85</v>
      </c>
      <c r="J1" s="114" t="s">
        <v>86</v>
      </c>
      <c r="K1" s="113" t="s">
        <v>87</v>
      </c>
      <c r="L1" s="113" t="s">
        <v>88</v>
      </c>
      <c r="M1" s="113" t="s">
        <v>47</v>
      </c>
      <c r="N1" s="113" t="s">
        <v>89</v>
      </c>
      <c r="O1" s="115" t="s">
        <v>90</v>
      </c>
      <c r="P1" s="113" t="s">
        <v>91</v>
      </c>
      <c r="Q1" s="113" t="s">
        <v>92</v>
      </c>
      <c r="R1" s="113" t="s">
        <v>93</v>
      </c>
      <c r="S1" s="113" t="s">
        <v>94</v>
      </c>
      <c r="T1" s="115" t="s">
        <v>95</v>
      </c>
      <c r="U1" s="116" t="s">
        <v>96</v>
      </c>
      <c r="V1" s="116" t="s">
        <v>97</v>
      </c>
      <c r="W1" s="116" t="s">
        <v>98</v>
      </c>
      <c r="X1" s="117" t="s">
        <v>99</v>
      </c>
      <c r="Y1" s="118" t="s">
        <v>100</v>
      </c>
      <c r="Z1" s="118" t="s">
        <v>475</v>
      </c>
      <c r="AA1" s="119" t="s">
        <v>447</v>
      </c>
      <c r="AB1" s="116" t="s">
        <v>448</v>
      </c>
      <c r="AC1" s="116" t="s">
        <v>449</v>
      </c>
      <c r="AD1" s="116" t="s">
        <v>450</v>
      </c>
      <c r="AE1" s="116" t="s">
        <v>463</v>
      </c>
      <c r="AF1" s="115" t="s">
        <v>464</v>
      </c>
      <c r="AG1" s="115" t="s">
        <v>465</v>
      </c>
      <c r="AH1" s="115" t="s">
        <v>466</v>
      </c>
      <c r="AI1" s="115" t="s">
        <v>467</v>
      </c>
      <c r="AJ1" s="115" t="s">
        <v>468</v>
      </c>
      <c r="AK1" s="115" t="s">
        <v>469</v>
      </c>
      <c r="AL1" s="115" t="s">
        <v>470</v>
      </c>
      <c r="AM1" s="115" t="s">
        <v>471</v>
      </c>
      <c r="AN1" s="115" t="s">
        <v>473</v>
      </c>
      <c r="AO1" s="120" t="s">
        <v>568</v>
      </c>
      <c r="AP1" s="121" t="s">
        <v>451</v>
      </c>
      <c r="AQ1" s="121" t="s">
        <v>452</v>
      </c>
      <c r="AR1" s="121" t="s">
        <v>453</v>
      </c>
      <c r="AS1" s="121" t="s">
        <v>454</v>
      </c>
      <c r="AT1" s="122" t="s">
        <v>455</v>
      </c>
      <c r="AU1" s="122" t="s">
        <v>456</v>
      </c>
      <c r="AV1" s="122" t="s">
        <v>457</v>
      </c>
      <c r="AW1" s="122" t="s">
        <v>458</v>
      </c>
      <c r="AX1" s="122" t="s">
        <v>459</v>
      </c>
      <c r="AY1" s="122" t="s">
        <v>460</v>
      </c>
      <c r="AZ1" s="122" t="s">
        <v>461</v>
      </c>
      <c r="BA1" s="122" t="s">
        <v>462</v>
      </c>
      <c r="BB1" s="123" t="s">
        <v>474</v>
      </c>
      <c r="BC1" s="124" t="s">
        <v>472</v>
      </c>
    </row>
    <row r="2" spans="1:55" x14ac:dyDescent="0.3">
      <c r="A2" s="125" t="s">
        <v>586</v>
      </c>
      <c r="B2" s="125" t="s">
        <v>587</v>
      </c>
      <c r="C2" s="125"/>
      <c r="D2" s="10" t="s">
        <v>599</v>
      </c>
      <c r="E2" s="7" t="s">
        <v>600</v>
      </c>
      <c r="F2" s="126" t="s">
        <v>114</v>
      </c>
      <c r="G2" s="126" t="s">
        <v>53</v>
      </c>
      <c r="H2" s="127"/>
      <c r="I2" s="127"/>
      <c r="J2" s="125"/>
      <c r="K2" s="126"/>
      <c r="L2" s="125" t="s">
        <v>106</v>
      </c>
      <c r="M2" s="125" t="s">
        <v>7</v>
      </c>
      <c r="N2" s="125" t="s">
        <v>7</v>
      </c>
      <c r="O2" s="125" t="s">
        <v>420</v>
      </c>
      <c r="P2" s="125" t="s">
        <v>107</v>
      </c>
      <c r="Q2" s="125" t="s">
        <v>108</v>
      </c>
      <c r="R2" s="125" t="s">
        <v>108</v>
      </c>
      <c r="S2" s="125"/>
      <c r="T2" s="128"/>
      <c r="U2" s="129"/>
      <c r="V2" s="129">
        <v>-2002970</v>
      </c>
      <c r="W2" s="129">
        <f t="shared" ref="W2" si="0">AO2+IF(ISBLANK(AP2),AB2,AP2)+IF(ISBLANK(AQ2),AC2,AQ2)+IF(ISBLANK(AR2),AD2,AR2)+IF(ISBLANK(AS2),AE2,AS2)</f>
        <v>-2002970.0000000002</v>
      </c>
      <c r="X2" s="129">
        <f>IF(V2 &gt;= W2, V2 - W2, 0)*-1</f>
        <v>-2.3283064365386963E-10</v>
      </c>
      <c r="Y2" s="129">
        <f t="shared" ref="Y2" si="1">IF(W2 &gt; V2, W2 - V2, 0)</f>
        <v>0</v>
      </c>
      <c r="Z2" s="129">
        <f>SUM(X2:Y2)</f>
        <v>-2.3283064365386963E-10</v>
      </c>
      <c r="AA2" s="12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29">
        <f>SUM(AF2:AM2)</f>
        <v>-1335313.3333333333</v>
      </c>
      <c r="AP2" s="60"/>
      <c r="AQ2" s="60"/>
      <c r="AR2" s="60"/>
      <c r="AS2" s="60"/>
      <c r="AT2" s="60"/>
      <c r="AU2" s="60"/>
      <c r="AV2" s="60"/>
      <c r="AW2" s="60"/>
      <c r="AX2" s="60"/>
      <c r="AY2" s="60"/>
      <c r="AZ2" s="60"/>
      <c r="BA2" s="60"/>
      <c r="BB2" s="130">
        <f>SUM(AP2:BA2)</f>
        <v>0</v>
      </c>
      <c r="BC2" s="131"/>
    </row>
    <row r="3" spans="1:55" x14ac:dyDescent="0.3">
      <c r="A3" s="125" t="s">
        <v>101</v>
      </c>
      <c r="B3" s="125" t="s">
        <v>598</v>
      </c>
      <c r="C3" s="125"/>
      <c r="D3" s="10" t="s">
        <v>599</v>
      </c>
      <c r="E3" s="7" t="s">
        <v>600</v>
      </c>
      <c r="F3" s="126" t="s">
        <v>114</v>
      </c>
      <c r="G3" s="126" t="s">
        <v>53</v>
      </c>
      <c r="H3" s="127">
        <v>46111</v>
      </c>
      <c r="I3" s="127">
        <v>46252</v>
      </c>
      <c r="J3" s="125"/>
      <c r="K3" s="126"/>
      <c r="L3" s="125" t="s">
        <v>106</v>
      </c>
      <c r="M3" s="125" t="s">
        <v>7</v>
      </c>
      <c r="N3" s="125" t="s">
        <v>186</v>
      </c>
      <c r="O3" s="125" t="s">
        <v>605</v>
      </c>
      <c r="P3" s="125" t="s">
        <v>107</v>
      </c>
      <c r="Q3" s="125" t="s">
        <v>108</v>
      </c>
      <c r="R3" s="125" t="s">
        <v>108</v>
      </c>
      <c r="S3" s="125" t="s">
        <v>605</v>
      </c>
      <c r="T3" s="132">
        <v>0</v>
      </c>
      <c r="U3" s="132">
        <v>0</v>
      </c>
      <c r="V3" s="129">
        <v>1096541</v>
      </c>
      <c r="W3" s="129">
        <f t="shared" ref="W3:W6" si="3">AO3+IF(ISBLANK(AP3),AB3,AP3)+IF(ISBLANK(AQ3),AC3,AQ3)+IF(ISBLANK(AR3),AD3,AR3)+IF(ISBLANK(AS3),AE3,AS3)</f>
        <v>1096541</v>
      </c>
      <c r="X3" s="129">
        <f t="shared" ref="X3:X6" si="4">IF(V3 &gt;= W3, V3 - W3, 0)*-1</f>
        <v>0</v>
      </c>
      <c r="Y3" s="129">
        <f t="shared" ref="Y3:Y6" si="5">IF(W3 &gt; V3, W3 - V3, 0)</f>
        <v>0</v>
      </c>
      <c r="Z3" s="129">
        <f t="shared" ref="Z3:Z6" si="6">SUM(X3:Y3)</f>
        <v>0</v>
      </c>
      <c r="AA3" s="126"/>
      <c r="AB3" s="51"/>
      <c r="AC3" s="51"/>
      <c r="AD3" s="51"/>
      <c r="AE3" s="51">
        <v>198480</v>
      </c>
      <c r="AF3" s="51"/>
      <c r="AG3" s="51"/>
      <c r="AH3" s="51"/>
      <c r="AI3" s="51">
        <v>898061</v>
      </c>
      <c r="AJ3" s="51"/>
      <c r="AK3" s="51"/>
      <c r="AL3" s="51"/>
      <c r="AM3" s="51"/>
      <c r="AN3" s="51">
        <f t="shared" ref="AN3:AN7" si="7">SUM(AB3:AM3)</f>
        <v>1096541</v>
      </c>
      <c r="AO3" s="129">
        <f t="shared" ref="AO3:AO7" si="8">SUM(AF3:AM3)</f>
        <v>898061</v>
      </c>
      <c r="AP3" s="60"/>
      <c r="AQ3" s="60"/>
      <c r="AR3" s="60"/>
      <c r="AS3" s="60"/>
      <c r="AT3" s="60"/>
      <c r="AU3" s="60"/>
      <c r="AV3" s="60"/>
      <c r="AW3" s="60"/>
      <c r="AX3" s="60"/>
      <c r="AY3" s="60"/>
      <c r="AZ3" s="60"/>
      <c r="BA3" s="60"/>
      <c r="BB3" s="130">
        <f t="shared" ref="BB3:BB8" si="9">SUM(AP3:BA3)</f>
        <v>0</v>
      </c>
      <c r="BC3" s="131"/>
    </row>
    <row r="4" spans="1:55" x14ac:dyDescent="0.3">
      <c r="A4" s="125" t="s">
        <v>101</v>
      </c>
      <c r="B4" s="125" t="s">
        <v>589</v>
      </c>
      <c r="C4" s="125"/>
      <c r="D4" s="10" t="s">
        <v>599</v>
      </c>
      <c r="E4" s="7" t="s">
        <v>600</v>
      </c>
      <c r="F4" s="126" t="s">
        <v>114</v>
      </c>
      <c r="G4" s="126" t="s">
        <v>53</v>
      </c>
      <c r="H4" s="127">
        <v>46083</v>
      </c>
      <c r="I4" s="127">
        <v>46129</v>
      </c>
      <c r="J4" s="125"/>
      <c r="K4" s="126"/>
      <c r="L4" s="125" t="s">
        <v>106</v>
      </c>
      <c r="M4" s="125" t="s">
        <v>7</v>
      </c>
      <c r="N4" s="125" t="s">
        <v>608</v>
      </c>
      <c r="O4" s="125" t="s">
        <v>609</v>
      </c>
      <c r="P4" s="125" t="s">
        <v>107</v>
      </c>
      <c r="Q4" s="125" t="s">
        <v>108</v>
      </c>
      <c r="R4" s="125" t="s">
        <v>108</v>
      </c>
      <c r="S4" s="125" t="s">
        <v>2</v>
      </c>
      <c r="T4" s="132">
        <v>0</v>
      </c>
      <c r="U4" s="132">
        <v>0</v>
      </c>
      <c r="V4" s="129">
        <v>84400</v>
      </c>
      <c r="W4" s="129">
        <f t="shared" si="3"/>
        <v>0</v>
      </c>
      <c r="X4" s="129">
        <f t="shared" si="4"/>
        <v>-84400</v>
      </c>
      <c r="Y4" s="129">
        <f t="shared" si="5"/>
        <v>0</v>
      </c>
      <c r="Z4" s="129">
        <f t="shared" si="6"/>
        <v>-84400</v>
      </c>
      <c r="AA4" s="126" t="s">
        <v>610</v>
      </c>
      <c r="AB4" s="51"/>
      <c r="AC4" s="51"/>
      <c r="AD4" s="51"/>
      <c r="AE4" s="51"/>
      <c r="AF4" s="51"/>
      <c r="AG4" s="51"/>
      <c r="AH4" s="51"/>
      <c r="AI4" s="51"/>
      <c r="AJ4" s="51"/>
      <c r="AK4" s="51"/>
      <c r="AL4" s="51"/>
      <c r="AM4" s="51"/>
      <c r="AN4" s="51">
        <f t="shared" si="7"/>
        <v>0</v>
      </c>
      <c r="AO4" s="129">
        <f t="shared" si="8"/>
        <v>0</v>
      </c>
      <c r="AP4" s="60"/>
      <c r="AQ4" s="60"/>
      <c r="AR4" s="60"/>
      <c r="AS4" s="60"/>
      <c r="AT4" s="60"/>
      <c r="AU4" s="60"/>
      <c r="AV4" s="60"/>
      <c r="AW4" s="60"/>
      <c r="AX4" s="60"/>
      <c r="AY4" s="60"/>
      <c r="AZ4" s="60"/>
      <c r="BA4" s="60"/>
      <c r="BB4" s="130">
        <f t="shared" si="9"/>
        <v>0</v>
      </c>
      <c r="BC4" s="131"/>
    </row>
    <row r="5" spans="1:55" x14ac:dyDescent="0.3">
      <c r="A5" s="125" t="s">
        <v>101</v>
      </c>
      <c r="B5" s="125" t="s">
        <v>590</v>
      </c>
      <c r="C5" s="125" t="s">
        <v>601</v>
      </c>
      <c r="D5" s="10" t="s">
        <v>599</v>
      </c>
      <c r="E5" s="7" t="s">
        <v>600</v>
      </c>
      <c r="F5" s="126" t="s">
        <v>114</v>
      </c>
      <c r="G5" s="126" t="s">
        <v>53</v>
      </c>
      <c r="H5" s="127">
        <v>46155</v>
      </c>
      <c r="I5" s="127">
        <v>47374</v>
      </c>
      <c r="J5" s="125"/>
      <c r="K5" s="126"/>
      <c r="L5" s="125" t="s">
        <v>106</v>
      </c>
      <c r="M5" s="125" t="s">
        <v>7</v>
      </c>
      <c r="N5" s="125" t="s">
        <v>165</v>
      </c>
      <c r="O5" s="125" t="s">
        <v>200</v>
      </c>
      <c r="P5" s="125" t="s">
        <v>107</v>
      </c>
      <c r="Q5" s="125" t="s">
        <v>108</v>
      </c>
      <c r="R5" s="125" t="s">
        <v>108</v>
      </c>
      <c r="S5" s="125" t="s">
        <v>607</v>
      </c>
      <c r="T5" s="132">
        <v>0</v>
      </c>
      <c r="U5" s="132">
        <v>0</v>
      </c>
      <c r="V5" s="129">
        <f>183812</f>
        <v>183812</v>
      </c>
      <c r="W5" s="129">
        <f t="shared" si="3"/>
        <v>183812</v>
      </c>
      <c r="X5" s="129">
        <f t="shared" si="4"/>
        <v>0</v>
      </c>
      <c r="Y5" s="129">
        <f t="shared" si="5"/>
        <v>0</v>
      </c>
      <c r="Z5" s="129">
        <f t="shared" si="6"/>
        <v>0</v>
      </c>
      <c r="AA5" s="126" t="s">
        <v>606</v>
      </c>
      <c r="AB5" s="51"/>
      <c r="AC5" s="51"/>
      <c r="AD5" s="51"/>
      <c r="AE5" s="51"/>
      <c r="AF5" s="51"/>
      <c r="AG5" s="51"/>
      <c r="AH5" s="51"/>
      <c r="AI5" s="51"/>
      <c r="AJ5" s="51">
        <f>183812</f>
        <v>183812</v>
      </c>
      <c r="AK5" s="51"/>
      <c r="AL5" s="51"/>
      <c r="AM5" s="51"/>
      <c r="AN5" s="51">
        <f t="shared" si="7"/>
        <v>183812</v>
      </c>
      <c r="AO5" s="129">
        <f t="shared" si="8"/>
        <v>183812</v>
      </c>
      <c r="AP5" s="60"/>
      <c r="AQ5" s="60"/>
      <c r="AR5" s="60"/>
      <c r="AS5" s="60"/>
      <c r="AT5" s="60"/>
      <c r="AU5" s="60"/>
      <c r="AV5" s="60"/>
      <c r="AW5" s="60"/>
      <c r="AX5" s="60">
        <v>183812</v>
      </c>
      <c r="AY5" s="60"/>
      <c r="AZ5" s="60"/>
      <c r="BA5" s="60"/>
      <c r="BB5" s="130">
        <f t="shared" si="9"/>
        <v>183812</v>
      </c>
      <c r="BC5" s="131" t="s">
        <v>616</v>
      </c>
    </row>
    <row r="6" spans="1:55" x14ac:dyDescent="0.3">
      <c r="A6" s="125" t="s">
        <v>101</v>
      </c>
      <c r="B6" s="125" t="s">
        <v>591</v>
      </c>
      <c r="C6" s="125"/>
      <c r="D6" s="10" t="s">
        <v>599</v>
      </c>
      <c r="E6" s="7" t="s">
        <v>600</v>
      </c>
      <c r="F6" s="126" t="s">
        <v>114</v>
      </c>
      <c r="G6" s="126" t="s">
        <v>53</v>
      </c>
      <c r="H6" s="127">
        <v>46174</v>
      </c>
      <c r="I6" s="127">
        <v>47269</v>
      </c>
      <c r="J6" s="125"/>
      <c r="K6" s="126"/>
      <c r="L6" s="125" t="s">
        <v>106</v>
      </c>
      <c r="M6" s="125" t="s">
        <v>7</v>
      </c>
      <c r="N6" s="125" t="s">
        <v>165</v>
      </c>
      <c r="O6" s="125" t="s">
        <v>613</v>
      </c>
      <c r="P6" s="125" t="s">
        <v>107</v>
      </c>
      <c r="Q6" s="125" t="s">
        <v>108</v>
      </c>
      <c r="R6" s="125" t="s">
        <v>108</v>
      </c>
      <c r="S6" s="125"/>
      <c r="T6" s="132">
        <v>0</v>
      </c>
      <c r="U6" s="132">
        <v>0</v>
      </c>
      <c r="V6" s="129">
        <v>240000</v>
      </c>
      <c r="W6" s="129">
        <f t="shared" si="3"/>
        <v>240000</v>
      </c>
      <c r="X6" s="129">
        <f t="shared" si="4"/>
        <v>0</v>
      </c>
      <c r="Y6" s="129">
        <f t="shared" si="5"/>
        <v>0</v>
      </c>
      <c r="Z6" s="129">
        <f t="shared" si="6"/>
        <v>0</v>
      </c>
      <c r="AA6" s="126" t="s">
        <v>614</v>
      </c>
      <c r="AB6" s="51"/>
      <c r="AC6" s="51"/>
      <c r="AD6" s="51"/>
      <c r="AE6" s="51"/>
      <c r="AF6" s="51"/>
      <c r="AG6" s="51">
        <v>40000</v>
      </c>
      <c r="AH6" s="51"/>
      <c r="AI6" s="51"/>
      <c r="AJ6" s="51"/>
      <c r="AK6" s="51">
        <v>200000</v>
      </c>
      <c r="AL6" s="51"/>
      <c r="AM6" s="51"/>
      <c r="AN6" s="51">
        <f t="shared" si="7"/>
        <v>240000</v>
      </c>
      <c r="AO6" s="129">
        <f t="shared" si="8"/>
        <v>240000</v>
      </c>
      <c r="AP6" s="60"/>
      <c r="AQ6" s="60"/>
      <c r="AR6" s="60"/>
      <c r="AS6" s="60"/>
      <c r="AT6" s="60"/>
      <c r="AU6" s="60"/>
      <c r="AV6" s="60"/>
      <c r="AW6" s="60"/>
      <c r="AX6" s="60"/>
      <c r="AY6" s="60"/>
      <c r="AZ6" s="60"/>
      <c r="BA6" s="60"/>
      <c r="BB6" s="130">
        <f t="shared" si="9"/>
        <v>0</v>
      </c>
      <c r="BC6" s="131" t="s">
        <v>615</v>
      </c>
    </row>
    <row r="7" spans="1:55" x14ac:dyDescent="0.3">
      <c r="A7" s="125" t="s">
        <v>101</v>
      </c>
      <c r="B7" s="125" t="s">
        <v>588</v>
      </c>
      <c r="C7" s="125"/>
      <c r="D7" s="10" t="s">
        <v>599</v>
      </c>
      <c r="E7" s="7" t="s">
        <v>600</v>
      </c>
      <c r="F7" s="126" t="s">
        <v>114</v>
      </c>
      <c r="G7" s="126" t="s">
        <v>53</v>
      </c>
      <c r="H7" s="127">
        <v>46143</v>
      </c>
      <c r="I7" s="127">
        <v>46234</v>
      </c>
      <c r="J7" s="125"/>
      <c r="K7" s="126"/>
      <c r="L7" s="125" t="s">
        <v>106</v>
      </c>
      <c r="M7" s="125" t="s">
        <v>7</v>
      </c>
      <c r="N7" s="125" t="s">
        <v>165</v>
      </c>
      <c r="O7" s="125" t="s">
        <v>165</v>
      </c>
      <c r="P7" s="125" t="s">
        <v>107</v>
      </c>
      <c r="Q7" s="125" t="s">
        <v>108</v>
      </c>
      <c r="R7" s="125" t="s">
        <v>108</v>
      </c>
      <c r="S7" s="125" t="s">
        <v>603</v>
      </c>
      <c r="T7" s="132">
        <v>0</v>
      </c>
      <c r="U7" s="132">
        <v>0</v>
      </c>
      <c r="V7" s="129">
        <v>2828.06</v>
      </c>
      <c r="W7" s="129">
        <f t="shared" ref="W7" si="10">AO7+IF(ISBLANK(AP7),AB7,AP7)+IF(ISBLANK(AQ7),AC7,AQ7)+IF(ISBLANK(AR7),AD7,AR7)+IF(ISBLANK(AS7),AE7,AS7)</f>
        <v>2828.06</v>
      </c>
      <c r="X7" s="129">
        <f t="shared" ref="X7" si="11">IF(V7 &gt;= W7, V7 - W7, 0)*-1</f>
        <v>0</v>
      </c>
      <c r="Y7" s="129">
        <f t="shared" ref="Y7" si="12">IF(W7 &gt; V7, W7 - V7, 0)</f>
        <v>0</v>
      </c>
      <c r="Z7" s="129">
        <f t="shared" ref="Z7" si="13">SUM(X7:Y7)</f>
        <v>0</v>
      </c>
      <c r="AA7" s="126" t="s">
        <v>602</v>
      </c>
      <c r="AB7" s="51"/>
      <c r="AC7" s="51"/>
      <c r="AD7" s="51"/>
      <c r="AE7" s="51"/>
      <c r="AF7" s="51">
        <v>2828.06</v>
      </c>
      <c r="AG7" s="51"/>
      <c r="AH7" s="51"/>
      <c r="AI7" s="51"/>
      <c r="AJ7" s="51"/>
      <c r="AK7" s="51"/>
      <c r="AL7" s="51"/>
      <c r="AM7" s="51"/>
      <c r="AN7" s="51">
        <f t="shared" si="7"/>
        <v>2828.06</v>
      </c>
      <c r="AO7" s="129">
        <f t="shared" si="8"/>
        <v>2828.06</v>
      </c>
      <c r="AP7" s="60"/>
      <c r="AQ7" s="60"/>
      <c r="AR7" s="60"/>
      <c r="AS7" s="60"/>
      <c r="AT7" s="60">
        <v>2913.55</v>
      </c>
      <c r="AU7" s="60"/>
      <c r="AV7" s="60"/>
      <c r="AW7" s="60"/>
      <c r="AX7" s="60"/>
      <c r="AY7" s="60"/>
      <c r="AZ7" s="60"/>
      <c r="BA7" s="60"/>
      <c r="BB7" s="130">
        <f t="shared" si="9"/>
        <v>2913.55</v>
      </c>
      <c r="BC7" s="131"/>
    </row>
    <row r="8" spans="1:55" x14ac:dyDescent="0.3">
      <c r="A8" s="125" t="s">
        <v>101</v>
      </c>
      <c r="B8" s="125" t="s">
        <v>611</v>
      </c>
      <c r="C8" s="125" t="s">
        <v>612</v>
      </c>
      <c r="D8" s="10" t="s">
        <v>599</v>
      </c>
      <c r="E8" s="7" t="s">
        <v>600</v>
      </c>
      <c r="F8" s="126" t="s">
        <v>114</v>
      </c>
      <c r="G8" s="126" t="s">
        <v>53</v>
      </c>
      <c r="H8" s="127"/>
      <c r="I8" s="127"/>
      <c r="J8" s="125"/>
      <c r="K8" s="126"/>
      <c r="L8" s="125" t="s">
        <v>106</v>
      </c>
      <c r="M8" s="125" t="s">
        <v>7</v>
      </c>
      <c r="N8" s="125"/>
      <c r="O8" s="125"/>
      <c r="P8" s="125" t="s">
        <v>107</v>
      </c>
      <c r="Q8" s="125" t="s">
        <v>108</v>
      </c>
      <c r="R8" s="125" t="s">
        <v>108</v>
      </c>
      <c r="S8" s="125"/>
      <c r="T8" s="132">
        <v>0</v>
      </c>
      <c r="U8" s="132">
        <v>0</v>
      </c>
      <c r="V8" s="129"/>
      <c r="W8" s="129"/>
      <c r="X8" s="129"/>
      <c r="Y8" s="129"/>
      <c r="Z8" s="129"/>
      <c r="AA8" s="126" t="s">
        <v>635</v>
      </c>
      <c r="AB8" s="51"/>
      <c r="AC8" s="51"/>
      <c r="AD8" s="51"/>
      <c r="AE8" s="51"/>
      <c r="AF8" s="51"/>
      <c r="AG8" s="51"/>
      <c r="AH8" s="51"/>
      <c r="AI8" s="51"/>
      <c r="AJ8" s="51"/>
      <c r="AK8" s="51"/>
      <c r="AL8" s="51"/>
      <c r="AM8" s="51"/>
      <c r="AN8" s="51">
        <f t="shared" ref="AN8" si="14">SUM(AB8:AM8)</f>
        <v>0</v>
      </c>
      <c r="AO8" s="129">
        <f t="shared" ref="AO8" si="15">SUM(AF8:AM8)</f>
        <v>0</v>
      </c>
      <c r="AP8" s="60"/>
      <c r="AQ8" s="60"/>
      <c r="AR8" s="60">
        <f>575+5920</f>
        <v>6495</v>
      </c>
      <c r="AS8" s="60"/>
      <c r="AT8" s="60">
        <v>2300</v>
      </c>
      <c r="AU8" s="60">
        <v>1150</v>
      </c>
      <c r="AV8" s="60"/>
      <c r="AW8" s="60"/>
      <c r="AX8" s="60"/>
      <c r="AY8" s="60"/>
      <c r="AZ8" s="60"/>
      <c r="BA8" s="60"/>
      <c r="BB8" s="130">
        <f t="shared" si="9"/>
        <v>9945</v>
      </c>
      <c r="BC8" s="131"/>
    </row>
    <row r="10" spans="1:55" s="133" customFormat="1" x14ac:dyDescent="0.3">
      <c r="U10" s="133" t="s">
        <v>604</v>
      </c>
      <c r="V10" s="134">
        <f>SUM(V2:V8)</f>
        <v>-395388.94</v>
      </c>
      <c r="W10" s="134">
        <f t="shared" ref="W10:BB10" si="16">SUM(W2:W8)</f>
        <v>-479788.94000000024</v>
      </c>
      <c r="X10" s="134">
        <f t="shared" si="16"/>
        <v>-84400.000000000233</v>
      </c>
      <c r="Y10" s="134">
        <f t="shared" si="16"/>
        <v>0</v>
      </c>
      <c r="Z10" s="134">
        <f t="shared" si="16"/>
        <v>-84400.000000000233</v>
      </c>
      <c r="AA10" s="134"/>
      <c r="AB10" s="134">
        <f t="shared" si="16"/>
        <v>-166914.16666666666</v>
      </c>
      <c r="AC10" s="134">
        <f t="shared" si="16"/>
        <v>-166914.16666666666</v>
      </c>
      <c r="AD10" s="134">
        <f t="shared" si="16"/>
        <v>-166914.16666666666</v>
      </c>
      <c r="AE10" s="134">
        <f t="shared" si="16"/>
        <v>31565.833333333343</v>
      </c>
      <c r="AF10" s="134">
        <f t="shared" si="16"/>
        <v>-164086.10666666666</v>
      </c>
      <c r="AG10" s="134">
        <f t="shared" si="16"/>
        <v>-126914.16666666666</v>
      </c>
      <c r="AH10" s="134">
        <f t="shared" si="16"/>
        <v>-166914.16666666666</v>
      </c>
      <c r="AI10" s="134">
        <f t="shared" si="16"/>
        <v>731146.83333333337</v>
      </c>
      <c r="AJ10" s="134">
        <f t="shared" si="16"/>
        <v>16897.833333333343</v>
      </c>
      <c r="AK10" s="134">
        <f t="shared" si="16"/>
        <v>33085.833333333343</v>
      </c>
      <c r="AL10" s="134">
        <f t="shared" si="16"/>
        <v>-166914.16666666666</v>
      </c>
      <c r="AM10" s="134">
        <f t="shared" si="16"/>
        <v>-166914.16666666666</v>
      </c>
      <c r="AN10" s="134">
        <f t="shared" si="16"/>
        <v>-479788.94000000024</v>
      </c>
      <c r="AO10" s="134">
        <f t="shared" si="16"/>
        <v>-10612.273333333256</v>
      </c>
      <c r="AP10" s="134">
        <f t="shared" si="16"/>
        <v>0</v>
      </c>
      <c r="AQ10" s="134">
        <f t="shared" si="16"/>
        <v>0</v>
      </c>
      <c r="AR10" s="134">
        <f t="shared" si="16"/>
        <v>6495</v>
      </c>
      <c r="AS10" s="134">
        <f t="shared" si="16"/>
        <v>0</v>
      </c>
      <c r="AT10" s="134">
        <f t="shared" si="16"/>
        <v>5213.55</v>
      </c>
      <c r="AU10" s="134">
        <f t="shared" si="16"/>
        <v>1150</v>
      </c>
      <c r="AV10" s="134">
        <f t="shared" si="16"/>
        <v>0</v>
      </c>
      <c r="AW10" s="134">
        <f t="shared" si="16"/>
        <v>0</v>
      </c>
      <c r="AX10" s="134">
        <f t="shared" si="16"/>
        <v>183812</v>
      </c>
      <c r="AY10" s="134">
        <f t="shared" si="16"/>
        <v>0</v>
      </c>
      <c r="AZ10" s="134">
        <f t="shared" si="16"/>
        <v>0</v>
      </c>
      <c r="BA10" s="134">
        <f t="shared" si="16"/>
        <v>0</v>
      </c>
      <c r="BB10" s="134">
        <f t="shared" si="16"/>
        <v>196670.55</v>
      </c>
    </row>
  </sheetData>
  <conditionalFormatting sqref="Y1:Z8">
    <cfRule type="cellIs" dxfId="0"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N48"/>
  <sheetViews>
    <sheetView tabSelected="1" workbookViewId="0">
      <pane xSplit="1" ySplit="2" topLeftCell="B3" activePane="bottomRight" state="frozen"/>
      <selection pane="topRight" activeCell="B1" sqref="B1"/>
      <selection pane="bottomLeft" activeCell="A3" sqref="A3"/>
      <selection pane="bottomRight" activeCell="D20" sqref="D20"/>
    </sheetView>
  </sheetViews>
  <sheetFormatPr defaultRowHeight="14.4" x14ac:dyDescent="0.3"/>
  <cols>
    <col min="1" max="1" width="28.21875" bestFit="1" customWidth="1"/>
    <col min="2" max="2" width="15.44140625" bestFit="1" customWidth="1"/>
    <col min="3" max="3" width="21.88671875" bestFit="1" customWidth="1"/>
    <col min="4" max="4" width="28.21875" bestFit="1" customWidth="1"/>
    <col min="5" max="5" width="21.77734375" bestFit="1" customWidth="1"/>
    <col min="6" max="6" width="32.77734375" bestFit="1" customWidth="1"/>
    <col min="7" max="7" width="15.5546875" bestFit="1" customWidth="1"/>
    <col min="8" max="8" width="11.44140625" bestFit="1" customWidth="1"/>
    <col min="9" max="9" width="15.5546875" bestFit="1" customWidth="1"/>
    <col min="10" max="10" width="11.44140625" bestFit="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1" spans="1:6" x14ac:dyDescent="0.3">
      <c r="A1" s="8" t="s">
        <v>47</v>
      </c>
      <c r="B1" t="s">
        <v>46</v>
      </c>
    </row>
    <row r="3" spans="1:6" x14ac:dyDescent="0.3">
      <c r="C3" s="8" t="s">
        <v>488</v>
      </c>
    </row>
    <row r="4" spans="1:6" x14ac:dyDescent="0.3">
      <c r="A4" s="8" t="s">
        <v>55</v>
      </c>
      <c r="B4" s="8" t="s">
        <v>54</v>
      </c>
      <c r="C4" t="s">
        <v>0</v>
      </c>
      <c r="D4" t="s">
        <v>580</v>
      </c>
      <c r="E4" t="s">
        <v>481</v>
      </c>
    </row>
    <row r="5" spans="1:6" x14ac:dyDescent="0.3">
      <c r="A5" t="s">
        <v>73</v>
      </c>
      <c r="B5" t="s">
        <v>49</v>
      </c>
      <c r="C5" s="142">
        <v>414080</v>
      </c>
      <c r="D5" s="142">
        <v>356724</v>
      </c>
      <c r="E5" s="181">
        <v>-57356</v>
      </c>
      <c r="F5" s="142"/>
    </row>
    <row r="6" spans="1:6" x14ac:dyDescent="0.3">
      <c r="A6" t="s">
        <v>739</v>
      </c>
      <c r="B6" t="s">
        <v>49</v>
      </c>
      <c r="C6" s="142"/>
      <c r="D6" s="142">
        <v>80000</v>
      </c>
      <c r="E6" s="142">
        <v>80000</v>
      </c>
      <c r="F6" s="142" t="s">
        <v>753</v>
      </c>
    </row>
    <row r="7" spans="1:6" x14ac:dyDescent="0.3">
      <c r="A7" t="s">
        <v>8</v>
      </c>
      <c r="C7" s="142">
        <v>414080</v>
      </c>
      <c r="D7" s="142">
        <v>436724</v>
      </c>
      <c r="E7" s="142">
        <v>22644</v>
      </c>
      <c r="F7" s="142"/>
    </row>
    <row r="8" spans="1:6" x14ac:dyDescent="0.3">
      <c r="F8" s="142"/>
    </row>
    <row r="9" spans="1:6" x14ac:dyDescent="0.3">
      <c r="D9" t="s">
        <v>752</v>
      </c>
      <c r="E9" s="180">
        <f>7520*4</f>
        <v>30080</v>
      </c>
      <c r="F9" s="142"/>
    </row>
    <row r="10" spans="1:6" x14ac:dyDescent="0.3">
      <c r="D10" t="s">
        <v>754</v>
      </c>
      <c r="E10" s="180">
        <f>-6*160*47</f>
        <v>-45120</v>
      </c>
      <c r="F10" s="142"/>
    </row>
    <row r="11" spans="1:6" x14ac:dyDescent="0.3">
      <c r="D11" t="s">
        <v>755</v>
      </c>
      <c r="E11" s="180">
        <f>160*72*6</f>
        <v>69120</v>
      </c>
      <c r="F11" s="142"/>
    </row>
    <row r="12" spans="1:6" x14ac:dyDescent="0.3">
      <c r="F12" s="142"/>
    </row>
    <row r="13" spans="1:6" ht="14.4" customHeight="1" thickBot="1" x14ac:dyDescent="0.35">
      <c r="D13" s="182" t="s">
        <v>756</v>
      </c>
      <c r="E13" s="183">
        <f>SUM(E9:E11)+GETPIVOTDATA("Sum of 2026 Net Position",$A$3,"D365 Legal Vendor name","Andersen Tax Holdings","Domain Owner","Danny Borkowski")</f>
        <v>-3276</v>
      </c>
      <c r="F13" s="142"/>
    </row>
    <row r="14" spans="1:6" ht="15" thickTop="1" x14ac:dyDescent="0.3">
      <c r="F14" s="142"/>
    </row>
    <row r="15" spans="1:6" x14ac:dyDescent="0.3">
      <c r="F15" s="142"/>
    </row>
    <row r="16" spans="1:6" x14ac:dyDescent="0.3">
      <c r="D16" s="45"/>
      <c r="E16" s="45"/>
      <c r="F16" s="142"/>
    </row>
    <row r="17" spans="4:5" x14ac:dyDescent="0.3">
      <c r="D17" s="45"/>
      <c r="E17" s="45"/>
    </row>
    <row r="18" spans="4:5" x14ac:dyDescent="0.3">
      <c r="D18" s="45"/>
      <c r="E18" s="45"/>
    </row>
    <row r="19" spans="4:5" x14ac:dyDescent="0.3">
      <c r="D19" s="45"/>
      <c r="E19" s="45"/>
    </row>
    <row r="20" spans="4:5" x14ac:dyDescent="0.3">
      <c r="D20" s="45"/>
      <c r="E20" s="45"/>
    </row>
    <row r="21" spans="4:5" x14ac:dyDescent="0.3">
      <c r="D21" s="45"/>
      <c r="E21" s="45"/>
    </row>
    <row r="22" spans="4:5" x14ac:dyDescent="0.3">
      <c r="D22" s="45"/>
      <c r="E22" s="45"/>
    </row>
    <row r="23" spans="4:5" x14ac:dyDescent="0.3">
      <c r="D23" s="45"/>
      <c r="E23" s="45"/>
    </row>
    <row r="24" spans="4:5" x14ac:dyDescent="0.3">
      <c r="D24" s="45"/>
      <c r="E24" s="45"/>
    </row>
    <row r="25" spans="4:5" x14ac:dyDescent="0.3">
      <c r="D25" s="45"/>
      <c r="E25" s="45"/>
    </row>
    <row r="26" spans="4:5" x14ac:dyDescent="0.3">
      <c r="D26" s="45"/>
      <c r="E26" s="45"/>
    </row>
    <row r="27" spans="4:5" x14ac:dyDescent="0.3">
      <c r="E27" s="45"/>
    </row>
    <row r="40" spans="14:14" x14ac:dyDescent="0.3">
      <c r="N40" s="97"/>
    </row>
    <row r="41" spans="14:14" x14ac:dyDescent="0.3">
      <c r="N41" s="97"/>
    </row>
    <row r="42" spans="14:14" x14ac:dyDescent="0.3">
      <c r="N42" s="97"/>
    </row>
    <row r="43" spans="14:14" x14ac:dyDescent="0.3">
      <c r="N43" s="97"/>
    </row>
    <row r="44" spans="14:14" x14ac:dyDescent="0.3">
      <c r="N44" s="97"/>
    </row>
    <row r="45" spans="14:14" x14ac:dyDescent="0.3">
      <c r="N45" s="97"/>
    </row>
    <row r="46" spans="14:14" x14ac:dyDescent="0.3">
      <c r="N46" s="97"/>
    </row>
    <row r="47" spans="14:14" x14ac:dyDescent="0.3">
      <c r="N47" s="97"/>
    </row>
    <row r="48" spans="14:14" x14ac:dyDescent="0.3">
      <c r="N48" s="9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5.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ANTARESITDMO-1057074058-8011</_dlc_DocId>
    <_dlc_DocIdUrl xmlns="26d0a970-2ab3-49ef-b4d7-820ab6496716">
      <Url>https://antarescap.sharepoint.com/sites/AntaresITDemo/IT%20Internal/TechPMO/_layouts/15/DocIdRedir.aspx?ID=ANTARESITDMO-1057074058-8011</Url>
      <Description>ANTARESITDMO-1057074058-8011</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5.xml><?xml version="1.0" encoding="utf-8"?>
<ds:datastoreItem xmlns:ds="http://schemas.openxmlformats.org/officeDocument/2006/customXml" ds:itemID="{32E2E58D-7571-4D1E-B0F3-701D55D92D79}">
  <ds:schemaRefs>
    <ds:schemaRef ds:uri="c391786d-2ce2-4ee1-838b-63fe54a71a4e"/>
    <ds:schemaRef ds:uri="http://schemas.microsoft.com/office/2006/metadata/properties"/>
    <ds:schemaRef ds:uri="http://purl.org/dc/elements/1.1/"/>
    <ds:schemaRef ds:uri="26d0a970-2ab3-49ef-b4d7-820ab6496716"/>
    <ds:schemaRef ds:uri="http://purl.org/dc/dcmitype/"/>
    <ds:schemaRef ds:uri="http://schemas.microsoft.com/office/infopath/2007/PartnerControls"/>
    <ds:schemaRef ds:uri="http://schemas.microsoft.com/office/2006/documentManagement/types"/>
    <ds:schemaRef ds:uri="http://schemas.openxmlformats.org/package/2006/metadata/core-properties"/>
    <ds:schemaRef ds:uri="http://www.w3.org/XML/1998/namespace"/>
    <ds:schemaRef ds:uri="http://purl.org/dc/terms/"/>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2026-07-06T18:16:06Z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f91f6948-e2e6-421a-9b7f-806b05bd3227</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