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785E93C7-6FB9-46FB-BB70-FBDF2100D519}" xr6:coauthVersionLast="47" xr6:coauthVersionMax="47" xr10:uidLastSave="{00000000-0000-0000-0000-000000000000}"/>
  <bookViews>
    <workbookView xWindow="-108" yWindow="-108" windowWidth="23256" windowHeight="13896"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6" i="88" l="1"/>
  <c r="AZ76" i="88"/>
  <c r="AY76" i="88"/>
  <c r="AX76" i="88"/>
  <c r="AW76" i="88"/>
  <c r="AV76" i="88"/>
  <c r="AT3" i="87"/>
  <c r="BA42" i="88"/>
  <c r="AZ42" i="88"/>
  <c r="AY42" i="88"/>
  <c r="AX42" i="88"/>
  <c r="AW42" i="88"/>
  <c r="E11" i="84" l="1"/>
  <c r="E10" i="84" l="1"/>
  <c r="E9" i="84"/>
  <c r="E13" i="84"/>
  <c r="V124" i="88" l="1"/>
  <c r="V21" i="88"/>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BN76" i="88"/>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BN42" i="88"/>
  <c r="BM42" i="88"/>
  <c r="BL42" i="88"/>
  <c r="BK42" i="88"/>
  <c r="BJ42" i="88"/>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<sst xmlns="http://schemas.openxmlformats.org/spreadsheetml/2006/main" count="3448" uniqueCount="761">
  <si>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</si>
  <si>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</si>
  <si>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</si>
  <si>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</si>
  <si>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</si>
  <si>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</si>
  <si>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</si>
  <si>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</si>
  <si>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</si>
  <si>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</si>
  <si>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</si>
  <si>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</si>
  <si>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</si>
  <si>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</si>
  <si>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</si>
  <si>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</si>
  <si>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</si>
  <si>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</si>
  <si>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</si>
  <si>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</si>
  <si>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</si>
  <si>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</si>
  <si>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</si>
  <si>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</si>
  <si>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</si>
  <si>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</si>
  <si>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</si>
  <si>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</si>
  <si>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</si>
  <si>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</si>
  <si>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</si>
  <si>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</si>
  <si>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</si>
  <si>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</si>
  <si>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</si>
  <si>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</si>
  <si>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</si>
  <si>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</si>
  <si>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</si>
  <si>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</si>
  <si>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</si>
  <si>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</si>
  <si>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</si>
  <si>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</si>
  <si>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</si>
  <si>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</si>
  <si>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</si>
  <si>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</si>
  <si>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</si>
  <si>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</si>
  <si>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</si>
  <si>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</si>
  <si>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</si>
  <si>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</si>
  <si>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</si>
  <si>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</si>
  <si>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</si>
  <si>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</si>
  <si>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</si>
  <si>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</si>
  <si>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</si>
  <si>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</si>
  <si>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</si>
  <si>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</si>
  <si>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</si>
  <si>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</si>
  <si>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</si>
  <si>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</si>
  <si>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</si>
  <si>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</si>
  <si>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</si>
  <si>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</si>
  <si>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</si>
  <si>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</si>
  <si>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</si>
  <si>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</si>
  <si>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</si>
  <si>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</si>
  <si>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</si>
  <si>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</si>
  <si>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</si>
  <si>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</si>
  <si>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</si>
  <si>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</si>
  <si>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</si>
  <si>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</si>
  <si>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</si>
  <si>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</si>
  <si>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</si>
  <si>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</si>
  <si>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</si>
  <si>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</si>
  <si>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</si>
  <si>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</si>
  <si>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</si>
  <si>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</si>
  <si>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</si>
  <si>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</si>
  <si>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</si>
  <si>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</si>
  <si>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</si>
  <si>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</si>
  <si>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</si>
  <si>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</si>
  <si>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</si>
  <si>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</si>
  <si>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</si>
  <si>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</si>
  <si>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</si>
  <si>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</si>
  <si>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</si>
  <si>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</si>
  <si>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</si>
  <si>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</si>
  <si>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</si>
  <si>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</si>
  <si>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</si>
  <si>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</si>
  <si>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</si>
  <si>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</si>
  <si>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</si>
  <si>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</si>
  <si>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</si>
  <si>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</si>
  <si>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</si>
  <si>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</si>
  <si>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</si>
  <si>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</si>
  <si>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</si>
  <si>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</si>
  <si>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</si>
  <si>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</si>
  <si>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</si>
  <si>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</si>
  <si>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</si>
  <si>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</si>
  <si>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</si>
  <si>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</si>
  <si>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</si>
  <si>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</si>
  <si>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</si>
  <si>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</si>
  <si>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</si>
  <si>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</si>
  <si>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</si>
  <si>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</si>
  <si>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</si>
  <si>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</si>
  <si>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</si>
  <si>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</si>
  <si>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</si>
  <si>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</si>
  <si>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</si>
  <si>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</si>
  <si>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</si>
  <si>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</si>
  <si>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</si>
  <si>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</si>
  <si>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</si>
  <si>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</si>
  <si>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</si>
  <si>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</si>
  <si>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</si>
  <si>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</si>
  <si>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</si>
  <si>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</si>
  <si>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</si>
  <si>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</si>
  <si>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</si>
  <si>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</si>
  <si>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</si>
  <si>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</si>
  <si>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</si>
  <si>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</si>
  <si>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</si>
  <si>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</si>
  <si>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</si>
  <si>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</si>
  <si>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</si>
  <si>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</si>
  <si>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</si>
  <si>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</si>
  <si>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</si>
  <si>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</si>
  <si>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</si>
  <si>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</si>
  <si>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</si>
  <si>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</si>
  <si>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</si>
  <si>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</si>
  <si>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</si>
  <si>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</si>
  <si>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</si>
  <si>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</si>
  <si>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</si>
  <si>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</si>
  <si>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</si>
  <si>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</si>
  <si>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</si>
  <si>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</si>
  <si>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</si>
  <si>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</si>
  <si>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</si>
  <si>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</si>
  <si>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</si>
  <si>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</si>
  <si>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</si>
  <si>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</si>
  <si>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</si>
  <si>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</si>
  <si>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</si>
  <si>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</si>
  <si>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</si>
  <si>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</si>
  <si>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</si>
  <si>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</si>
  <si>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</si>
  <si>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</si>
  <si>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</si>
  <si>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</si>
  <si>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</si>
  <si>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</si>
  <si>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</si>
  <si>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</si>
  <si>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</si>
  <si>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</si>
  <si>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</si>
  <si>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</si>
  <si>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</si>
  <si>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</si>
  <si>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</si>
  <si>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</si>
  <si>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</si>
  <si>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</si>
  <si>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</si>
  <si>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</si>
  <si>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</si>
  <si>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</si>
  <si>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</si>
  <si>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</si>
  <si>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</si>
  <si>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</si>
  <si>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</si>
  <si>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</si>
  <si>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</si>
  <si>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</si>
  <si>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</si>
  <si>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</si>
  <si>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</si>
  <si>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</si>
  <si>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</si>
  <si>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</si>
  <si>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</si>
  <si>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</si>
  <si>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</si>
  <si>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</si>
  <si>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</si>
  <si>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</si>
  <si>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</si>
  <si>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</si>
  <si>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</si>
  <si>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</si>
  <si>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</si>
  <si>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</si>
  <si>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</si>
  <si>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</si>
  <si>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</si>
  <si>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</si>
  <si>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</si>
  <si>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</si>
  <si>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</si>
  <si>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</si>
  <si>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</si>
  <si>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</si>
  <si>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</si>
  <si>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</si>
  <si>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</si>
  <si>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</si>
  <si>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</si>
  <si>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</si>
  <si>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</si>
  <si>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</si>
  <si>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</si>
  <si>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</si>
  <si>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</si>
  <si>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</si>
  <si>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</si>
  <si>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</si>
  <si>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</si>
  <si>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</si>
  <si>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</si>
  <si>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</si>
  <si>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</si>
  <si>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</si>
  <si>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</si>
  <si>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</si>
  <si>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</si>
  <si>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</si>
  <si>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</si>
  <si>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</si>
  <si>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</si>
  <si>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</si>
  <si>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</si>
  <si>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</si>
  <si>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</si>
  <si>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</si>
  <si>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</si>
  <si>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</si>
  <si>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</si>
  <si>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</si>
  <si>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</si>
  <si>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</si>
  <si>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</si>
  <si>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</si>
  <si>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</si>
  <si>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</si>
  <si>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</si>
  <si>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</si>
  <si>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</si>
  <si>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</si>
  <si>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</si>
  <si>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</si>
  <si>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</si>
  <si>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</si>
  <si>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</si>
  <si>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</si>
  <si>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</si>
  <si>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</si>
  <si>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</si>
  <si>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</si>
  <si>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</si>
  <si>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</si>
  <si>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</si>
  <si>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</si>
  <si>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</si>
  <si>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</si>
  <si>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</si>
  <si>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</si>
  <si>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</si>
  <si>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</si>
  <si>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</si>
  <si>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</si>
  <si>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</si>
  <si>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</si>
  <si>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</si>
  <si>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</si>
  <si>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</si>
  <si>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</si>
  <si>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</si>
  <si>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</si>
  <si>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</si>
  <si>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</si>
  <si>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</si>
  <si>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</si>
  <si>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</si>
  <si>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</si>
  <si>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</si>
  <si>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</si>
  <si>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</si>
  <si>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</si>
  <si>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</si>
  <si>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</si>
  <si>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</si>
  <si>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</si>
  <si>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</si>
  <si>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</si>
  <si>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</si>
  <si>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</si>
  <si>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</si>
  <si>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</si>
  <si>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</si>
  <si>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</si>
  <si>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</si>
  <si>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</si>
  <si>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</si>
  <si>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</si>
  <si>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</si>
  <si>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</si>
  <si>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</si>
  <si>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</si>
  <si>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</si>
  <si>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</si>
  <si>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</si>
  <si>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</si>
  <si>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</si>
  <si>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</si>
  <si>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</si>
  <si>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</si>
  <si>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</si>
  <si>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</si>
  <si>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</si>
  <si>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</si>
  <si>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</si>
  <si>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</si>
  <si>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</si>
  <si>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</si>
  <si>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</si>
  <si>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</si>
  <si>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</si>
  <si>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</si>
  <si>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</si>
  <si>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</si>
  <si>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</si>
  <si>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</si>
  <si>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</si>
  <si>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</si>
  <si>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</si>
  <si>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</si>
  <si>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</si>
  <si>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</si>
  <si>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</si>
  <si>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</si>
  <si>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</si>
  <si>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</si>
  <si>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</si>
  <si>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</si>
  <si>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</si>
  <si>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</si>
  <si>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</si>
  <si>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</si>
  <si>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</si>
  <si>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</si>
  <si>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</si>
  <si>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</si>
  <si>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</si>
  <si>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</si>
  <si>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</si>
  <si>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</si>
  <si>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</si>
  <si>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</si>
  <si>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</si>
  <si>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</si>
  <si>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</si>
  <si>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</si>
  <si>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</si>
  <si>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</si>
  <si>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</si>
  <si>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</si>
  <si>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</si>
  <si>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</si>
  <si>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</si>
  <si>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</si>
  <si>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</si>
  <si>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</si>
  <si>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</si>
  <si>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</si>
  <si>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</si>
  <si>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</si>
  <si>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</si>
  <si>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</si>
  <si>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</si>
  <si>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</si>
  <si>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</si>
  <si>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</si>
  <si>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</si>
  <si>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</si>
  <si>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</si>
  <si>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</si>
  <si>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</si>
  <si>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</si>
  <si>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</si>
  <si>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</si>
  <si>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</si>
  <si>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</si>
  <si>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</si>
  <si>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</si>
  <si>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</si>
  <si>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</si>
  <si>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</si>
  <si>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</si>
  <si>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</si>
  <si>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</si>
  <si>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</si>
  <si>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</si>
  <si>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</si>
  <si>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</si>
  <si>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</si>
  <si>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</si>
  <si>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</si>
  <si>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</si>
  <si>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</si>
  <si>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</si>
  <si>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</si>
  <si>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</si>
  <si>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</si>
  <si>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</si>
  <si>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</si>
  <si>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</si>
  <si>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</si>
  <si>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</si>
  <si>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</si>
  <si>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</si>
  <si>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</si>
  <si>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</si>
  <si>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</si>
  <si>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</si>
  <si>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</si>
  <si>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</si>
  <si>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</si>
  <si>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</si>
  <si>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</si>
  <si>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</si>
  <si>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</si>
  <si>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</si>
  <si>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</si>
  <si>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</si>
  <si>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</si>
  <si>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</si>
  <si>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</si>
  <si>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</si>
  <si>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</si>
  <si>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</si>
  <si>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</si>
  <si>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</si>
  <si>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</si>
  <si>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</si>
  <si>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</si>
  <si>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</si>
  <si>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</si>
  <si>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</si>
  <si>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</si>
  <si>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</si>
  <si>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</si>
  <si>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</si>
  <si>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</si>
  <si>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</si>
  <si>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</si>
  <si>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</si>
  <si>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</si>
  <si>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</si>
  <si>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</si>
  <si>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</si>
  <si>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</si>
  <si>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</si>
  <si>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</si>
  <si>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</si>
  <si>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</si>
  <si>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</si>
  <si>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</si>
  <si>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</si>
  <si>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</si>
  <si>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</si>
  <si>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</si>
  <si>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</si>
  <si>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</si>
  <si>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</si>
  <si>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</si>
  <si>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</si>
  <si>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</si>
  <si>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</si>
  <si>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</si>
  <si>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</si>
  <si>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</si>
  <si>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</si>
  <si>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</si>
  <si>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</si>
  <si>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</si>
  <si>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</si>
  <si>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</si>
  <si>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</si>
  <si>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</si>
  <si>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</si>
  <si>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</si>
  <si>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</si>
  <si>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</si>
  <si>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</si>
  <si>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</si>
  <si>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</si>
  <si>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</si>
  <si>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</si>
  <si>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</si>
  <si>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</si>
  <si>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</si>
  <si>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</si>
  <si>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</si>
  <si>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</si>
  <si>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</si>
  <si>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</si>
  <si>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</si>
  <si>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</si>
  <si>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</si>
  <si>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</si>
  <si>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</si>
  <si>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</si>
  <si>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</si>
  <si>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</si>
  <si>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</si>
  <si>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</si>
  <si>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</si>
  <si>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</si>
  <si>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</si>
  <si>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</si>
  <si>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</si>
  <si>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</si>
  <si>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</si>
  <si>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</si>
  <si>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</si>
  <si>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</si>
  <si>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</si>
  <si>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</si>
  <si>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</si>
  <si>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</si>
  <si>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</si>
  <si>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</si>
  <si>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</si>
  <si>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</si>
  <si>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</si>
  <si>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</si>
  <si>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</si>
  <si>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</si>
  <si>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</si>
  <si>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</si>
  <si>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</si>
  <si>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</si>
  <si>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</si>
  <si>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</si>
  <si>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</si>
  <si>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</si>
  <si>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</si>
  <si>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</si>
  <si>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</si>
  <si>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</si>
  <si>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</si>
  <si>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</si>
  <si>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</si>
  <si>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</si>
  <si>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</si>
  <si>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</si>
  <si>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</si>
  <si>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</si>
  <si>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</si>
  <si>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</si>
  <si>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</si>
  <si>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</si>
  <si>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</si>
  <si>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</si>
  <si>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</si>
  <si>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</si>
  <si>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</si>
  <si>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</si>
  <si>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</si>
  <si>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</si>
  <si>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</si>
  <si>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</si>
  <si>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</si>
  <si>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</si>
  <si>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</si>
  <si>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</si>
  <si>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</si>
  <si>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</si>
  <si>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</si>
  <si>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</si>
  <si>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</si>
  <si>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</si>
  <si>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</si>
  <si>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</si>
  <si>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</si>
  <si>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</si>
  <si>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</si>
  <si>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</si>
  <si>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</si>
  <si>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</si>
  <si>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</si>
  <si>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</si>
  <si>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</si>
  <si>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</si>
  <si>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</si>
  <si>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</si>
  <si>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</si>
  <si>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</si>
  <si>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</si>
  <si>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</si>
  <si>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</si>
  <si>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</si>
  <si>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</si>
  <si>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</si>
  <si>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</si>
  <si>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</si>
  <si>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</si>
  <si>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</si>
  <si>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</si>
  <si>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</si>
  <si>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</si>
  <si>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</si>
  <si>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</si>
  <si>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</si>
  <si>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</si>
  <si>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</si>
  <si>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</si>
  <si>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</si>
  <si>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</si>
  <si>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</si>
  <si>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</si>
  <si>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</si>
  <si>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</si>
  <si>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</si>
  <si>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</si>
  <si>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</si>
  <si>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</si>
  <si>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</si>
  <si>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</si>
  <si>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</si>
  <si>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</si>
  <si>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</si>
  <si>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</si>
  <si>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</si>
  <si>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</si>
  <si>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</si>
  <si>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</si>
  <si>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</si>
  <si>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</si>
  <si>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</si>
  <si>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</si>
  <si>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</si>
  <si>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</si>
  <si>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</si>
  <si>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</si>
  <si>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</si>
  <si>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</si>
  <si>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</si>
  <si>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</si>
  <si>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</si>
  <si>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</si>
  <si>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</si>
  <si>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</si>
  <si>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</si>
  <si>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</si>
  <si>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</si>
  <si>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</si>
  <si>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</si>
  <si>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</si>
  <si>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</si>
  <si>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</si>
  <si>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</si>
  <si>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</si>
  <si>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</si>
  <si>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</si>
  <si>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</si>
  <si>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</si>
  <si>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</si>
  <si>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</si>
  <si>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</si>
  <si>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</si>
  <si>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</si>
  <si>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</si>
  <si>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</si>
  <si>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</si>
  <si>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</si>
  <si>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</si>
  <si>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</si>
  <si>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</si>
  <si>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Arif's extension</t>
  </si>
  <si>
    <t>Leon's Instruction</t>
  </si>
  <si>
    <t>Vinod's exit</t>
  </si>
  <si>
    <t>New Hire</t>
  </si>
  <si>
    <t>Net Saving</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</si>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</sst>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
      <left/>
      <right/>
      <top style="thin">
        <color indexed="64"/>
      </top>
      <bottom style="double">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8">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6" fontId="0" fillId="13" borderId="0" xfId="0" applyNumberFormat="1" applyFill="1"/>
    <xf numFmtId="164" fontId="0" fillId="13" borderId="0" xfId="0" applyNumberFormat="1" applyFill="1"/>
    <xf numFmtId="0" fontId="13" fillId="0" borderId="31" xfId="0" applyFont="1" applyBorder="1"/>
    <xf numFmtId="164" fontId="13" fillId="0" borderId="31" xfId="0" applyNumberFormat="1" applyFont="1" applyBorder="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0">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fill>
        <patternFill patternType="solid">
          <bgColor theme="5" tint="0.79998168889431442"/>
        </patternFill>
      </fill>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8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95">
      <pivotArea outline="0" collapsedLevelsAreSubtotals="1" fieldPosition="0"/>
    </format>
    <format dxfId="94">
      <pivotArea dataOnly="0" labelOnly="1" outline="0" fieldPosition="0">
        <references count="1">
          <reference field="4294967294" count="1">
            <x v="2"/>
          </reference>
        </references>
      </pivotArea>
    </format>
    <format dxfId="93">
      <pivotArea field="6" type="button" dataOnly="0" labelOnly="1" outline="0" axis="axisRow" fieldPosition="0"/>
    </format>
    <format dxfId="92">
      <pivotArea field="12" type="button" dataOnly="0" labelOnly="1" outline="0" axis="axisRow" fieldPosition="1"/>
    </format>
    <format dxfId="91">
      <pivotArea dataOnly="0" labelOnly="1" outline="0" fieldPosition="0">
        <references count="1">
          <reference field="4294967294" count="3">
            <x v="0"/>
            <x v="1"/>
            <x v="2"/>
          </reference>
        </references>
      </pivotArea>
    </format>
    <format dxfId="90">
      <pivotArea field="6" type="button" dataOnly="0" labelOnly="1" outline="0" axis="axisRow" fieldPosition="0"/>
    </format>
    <format dxfId="89">
      <pivotArea field="12" type="button" dataOnly="0" labelOnly="1" outline="0" axis="axisRow" fieldPosition="1"/>
    </format>
    <format dxfId="8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97">
      <pivotArea outline="0" collapsedLevelsAreSubtotals="1" fieldPosition="0"/>
    </format>
    <format dxfId="9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7" firstHeaderRow="1" firstDataRow="2" firstDataCol="2" rowPageCount="1" colPageCount="1"/>
  <pivotFields count="74">
    <pivotField compact="0" outline="0" multipleItemSelectionAllowed="1" showAll="0" defaultSubtotal="0"/>
    <pivotField axis="axisRow" compact="0" outline="0" showAll="0" defaultSubtotal="0">
      <items count="81">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79"/>
        <item x="13"/>
        <item x="36"/>
        <item x="64"/>
        <item x="37"/>
        <item x="54"/>
        <item x="41"/>
        <item x="38"/>
        <item x="73"/>
        <item x="42"/>
        <item x="55"/>
        <item x="40"/>
        <item x="39"/>
        <item x="5"/>
        <item x="1"/>
        <item x="71"/>
        <item x="72"/>
        <item x="68"/>
        <item x="20"/>
        <item x="3"/>
        <item x="24"/>
        <item x="10"/>
      </items>
    </pivotField>
    <pivotField compact="0" outline="0" showAll="0" defaultSubtotal="0"/>
    <pivotField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axis="axisRow" compact="0" outline="0" showAll="0" defaultSubtotal="0">
      <items count="7">
        <item h="1" x="5"/>
        <item x="0"/>
        <item h="1" x="2"/>
        <item h="1" x="4"/>
        <item h="1" x="3"/>
        <item h="1" x="1"/>
        <item h="1" x="6"/>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h="1" sd="0" x="5"/>
        <item h="1" sd="0" x="7"/>
        <item h="1" sd="0" x="3"/>
        <item sd="0" x="4"/>
        <item h="1" sd="0" x="2"/>
        <item h="1" sd="0" x="1"/>
        <item h="1"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2">
    <field x="1"/>
    <field x="6"/>
  </rowFields>
  <rowItems count="3">
    <i>
      <x v="5"/>
      <x v="1"/>
    </i>
    <i>
      <x v="59"/>
      <x v="1"/>
    </i>
    <i t="grand">
      <x/>
    </i>
  </rowItems>
  <colFields count="1">
    <field x="-2"/>
  </colFields>
  <colItems count="3">
    <i>
      <x/>
    </i>
    <i i="1">
      <x v="1"/>
    </i>
    <i i="2">
      <x v="2"/>
    </i>
  </colItems>
  <pageFields count="1">
    <pageField fld="12" hier="-1"/>
  </pageFields>
  <dataFields count="3">
    <dataField name="Sum of 2026 Final Budget" fld="21" baseField="0" baseItem="0"/>
    <dataField name="Sum of 2026 (Actuals + Forecast)" fld="22" baseField="0" baseItem="0"/>
    <dataField name="Sum of 2026 Net Position" fld="25" baseField="0" baseItem="0"/>
  </dataFields>
  <formats count="2">
    <format dxfId="99">
      <pivotArea outline="0" collapsedLevelsAreSubtotals="1" fieldPosition="0"/>
    </format>
    <format dxfId="98">
      <pivotArea outline="0" fieldPosition="0">
        <references count="3">
          <reference field="4294967294" count="1" selected="0">
            <x v="2"/>
          </reference>
          <reference field="1" count="1" selected="0">
            <x v="5"/>
          </reference>
          <reference field="6"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85" tableBorderDxfId="84">
  <autoFilter ref="A1:BV150" xr:uid="{A492086E-22C3-4E96-A6F5-F99E42618563}"/>
  <tableColumns count="74">
    <tableColumn id="1" xr3:uid="{242EDFF6-742E-412A-994F-DE5685E22BB0}" name="Transaction Type" dataDxfId="83"/>
    <tableColumn id="2" xr3:uid="{08616251-7DE6-4D23-92E4-2E85B1D94360}" name="D365 Legal Vendor name" dataDxfId="82"/>
    <tableColumn id="3" xr3:uid="{BD70789C-92D9-4A27-B8C3-E2607261E720}" name="DBA / AKA / Passthrough" dataDxfId="81"/>
    <tableColumn id="4" xr3:uid="{3918E27D-D871-43A2-9D6A-94FB14F654EC}" name="Project ID" dataDxfId="80"/>
    <tableColumn id="5" xr3:uid="{A028ADB0-AF1A-40E1-8A52-FF282B40DE64}" name="Project Name" dataDxfId="79"/>
    <tableColumn id="6" xr3:uid="{B4F67E57-8B0C-436C-BF42-2CAC2B8245C1}" name="Domain" dataDxfId="78"/>
    <tableColumn id="7" xr3:uid="{91E0CA19-9704-4FB2-9B82-EB394E89DF85}" name="Domain Owner" dataDxfId="77"/>
    <tableColumn id="9" xr3:uid="{090B133E-C581-4D72-9CCF-C2D174AB0F43}" name="Contract Start" dataDxfId="76"/>
    <tableColumn id="10" xr3:uid="{610CA386-C3EA-4064-9F45-507F0B25669D}" name="Contract End" dataDxfId="75"/>
    <tableColumn id="11" xr3:uid="{7A9CDD19-1472-4FAD-ACF7-98BC097996DE}" name="Application" dataDxfId="74"/>
    <tableColumn id="12" xr3:uid="{F6177E08-E03D-4CE8-A8C5-24F7F0CE38DF}" name="Project Details" dataDxfId="73">
      <calculatedColumnFormula>D2 &amp; "-" &amp;E2</calculatedColumnFormula>
    </tableColumn>
    <tableColumn id="13" xr3:uid="{F8731934-20F7-4424-BF3E-888C8F3E250E}" name="Category" dataDxfId="72"/>
    <tableColumn id="14" xr3:uid="{97F74ECF-D3E1-4544-B389-0D70673967E8}" name="Sub-Category1" dataDxfId="71"/>
    <tableColumn id="17" xr3:uid="{4C848037-D78D-42C1-A2C6-E6309704016E}" name="Sub-Category2" dataDxfId="70"/>
    <tableColumn id="21" xr3:uid="{0122725A-C30C-4CEE-B8D6-2422E3E10326}" name="Contract Type" dataDxfId="69"/>
    <tableColumn id="15" xr3:uid="{DCD4FDCF-43FF-4308-9293-62EA996620ED}" name="MGMT View Category (OneStream)" dataDxfId="68"/>
    <tableColumn id="18" xr3:uid="{658A4718-1DA7-4FBE-8992-7FAE7F4C7F49}" name="Onestream Account" dataDxfId="67"/>
    <tableColumn id="19" xr3:uid="{5267CF94-3623-462E-97AF-E18156B00053}" name="A/P Account Name" dataDxfId="66"/>
    <tableColumn id="20" xr3:uid="{5E0DC275-3907-45A6-9C4F-937BDB02153F}" name="Accounting Treatment" dataDxfId="65"/>
    <tableColumn id="22" xr3:uid="{16BEBE99-AC2A-471E-8FD9-AAE62FE8D83D}" name="2025 Actuals" dataDxfId="64"/>
    <tableColumn id="23" xr3:uid="{AB3393C9-D921-4085-AF5F-B7B623848FCC}" name="2026 Initial Budget" dataDxfId="63" dataCellStyle="Comma"/>
    <tableColumn id="25" xr3:uid="{BD95F986-B575-45C9-B565-3F5A5D25B661}" name="2026 Final Budget" dataDxfId="62" dataCellStyle="Comma"/>
    <tableColumn id="26" xr3:uid="{FE8AB3AA-8105-4CAA-9C84-BF99E639D702}" name="2026 (Actuals + Forecast)" dataDxfId="61" dataCellStyle="Comma">
      <calculatedColumnFormula>AO2+IF(ISBLANK(AP2),AB2,AP2)+IF(ISBLANK(AQ2),AC2,AQ2)+IF(ISBLANK(AR2),AD2,AR2)+IF(ISBLANK(AS2),AE2,AS2)+IF(ISBLANK(AT2),AF2,AT2)</calculatedColumnFormula>
    </tableColumn>
    <tableColumn id="27" xr3:uid="{FD25F16C-2EAA-415A-9A5A-67EF55B9D97F}" name="2026 Opportunity" dataDxfId="60" dataCellStyle="Comma">
      <calculatedColumnFormula>IF(V2 &gt;= W2, V2 - W2, 0)*-1</calculatedColumnFormula>
    </tableColumn>
    <tableColumn id="28" xr3:uid="{3E8C9BC3-A36F-4429-ADF1-E2E31EDFB123}" name="2026 Risk" dataDxfId="59" dataCellStyle="Comma">
      <calculatedColumnFormula>IF(W2 &gt; V2, W2 - V2, 0)</calculatedColumnFormula>
    </tableColumn>
    <tableColumn id="16" xr3:uid="{A2223374-A086-4670-9148-44C5B80D2F38}" name="2026 Net Position" dataDxfId="58" dataCellStyle="Comma">
      <calculatedColumnFormula>SUM(Financials20263[[#This Row],[2026 Opportunity]:[2026 Risk]])</calculatedColumnFormula>
    </tableColumn>
    <tableColumn id="29" xr3:uid="{9340939D-B61A-4867-A6FB-35598984DFC3}" name="Notes" dataDxfId="57"/>
    <tableColumn id="31" xr3:uid="{CAB5AFB6-CA5B-483A-9BAF-5761679A373B}" name="Jan FC" dataDxfId="56" dataCellStyle="Comma"/>
    <tableColumn id="32" xr3:uid="{5E6FFDA7-DF5F-495F-BC8D-D67F03329023}" name="Feb FC" dataDxfId="55" dataCellStyle="Comma"/>
    <tableColumn id="33" xr3:uid="{5058D119-6F17-43D3-AEF2-4F273CEBA31A}" name="Mar FC" dataDxfId="54" dataCellStyle="Comma"/>
    <tableColumn id="34" xr3:uid="{A3AC516B-B770-430E-B148-E1D3D9567FAD}" name="Apr FC" dataDxfId="53" dataCellStyle="Comma"/>
    <tableColumn id="35" xr3:uid="{ECEA33AD-45C5-4E82-A009-017E85D7DB44}" name="May FC" dataDxfId="52" dataCellStyle="Comma"/>
    <tableColumn id="36" xr3:uid="{E9DB8B47-323F-434B-807B-8748ED61ED34}" name="Jun FC" dataDxfId="51" dataCellStyle="Comma"/>
    <tableColumn id="37" xr3:uid="{6374D5F8-607B-41C2-B794-601F25EB418D}" name="Jul FC" dataDxfId="50" dataCellStyle="Comma"/>
    <tableColumn id="38" xr3:uid="{B4C16149-C9F0-45EC-B182-FD3B8B7429E0}" name="Aug FC" dataDxfId="49" dataCellStyle="Comma"/>
    <tableColumn id="39" xr3:uid="{26B14811-E5F5-4106-A54B-40DE00366D76}" name="Sep FC" dataDxfId="48" dataCellStyle="Comma"/>
    <tableColumn id="40" xr3:uid="{9E952692-1BDD-4D56-A183-37BF4A11F526}" name="Oct FC" dataDxfId="47" dataCellStyle="Comma"/>
    <tableColumn id="41" xr3:uid="{A049F4C1-34D3-4A29-86A7-C671D5C6D98B}" name="Nov FC" dataDxfId="46" dataCellStyle="Comma"/>
    <tableColumn id="42" xr3:uid="{5705BE95-DF6B-473B-8FA4-9E4226201603}" name="Dec FC" dataDxfId="45" dataCellStyle="Comma"/>
    <tableColumn id="74" xr3:uid="{9D40B7D4-7BAE-4A98-8145-9A222ED326B8}" name="Total - FC" dataDxfId="44" dataCellStyle="Comma">
      <calculatedColumnFormula>SUM(Financials20263[[#This Row],[Jan FC]:[Dec FC]])</calculatedColumnFormula>
    </tableColumn>
    <tableColumn id="43" xr3:uid="{91FD6C06-93AB-414D-9B76-887643EEED96}" name="Jun-Dec FC" dataDxfId="43" dataCellStyle="Comma">
      <calculatedColumnFormula>SUM(AG2:AM2)</calculatedColumnFormula>
    </tableColumn>
    <tableColumn id="56" xr3:uid="{F69A83C4-B9A3-4262-A8CB-8CE81864D5FA}" name="Jan AC" dataDxfId="42" dataCellStyle="Comma"/>
    <tableColumn id="55" xr3:uid="{1E9D6300-4AD1-4261-A1FF-6366DF423E92}" name="Feb AC" dataDxfId="41" dataCellStyle="Comma"/>
    <tableColumn id="54" xr3:uid="{13FFF1FD-26A1-4FD6-97E8-9386AB4AC43C}" name="Mar AC" dataDxfId="40" dataCellStyle="Comma"/>
    <tableColumn id="53" xr3:uid="{4528A9EB-DCC4-4768-9C74-B00744D89F2E}" name="Apr AC" dataDxfId="39" dataCellStyle="Comma"/>
    <tableColumn id="52" xr3:uid="{09BBCE26-5305-4845-8E95-2938F78951A1}" name="May AC" dataDxfId="38" dataCellStyle="Comma"/>
    <tableColumn id="51" xr3:uid="{B53E3A5E-4C7A-47F6-98EF-98D0339ED7EF}" name="Jun AC" dataDxfId="37" dataCellStyle="Comma"/>
    <tableColumn id="50" xr3:uid="{1B3A42E1-1A4A-4F02-AB85-F321F9298327}" name="Jul AC" dataDxfId="36" dataCellStyle="Comma"/>
    <tableColumn id="49" xr3:uid="{DB3FF538-4DFF-4E76-A4ED-65067E509D32}" name="Aug AC" dataDxfId="35" dataCellStyle="Comma"/>
    <tableColumn id="48" xr3:uid="{7811DD89-220A-4A96-BB76-DDA3AB708625}" name="Sep AC" dataDxfId="34" dataCellStyle="Comma"/>
    <tableColumn id="47" xr3:uid="{A17FFA7D-49AE-4866-91BB-54ABF4DBC444}" name="Oct AC" dataDxfId="33" dataCellStyle="Comma"/>
    <tableColumn id="46" xr3:uid="{41435EA0-FEC7-48B7-855E-47C16BC64CF6}" name="Nov AC" dataDxfId="32" dataCellStyle="Comma"/>
    <tableColumn id="30" xr3:uid="{A2239101-D3EE-49BD-BE0C-6704F209BED4}" name="Dec AC" dataDxfId="31" dataCellStyle="Comma"/>
    <tableColumn id="75" xr3:uid="{C6B2B2DB-BFC6-4CA1-A44B-AB1642CA5DF4}" name="Total Actuals" dataDxfId="30" dataCellStyle="Comma">
      <calculatedColumnFormula>SUM(Financials20263[[#This Row],[Jan AC]:[Dec AC]])</calculatedColumnFormula>
    </tableColumn>
    <tableColumn id="58" xr3:uid="{C27E561F-EC4E-4A83-860E-89EDAFD8273C}" name="Jan Opp/Risk" dataDxfId="29" dataCellStyle="Comma">
      <calculatedColumnFormula>Financials20263[[#This Row],[Jan AC]]-Financials20263[[#This Row],[Jan FC]]</calculatedColumnFormula>
    </tableColumn>
    <tableColumn id="59" xr3:uid="{DC3F935F-676C-4615-83CE-F51DCA99DF38}" name="Feb Opp./Risk" dataDxfId="28" dataCellStyle="Comma">
      <calculatedColumnFormula>Financials20263[[#This Row],[Feb AC]]-Financials20263[[#This Row],[Feb FC]]</calculatedColumnFormula>
    </tableColumn>
    <tableColumn id="60" xr3:uid="{51453838-C75C-48B0-801A-F08E0238B429}" name="Mar Opp./Risk" dataDxfId="27" dataCellStyle="Comma">
      <calculatedColumnFormula>Financials20263[[#This Row],[Mar AC]]-Financials20263[[#This Row],[Mar FC]]</calculatedColumnFormula>
    </tableColumn>
    <tableColumn id="61" xr3:uid="{B784A374-2FB6-4FF5-B896-BF2FC8499F68}" name="Apr Opp./Risk" dataDxfId="26" dataCellStyle="Comma">
      <calculatedColumnFormula>Financials20263[[#This Row],[Apr AC]]-Financials20263[[#This Row],[Apr FC]]</calculatedColumnFormula>
    </tableColumn>
    <tableColumn id="62" xr3:uid="{1563E951-050B-4915-B1A7-626B46F193F0}" name="May Opp./Risk" dataDxfId="25" dataCellStyle="Comma">
      <calculatedColumnFormula>Financials20263[[#This Row],[May AC]]-Financials20263[[#This Row],[May FC]]</calculatedColumnFormula>
    </tableColumn>
    <tableColumn id="63" xr3:uid="{CE10A45E-D613-4BBA-950B-3F0858138F44}" name="Jun Opp./Risk" dataDxfId="24" dataCellStyle="Comma">
      <calculatedColumnFormula>Financials20263[[#This Row],[Jun AC]]-Financials20263[[#This Row],[Jun FC]]</calculatedColumnFormula>
    </tableColumn>
    <tableColumn id="64" xr3:uid="{5A2AAB70-868C-4DC5-B5DD-4E11E098A39F}" name="Jul Opp./Risk" dataDxfId="23" dataCellStyle="Comma">
      <calculatedColumnFormula>Financials20263[[#This Row],[Jul AC]]-Financials20263[[#This Row],[Jul FC]]</calculatedColumnFormula>
    </tableColumn>
    <tableColumn id="65" xr3:uid="{1665AA1E-8313-4AF7-B6A0-D7722A026704}" name="Aug Opp./Risk" dataDxfId="22" dataCellStyle="Comma">
      <calculatedColumnFormula>Financials20263[[#This Row],[Aug AC]]-Financials20263[[#This Row],[Aug FC]]</calculatedColumnFormula>
    </tableColumn>
    <tableColumn id="66" xr3:uid="{25976019-C5B2-4B4F-8C89-FBB761553DE6}" name="Sep Opp./Risk" dataDxfId="21" dataCellStyle="Comma">
      <calculatedColumnFormula>Financials20263[[#This Row],[Sep AC]]-Financials20263[[#This Row],[Sep FC]]</calculatedColumnFormula>
    </tableColumn>
    <tableColumn id="67" xr3:uid="{ADF406C3-7173-4813-980E-7B87D65C153C}" name="Oct Opp./Risk" dataDxfId="20" dataCellStyle="Comma">
      <calculatedColumnFormula>Financials20263[[#This Row],[Oct AC]]-Financials20263[[#This Row],[Oct FC]]</calculatedColumnFormula>
    </tableColumn>
    <tableColumn id="68" xr3:uid="{636AB1D8-3FD4-42A0-975E-52B3FA7F8493}" name="Nov Opp./Risk" dataDxfId="19" dataCellStyle="Comma">
      <calculatedColumnFormula>Financials20263[[#This Row],[Nov AC]]-Financials20263[[#This Row],[Nov FC]]</calculatedColumnFormula>
    </tableColumn>
    <tableColumn id="69" xr3:uid="{CFD742A6-574D-4723-AAC1-62CB4F69D985}" name="Dec Opp./Risk" dataDxfId="18" dataCellStyle="Comma">
      <calculatedColumnFormula>Financials20263[[#This Row],[Dec AC]]-Financials20263[[#This Row],[Dec FC]]</calculatedColumnFormula>
    </tableColumn>
    <tableColumn id="76" xr3:uid="{90F33527-CC5D-4F93-BE20-F67E6D4714B4}" name="Total Opp./Risk" dataDxfId="17" dataCellStyle="Comma">
      <calculatedColumnFormula>SUM(Financials20263[[#This Row],[Jan Opp/Risk]:[Dec Opp./Risk]])</calculatedColumnFormula>
    </tableColumn>
    <tableColumn id="45" xr3:uid="{40E9183E-CE83-4399-9E89-734953B2AD7E}" name="Notes - Swati" dataDxfId="16" dataCellStyle="Comma"/>
    <tableColumn id="57" xr3:uid="{71A027C0-CE0B-44F4-9BEA-44F1E025C29C}" name="Jan-May Actuals" dataDxfId="15" dataCellStyle="Comma">
      <calculatedColumnFormula>SUM(Financials20263[[#This Row],[Jan AC]:[May AC]])</calculatedColumnFormula>
    </tableColumn>
    <tableColumn id="8" xr3:uid="{A4CDF58C-06B8-490E-851A-3E8597DB1ABC}" name="Jan-May Forecast " dataDxfId="14">
      <calculatedColumnFormula>Financials20263[[#This Row],[2026 (Actuals + Forecast)]]-Financials20263[[#This Row],[Jan-May Actuals]]-Financials20263[[#This Row],[Jun-Dec FC]]</calculatedColumnFormula>
    </tableColumn>
    <tableColumn id="24" xr3:uid="{793354D9-A30A-4975-87DD-55AF941A43CF}" name="Forecast Jun-Dec" dataDxfId="13">
      <calculatedColumnFormula>Financials20263[[#This Row],[Jun-Dec FC]]+Financials20263[[#This Row],[Jan-May Forecast ]]</calculatedColumnFormula>
    </tableColumn>
    <tableColumn id="44" xr3:uid="{A205C803-FAD6-4776-8381-5DC72A34682B}" name="Forecast Jan-May" dataDxfId="12">
      <calculatedColumnFormula>SUM(Financials20263[[#This Row],[Jan FC]:[May FC]])</calculatedColumnFormula>
    </tableColumn>
    <tableColumn id="70" xr3:uid="{DAAE9D59-198D-4744-9647-FCD523ED7658}" name="Actual+Forecast" dataDxfId="11">
      <calculatedColumnFormula>Financials20263[[#This Row],[Jan-May Actuals]]+Financials20263[[#This Row],[Forecast Jun-Dec]]</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4" t="s">
        <v>536</v>
      </c>
      <c r="D1" s="184"/>
      <c r="E1" s="184"/>
      <c r="F1" s="184"/>
      <c r="J1" s="19" t="s">
        <v>39</v>
      </c>
    </row>
    <row r="2" spans="1:10" x14ac:dyDescent="0.3">
      <c r="C2" s="184"/>
      <c r="D2" s="184"/>
      <c r="E2" s="184"/>
      <c r="F2" s="184"/>
      <c r="J2" s="20">
        <v>44788398</v>
      </c>
    </row>
    <row r="3" spans="1:10" x14ac:dyDescent="0.3">
      <c r="A3" s="8" t="s">
        <v>88</v>
      </c>
      <c r="B3" s="16" t="s">
        <v>0</v>
      </c>
      <c r="C3" t="s">
        <v>579</v>
      </c>
      <c r="D3" s="16" t="s">
        <v>44</v>
      </c>
      <c r="E3" s="16" t="s">
        <v>45</v>
      </c>
      <c r="F3" s="16" t="s">
        <v>480</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510</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5" t="s">
        <v>537</v>
      </c>
      <c r="D27" s="185"/>
      <c r="E27" s="185"/>
    </row>
    <row r="28" spans="1:6" x14ac:dyDescent="0.3">
      <c r="C28" s="185"/>
      <c r="D28" s="185"/>
      <c r="E28" s="185"/>
    </row>
    <row r="29" spans="1:6" x14ac:dyDescent="0.3">
      <c r="C29" s="8" t="s">
        <v>487</v>
      </c>
    </row>
    <row r="30" spans="1:6" ht="28.8" x14ac:dyDescent="0.3">
      <c r="A30" s="101" t="s">
        <v>54</v>
      </c>
      <c r="B30" s="101" t="s">
        <v>47</v>
      </c>
      <c r="C30" s="102" t="s">
        <v>0</v>
      </c>
      <c r="D30" s="102" t="s">
        <v>535</v>
      </c>
      <c r="E30" s="103" t="s">
        <v>480</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542</v>
      </c>
      <c r="B1" s="148" t="s">
        <v>54</v>
      </c>
      <c r="C1" s="148" t="s">
        <v>55</v>
      </c>
      <c r="D1" s="148" t="s">
        <v>97</v>
      </c>
      <c r="E1" s="148" t="s">
        <v>659</v>
      </c>
      <c r="F1" s="148" t="s">
        <v>660</v>
      </c>
      <c r="G1" s="148" t="s">
        <v>474</v>
      </c>
      <c r="H1" s="148" t="s">
        <v>661</v>
      </c>
      <c r="I1" s="149" t="s">
        <v>543</v>
      </c>
      <c r="J1" s="150" t="s">
        <v>544</v>
      </c>
    </row>
    <row r="2" spans="1:15" ht="43.2" hidden="1" outlineLevel="2" x14ac:dyDescent="0.3">
      <c r="A2" s="151" t="s">
        <v>2</v>
      </c>
      <c r="B2" s="152" t="s">
        <v>48</v>
      </c>
      <c r="C2" s="152" t="s">
        <v>181</v>
      </c>
      <c r="D2" s="153">
        <v>250000</v>
      </c>
      <c r="E2" s="153">
        <v>0</v>
      </c>
      <c r="F2" s="153">
        <v>152500</v>
      </c>
      <c r="G2" s="153">
        <f>E2+F2</f>
        <v>152500</v>
      </c>
      <c r="H2" s="153">
        <f>G2-D2</f>
        <v>-97500</v>
      </c>
      <c r="I2" s="154" t="s">
        <v>662</v>
      </c>
      <c r="J2" s="155" t="s">
        <v>545</v>
      </c>
      <c r="M2" s="150" t="s">
        <v>544</v>
      </c>
      <c r="N2" s="149" t="s">
        <v>543</v>
      </c>
      <c r="O2" s="150" t="s">
        <v>544</v>
      </c>
    </row>
    <row r="3" spans="1:15" ht="57.6" hidden="1" outlineLevel="2" x14ac:dyDescent="0.3">
      <c r="A3" s="151" t="s">
        <v>2</v>
      </c>
      <c r="B3" s="152" t="s">
        <v>48</v>
      </c>
      <c r="C3" s="152" t="s">
        <v>208</v>
      </c>
      <c r="D3" s="153">
        <v>2444000</v>
      </c>
      <c r="E3" s="153">
        <v>800000</v>
      </c>
      <c r="F3" s="153">
        <v>760000</v>
      </c>
      <c r="G3" s="153">
        <f>E3+F3</f>
        <v>1560000</v>
      </c>
      <c r="H3" s="153">
        <f>G3-D3</f>
        <v>-884000</v>
      </c>
      <c r="I3" s="156" t="s">
        <v>663</v>
      </c>
      <c r="J3" s="155" t="s">
        <v>545</v>
      </c>
      <c r="M3" t="s">
        <v>158</v>
      </c>
      <c r="N3" t="s">
        <v>664</v>
      </c>
      <c r="O3" t="s">
        <v>665</v>
      </c>
    </row>
    <row r="4" spans="1:15" hidden="1" outlineLevel="1" x14ac:dyDescent="0.3">
      <c r="A4" s="157" t="s">
        <v>2</v>
      </c>
      <c r="B4" s="158" t="s">
        <v>481</v>
      </c>
      <c r="C4" s="158"/>
      <c r="D4" s="159">
        <f>SUM(D2:D3)</f>
        <v>2694000</v>
      </c>
      <c r="E4" s="159">
        <f>SUM(E2:E3)</f>
        <v>800000</v>
      </c>
      <c r="F4" s="159">
        <f>SUM(F2:F3)</f>
        <v>912500</v>
      </c>
      <c r="G4" s="159">
        <f>SUM(G2:G3)</f>
        <v>1712500</v>
      </c>
      <c r="H4" s="159">
        <f>SUM(H2:H3)</f>
        <v>-981500</v>
      </c>
      <c r="I4" s="160"/>
      <c r="J4" s="161"/>
      <c r="M4" t="s">
        <v>41</v>
      </c>
      <c r="N4" t="s">
        <v>666</v>
      </c>
      <c r="O4" t="s">
        <v>667</v>
      </c>
    </row>
    <row r="5" spans="1:15" ht="43.2" hidden="1" outlineLevel="2" x14ac:dyDescent="0.3">
      <c r="A5" s="151" t="s">
        <v>2</v>
      </c>
      <c r="B5" s="152" t="s">
        <v>50</v>
      </c>
      <c r="C5" s="152" t="s">
        <v>400</v>
      </c>
      <c r="D5" s="153">
        <v>250000</v>
      </c>
      <c r="E5" s="153">
        <v>0</v>
      </c>
      <c r="F5" s="153">
        <v>150000</v>
      </c>
      <c r="G5" s="153">
        <f>E5+F5</f>
        <v>150000</v>
      </c>
      <c r="H5" s="153">
        <f>G5-D5</f>
        <v>-100000</v>
      </c>
      <c r="I5" s="156" t="s">
        <v>668</v>
      </c>
      <c r="J5" s="155" t="s">
        <v>545</v>
      </c>
      <c r="M5" t="s">
        <v>545</v>
      </c>
      <c r="N5" t="s">
        <v>669</v>
      </c>
      <c r="O5" t="s">
        <v>670</v>
      </c>
    </row>
    <row r="6" spans="1:15" ht="28.8" hidden="1" outlineLevel="2" x14ac:dyDescent="0.3">
      <c r="A6" s="151" t="s">
        <v>2</v>
      </c>
      <c r="B6" s="152" t="s">
        <v>50</v>
      </c>
      <c r="C6" s="152" t="s">
        <v>56</v>
      </c>
      <c r="D6" s="153">
        <v>50000</v>
      </c>
      <c r="E6" s="153">
        <v>0</v>
      </c>
      <c r="F6" s="153">
        <v>0</v>
      </c>
      <c r="G6" s="153">
        <f>E6+F6</f>
        <v>0</v>
      </c>
      <c r="H6" s="153">
        <f>G6-D6</f>
        <v>-50000</v>
      </c>
      <c r="I6" s="156" t="s">
        <v>671</v>
      </c>
      <c r="J6" s="155" t="s">
        <v>545</v>
      </c>
      <c r="M6" t="s">
        <v>549</v>
      </c>
      <c r="N6" t="s">
        <v>672</v>
      </c>
      <c r="O6" t="s">
        <v>673</v>
      </c>
    </row>
    <row r="7" spans="1:15" ht="28.8" hidden="1" outlineLevel="2" x14ac:dyDescent="0.3">
      <c r="A7" s="151" t="s">
        <v>2</v>
      </c>
      <c r="B7" s="152" t="s">
        <v>50</v>
      </c>
      <c r="C7" s="152" t="s">
        <v>208</v>
      </c>
      <c r="D7" s="153">
        <v>120000</v>
      </c>
      <c r="E7" s="153">
        <v>0</v>
      </c>
      <c r="F7" s="153">
        <v>120000</v>
      </c>
      <c r="G7" s="153">
        <f>E7+F7</f>
        <v>120000</v>
      </c>
      <c r="H7" s="153">
        <f>G7-D7</f>
        <v>0</v>
      </c>
      <c r="I7" s="162" t="s">
        <v>560</v>
      </c>
      <c r="J7" s="163" t="s">
        <v>546</v>
      </c>
    </row>
    <row r="8" spans="1:15" ht="43.2" hidden="1" outlineLevel="2" x14ac:dyDescent="0.3">
      <c r="A8" s="151" t="s">
        <v>2</v>
      </c>
      <c r="B8" s="152" t="s">
        <v>50</v>
      </c>
      <c r="C8" s="152" t="s">
        <v>334</v>
      </c>
      <c r="D8" s="153">
        <v>999600</v>
      </c>
      <c r="E8" s="153">
        <v>10000</v>
      </c>
      <c r="F8" s="153">
        <v>283500</v>
      </c>
      <c r="G8" s="153">
        <f>E8+F8</f>
        <v>293500</v>
      </c>
      <c r="H8" s="153">
        <f>G8-D8</f>
        <v>-706100</v>
      </c>
      <c r="I8" s="156" t="s">
        <v>674</v>
      </c>
      <c r="J8" s="155" t="s">
        <v>545</v>
      </c>
    </row>
    <row r="9" spans="1:15" hidden="1" outlineLevel="1" x14ac:dyDescent="0.3">
      <c r="A9" s="157" t="s">
        <v>2</v>
      </c>
      <c r="B9" s="158" t="s">
        <v>483</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675</v>
      </c>
      <c r="J10" s="155" t="s">
        <v>545</v>
      </c>
    </row>
    <row r="11" spans="1:15" hidden="1" outlineLevel="1" x14ac:dyDescent="0.3">
      <c r="A11" s="157" t="s">
        <v>2</v>
      </c>
      <c r="B11" s="158" t="s">
        <v>484</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676</v>
      </c>
      <c r="J12" s="163" t="s">
        <v>546</v>
      </c>
    </row>
    <row r="13" spans="1:15" ht="43.2" hidden="1" outlineLevel="2" x14ac:dyDescent="0.3">
      <c r="A13" s="151" t="s">
        <v>2</v>
      </c>
      <c r="B13" s="152" t="s">
        <v>53</v>
      </c>
      <c r="C13" s="152" t="s">
        <v>181</v>
      </c>
      <c r="D13" s="153">
        <v>100000</v>
      </c>
      <c r="E13" s="153">
        <v>0</v>
      </c>
      <c r="F13" s="153">
        <v>0</v>
      </c>
      <c r="G13" s="153">
        <f>E13+F13</f>
        <v>0</v>
      </c>
      <c r="H13" s="153">
        <f>G13-D13</f>
        <v>-100000</v>
      </c>
      <c r="I13" s="156" t="s">
        <v>677</v>
      </c>
      <c r="J13" s="155" t="s">
        <v>545</v>
      </c>
    </row>
    <row r="14" spans="1:15" hidden="1" outlineLevel="1" x14ac:dyDescent="0.3">
      <c r="A14" s="157" t="s">
        <v>2</v>
      </c>
      <c r="B14" s="158" t="s">
        <v>486</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547</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676</v>
      </c>
      <c r="J16" s="163" t="s">
        <v>546</v>
      </c>
    </row>
    <row r="17" spans="1:10" hidden="1" outlineLevel="1" x14ac:dyDescent="0.3">
      <c r="A17" s="157" t="s">
        <v>3</v>
      </c>
      <c r="B17" s="158" t="s">
        <v>481</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678</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679</v>
      </c>
      <c r="J19" s="168" t="s">
        <v>41</v>
      </c>
    </row>
    <row r="20" spans="1:10" hidden="1" outlineLevel="1" x14ac:dyDescent="0.3">
      <c r="A20" s="157" t="s">
        <v>3</v>
      </c>
      <c r="B20" s="158" t="s">
        <v>482</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548</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680</v>
      </c>
      <c r="J22" s="163" t="s">
        <v>546</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680</v>
      </c>
      <c r="J23" s="163" t="s">
        <v>546</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680</v>
      </c>
      <c r="J24" s="163" t="s">
        <v>546</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681</v>
      </c>
      <c r="J25" s="155" t="s">
        <v>545</v>
      </c>
    </row>
    <row r="26" spans="1:10" ht="43.2" hidden="1" outlineLevel="2" x14ac:dyDescent="0.3">
      <c r="A26" s="151" t="s">
        <v>4</v>
      </c>
      <c r="B26" s="152" t="s">
        <v>49</v>
      </c>
      <c r="C26" s="152" t="s">
        <v>61</v>
      </c>
      <c r="D26" s="153">
        <v>1674</v>
      </c>
      <c r="E26" s="153">
        <v>0</v>
      </c>
      <c r="F26" s="153">
        <v>0</v>
      </c>
      <c r="G26" s="153">
        <f t="shared" si="0"/>
        <v>0</v>
      </c>
      <c r="H26" s="153">
        <f t="shared" si="1"/>
        <v>-1674</v>
      </c>
      <c r="I26" s="156" t="s">
        <v>682</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680</v>
      </c>
      <c r="J27" s="163" t="s">
        <v>546</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680</v>
      </c>
      <c r="J28" s="163" t="s">
        <v>546</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680</v>
      </c>
      <c r="J29" s="163" t="s">
        <v>546</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680</v>
      </c>
      <c r="J30" s="163" t="s">
        <v>546</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680</v>
      </c>
      <c r="J31" s="163" t="s">
        <v>546</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680</v>
      </c>
      <c r="J32" s="163" t="s">
        <v>546</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680</v>
      </c>
      <c r="J33" s="163" t="s">
        <v>546</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680</v>
      </c>
      <c r="J34" s="163" t="s">
        <v>546</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680</v>
      </c>
      <c r="J35" s="163" t="s">
        <v>546</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683</v>
      </c>
      <c r="J36" s="155" t="s">
        <v>545</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680</v>
      </c>
      <c r="J37" s="163" t="s">
        <v>546</v>
      </c>
    </row>
    <row r="38" spans="1:10" hidden="1" outlineLevel="1" x14ac:dyDescent="0.3">
      <c r="A38" s="157" t="s">
        <v>4</v>
      </c>
      <c r="B38" s="158" t="s">
        <v>482</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680</v>
      </c>
      <c r="J39" s="163" t="s">
        <v>546</v>
      </c>
    </row>
    <row r="40" spans="1:10" ht="28.8" hidden="1" outlineLevel="2" x14ac:dyDescent="0.3">
      <c r="A40" s="151" t="s">
        <v>4</v>
      </c>
      <c r="B40" s="152" t="s">
        <v>53</v>
      </c>
      <c r="C40" s="152" t="s">
        <v>360</v>
      </c>
      <c r="D40" s="153">
        <v>2900</v>
      </c>
      <c r="E40" s="153">
        <v>1912.75</v>
      </c>
      <c r="F40" s="153">
        <v>987</v>
      </c>
      <c r="G40" s="153">
        <f>E40+F40</f>
        <v>2899.75</v>
      </c>
      <c r="H40" s="153">
        <f>G40-D40</f>
        <v>-0.25</v>
      </c>
      <c r="I40" s="162" t="s">
        <v>680</v>
      </c>
      <c r="J40" s="163" t="s">
        <v>546</v>
      </c>
    </row>
    <row r="41" spans="1:10" hidden="1" outlineLevel="1" collapsed="1" x14ac:dyDescent="0.3">
      <c r="A41" s="157" t="s">
        <v>4</v>
      </c>
      <c r="B41" s="158" t="s">
        <v>486</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550</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684</v>
      </c>
      <c r="J43" s="155" t="s">
        <v>549</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685</v>
      </c>
      <c r="J44" s="169" t="s">
        <v>549</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686</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687</v>
      </c>
      <c r="J46" s="168" t="s">
        <v>41</v>
      </c>
    </row>
    <row r="47" spans="1:10" hidden="1" outlineLevel="1" x14ac:dyDescent="0.3">
      <c r="A47" s="157" t="s">
        <v>46</v>
      </c>
      <c r="B47" s="158" t="s">
        <v>481</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688</v>
      </c>
      <c r="J48" s="155" t="s">
        <v>545</v>
      </c>
    </row>
    <row r="49" spans="1:10" hidden="1" outlineLevel="1" x14ac:dyDescent="0.3">
      <c r="A49" s="157" t="s">
        <v>46</v>
      </c>
      <c r="B49" s="158" t="s">
        <v>482</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689</v>
      </c>
      <c r="J50" s="155" t="s">
        <v>545</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690</v>
      </c>
      <c r="J51" s="155" t="s">
        <v>545</v>
      </c>
    </row>
    <row r="52" spans="1:10" hidden="1" outlineLevel="1" x14ac:dyDescent="0.3">
      <c r="A52" s="157" t="s">
        <v>46</v>
      </c>
      <c r="B52" s="158" t="s">
        <v>483</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691</v>
      </c>
      <c r="J53" s="155" t="s">
        <v>545</v>
      </c>
    </row>
    <row r="54" spans="1:10" hidden="1" outlineLevel="1" x14ac:dyDescent="0.3">
      <c r="A54" s="157" t="s">
        <v>46</v>
      </c>
      <c r="B54" s="158" t="s">
        <v>484</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692</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693</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694</v>
      </c>
      <c r="J57" s="155" t="s">
        <v>545</v>
      </c>
    </row>
    <row r="58" spans="1:10" hidden="1" outlineLevel="1" x14ac:dyDescent="0.3">
      <c r="A58" s="157" t="s">
        <v>46</v>
      </c>
      <c r="B58" s="158" t="s">
        <v>486</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551</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695</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696</v>
      </c>
      <c r="J61" s="155" t="s">
        <v>545</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697</v>
      </c>
      <c r="J62" s="155" t="s">
        <v>158</v>
      </c>
    </row>
    <row r="63" spans="1:10" hidden="1" outlineLevel="1" x14ac:dyDescent="0.3">
      <c r="A63" s="157" t="s">
        <v>5</v>
      </c>
      <c r="B63" s="158" t="s">
        <v>481</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698</v>
      </c>
      <c r="J64" s="155" t="s">
        <v>545</v>
      </c>
    </row>
    <row r="65" spans="1:10" hidden="1" outlineLevel="1" x14ac:dyDescent="0.3">
      <c r="A65" s="157" t="s">
        <v>5</v>
      </c>
      <c r="B65" s="158" t="s">
        <v>482</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699</v>
      </c>
      <c r="J66" s="163" t="s">
        <v>546</v>
      </c>
    </row>
    <row r="67" spans="1:10" hidden="1" outlineLevel="1" x14ac:dyDescent="0.3">
      <c r="A67" s="157" t="s">
        <v>5</v>
      </c>
      <c r="B67" s="158" t="s">
        <v>483</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700</v>
      </c>
      <c r="J68" s="169" t="s">
        <v>549</v>
      </c>
    </row>
    <row r="69" spans="1:10" ht="28.8" hidden="1" outlineLevel="2" x14ac:dyDescent="0.3">
      <c r="A69" s="151" t="s">
        <v>5</v>
      </c>
      <c r="B69" s="152" t="s">
        <v>51</v>
      </c>
      <c r="C69" s="152" t="s">
        <v>208</v>
      </c>
      <c r="D69" s="153">
        <v>100000</v>
      </c>
      <c r="E69" s="153">
        <v>0</v>
      </c>
      <c r="F69" s="153">
        <v>100000</v>
      </c>
      <c r="G69" s="153">
        <f>E69+F69</f>
        <v>100000</v>
      </c>
      <c r="H69" s="153">
        <f>G69-D69</f>
        <v>0</v>
      </c>
      <c r="I69" s="162" t="s">
        <v>701</v>
      </c>
      <c r="J69" s="163" t="s">
        <v>546</v>
      </c>
    </row>
    <row r="70" spans="1:10" hidden="1" outlineLevel="1" x14ac:dyDescent="0.3">
      <c r="A70" s="157" t="s">
        <v>5</v>
      </c>
      <c r="B70" s="158" t="s">
        <v>484</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702</v>
      </c>
      <c r="J71" s="163" t="s">
        <v>158</v>
      </c>
    </row>
    <row r="72" spans="1:10" hidden="1" outlineLevel="1" x14ac:dyDescent="0.3">
      <c r="A72" s="157" t="s">
        <v>5</v>
      </c>
      <c r="B72" s="158" t="s">
        <v>486</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552</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703</v>
      </c>
      <c r="J74" s="163" t="s">
        <v>549</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704</v>
      </c>
      <c r="J75" s="155" t="s">
        <v>545</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705</v>
      </c>
      <c r="J76" s="155" t="s">
        <v>545</v>
      </c>
    </row>
    <row r="77" spans="1:10" ht="28.8" hidden="1" outlineLevel="2" x14ac:dyDescent="0.3">
      <c r="A77" s="151" t="s">
        <v>6</v>
      </c>
      <c r="B77" s="152" t="s">
        <v>50</v>
      </c>
      <c r="C77" s="152" t="s">
        <v>477</v>
      </c>
      <c r="D77" s="153">
        <v>0</v>
      </c>
      <c r="E77" s="153">
        <v>15208</v>
      </c>
      <c r="F77" s="153">
        <v>0</v>
      </c>
      <c r="G77" s="153">
        <f t="shared" si="2"/>
        <v>15208</v>
      </c>
      <c r="H77" s="153">
        <f t="shared" si="3"/>
        <v>15208</v>
      </c>
      <c r="I77" s="167" t="s">
        <v>706</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707</v>
      </c>
      <c r="J78" s="163" t="s">
        <v>549</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553</v>
      </c>
      <c r="J79" s="163" t="s">
        <v>546</v>
      </c>
    </row>
    <row r="80" spans="1:10" hidden="1" outlineLevel="1" x14ac:dyDescent="0.3">
      <c r="A80" s="157" t="s">
        <v>6</v>
      </c>
      <c r="B80" s="158" t="s">
        <v>483</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554</v>
      </c>
      <c r="J81" s="163" t="s">
        <v>546</v>
      </c>
    </row>
    <row r="82" spans="1:10" hidden="1" outlineLevel="1" x14ac:dyDescent="0.3">
      <c r="A82" s="157" t="s">
        <v>6</v>
      </c>
      <c r="B82" s="158" t="s">
        <v>484</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555</v>
      </c>
      <c r="J83" s="163" t="s">
        <v>546</v>
      </c>
    </row>
    <row r="84" spans="1:10" hidden="1" outlineLevel="1" x14ac:dyDescent="0.3">
      <c r="A84" s="157" t="s">
        <v>6</v>
      </c>
      <c r="B84" s="158" t="s">
        <v>485</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556</v>
      </c>
      <c r="J85" s="163" t="s">
        <v>546</v>
      </c>
    </row>
    <row r="86" spans="1:10" ht="28.8" hidden="1" outlineLevel="2" x14ac:dyDescent="0.3">
      <c r="A86" s="151" t="s">
        <v>6</v>
      </c>
      <c r="B86" s="152" t="s">
        <v>53</v>
      </c>
      <c r="C86" s="152" t="s">
        <v>176</v>
      </c>
      <c r="D86" s="153">
        <v>141750</v>
      </c>
      <c r="E86" s="153">
        <v>0</v>
      </c>
      <c r="F86" s="153">
        <v>141750</v>
      </c>
      <c r="G86" s="153">
        <f>E86+F86</f>
        <v>141750</v>
      </c>
      <c r="H86" s="153">
        <f>G86-D86</f>
        <v>0</v>
      </c>
      <c r="I86" s="162" t="s">
        <v>556</v>
      </c>
      <c r="J86" s="163" t="s">
        <v>546</v>
      </c>
    </row>
    <row r="87" spans="1:10" ht="28.8" hidden="1" outlineLevel="2" x14ac:dyDescent="0.3">
      <c r="A87" s="151" t="s">
        <v>6</v>
      </c>
      <c r="B87" s="152" t="s">
        <v>53</v>
      </c>
      <c r="C87" s="152" t="s">
        <v>177</v>
      </c>
      <c r="D87" s="153">
        <v>17099</v>
      </c>
      <c r="E87" s="153">
        <v>0</v>
      </c>
      <c r="F87" s="153">
        <v>17099</v>
      </c>
      <c r="G87" s="153">
        <f>E87+F87</f>
        <v>17099</v>
      </c>
      <c r="H87" s="153">
        <f>G87-D87</f>
        <v>0</v>
      </c>
      <c r="I87" s="162" t="s">
        <v>557</v>
      </c>
      <c r="J87" s="163" t="s">
        <v>546</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708</v>
      </c>
      <c r="J88" s="155" t="s">
        <v>545</v>
      </c>
    </row>
    <row r="89" spans="1:10" hidden="1" outlineLevel="1" x14ac:dyDescent="0.3">
      <c r="A89" s="157" t="s">
        <v>6</v>
      </c>
      <c r="B89" s="158" t="s">
        <v>486</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709</v>
      </c>
      <c r="J90" s="169" t="s">
        <v>41</v>
      </c>
    </row>
    <row r="91" spans="1:10" hidden="1" outlineLevel="1" x14ac:dyDescent="0.3">
      <c r="A91" s="157" t="s">
        <v>6</v>
      </c>
      <c r="B91" s="158" t="s">
        <v>558</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559</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710</v>
      </c>
      <c r="J93" s="155" t="s">
        <v>545</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560</v>
      </c>
      <c r="J94" s="163" t="s">
        <v>546</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561</v>
      </c>
      <c r="J95" s="163" t="s">
        <v>546</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711</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564</v>
      </c>
      <c r="J97" s="163" t="s">
        <v>546</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712</v>
      </c>
      <c r="J98" s="155" t="s">
        <v>545</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713</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714</v>
      </c>
      <c r="J100" s="163" t="s">
        <v>546</v>
      </c>
    </row>
    <row r="101" spans="1:10" hidden="1" outlineLevel="1" x14ac:dyDescent="0.3">
      <c r="A101" s="157" t="s">
        <v>7</v>
      </c>
      <c r="B101" s="158" t="s">
        <v>481</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715</v>
      </c>
      <c r="J102" s="163" t="s">
        <v>546</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562</v>
      </c>
      <c r="J103" s="163" t="s">
        <v>546</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716</v>
      </c>
      <c r="J104" s="163" t="s">
        <v>546</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717</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718</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719</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720</v>
      </c>
      <c r="J108" s="163" t="s">
        <v>546</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560</v>
      </c>
      <c r="J109" s="163" t="s">
        <v>546</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563</v>
      </c>
      <c r="J110" s="163" t="s">
        <v>546</v>
      </c>
    </row>
    <row r="111" spans="1:10" hidden="1" outlineLevel="1" x14ac:dyDescent="0.3">
      <c r="A111" s="157" t="s">
        <v>7</v>
      </c>
      <c r="B111" s="158" t="s">
        <v>482</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721</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722</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723</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724</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725</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726</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727</v>
      </c>
      <c r="J118" s="163" t="s">
        <v>546</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728</v>
      </c>
      <c r="J119" s="169" t="s">
        <v>549</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729</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716</v>
      </c>
      <c r="J121" s="163" t="s">
        <v>546</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730</v>
      </c>
      <c r="J122" s="168" t="s">
        <v>41</v>
      </c>
    </row>
    <row r="123" spans="1:10" hidden="1" outlineLevel="1" collapsed="1" x14ac:dyDescent="0.3">
      <c r="A123" s="157" t="s">
        <v>7</v>
      </c>
      <c r="B123" s="158" t="s">
        <v>483</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565</v>
      </c>
      <c r="J124" s="163" t="s">
        <v>546</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716</v>
      </c>
      <c r="J125" s="163" t="s">
        <v>546</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560</v>
      </c>
      <c r="J126" s="163" t="s">
        <v>546</v>
      </c>
    </row>
    <row r="127" spans="1:10" hidden="1" outlineLevel="1" collapsed="1" x14ac:dyDescent="0.3">
      <c r="A127" s="157" t="s">
        <v>7</v>
      </c>
      <c r="B127" s="158" t="s">
        <v>484</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560</v>
      </c>
      <c r="J128" s="163" t="s">
        <v>546</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731</v>
      </c>
      <c r="J129" s="155" t="s">
        <v>545</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732</v>
      </c>
      <c r="J130" s="163" t="s">
        <v>546</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733</v>
      </c>
      <c r="J131" s="155" t="s">
        <v>545</v>
      </c>
    </row>
    <row r="132" spans="1:10" hidden="1" outlineLevel="1" collapsed="1" x14ac:dyDescent="0.3">
      <c r="A132" s="157" t="s">
        <v>7</v>
      </c>
      <c r="B132" s="158" t="s">
        <v>485</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560</v>
      </c>
      <c r="J133" s="163" t="s">
        <v>546</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560</v>
      </c>
      <c r="J134" s="163" t="s">
        <v>546</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734</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560</v>
      </c>
      <c r="J136" s="163" t="s">
        <v>546</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560</v>
      </c>
      <c r="J137" s="163" t="s">
        <v>546</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560</v>
      </c>
      <c r="J138" s="163" t="s">
        <v>546</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560</v>
      </c>
      <c r="J139" s="163" t="s">
        <v>546</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716</v>
      </c>
      <c r="J140" s="163" t="s">
        <v>546</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735</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736</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716</v>
      </c>
      <c r="J143" s="163" t="s">
        <v>546</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737</v>
      </c>
      <c r="J144" s="163" t="s">
        <v>545</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716</v>
      </c>
      <c r="J145" s="163" t="s">
        <v>546</v>
      </c>
    </row>
    <row r="146" spans="1:10" hidden="1" outlineLevel="1" collapsed="1" x14ac:dyDescent="0.3">
      <c r="A146" s="157" t="s">
        <v>7</v>
      </c>
      <c r="B146" s="158" t="s">
        <v>486</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566</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487</v>
      </c>
    </row>
    <row r="2" spans="1:16" x14ac:dyDescent="0.3">
      <c r="A2" s="8" t="s">
        <v>54</v>
      </c>
      <c r="B2" t="s">
        <v>488</v>
      </c>
      <c r="C2" t="s">
        <v>489</v>
      </c>
      <c r="D2" t="s">
        <v>507</v>
      </c>
      <c r="E2" t="s">
        <v>490</v>
      </c>
      <c r="F2" t="s">
        <v>491</v>
      </c>
      <c r="G2" t="s">
        <v>508</v>
      </c>
      <c r="H2" t="s">
        <v>492</v>
      </c>
      <c r="I2" t="s">
        <v>493</v>
      </c>
      <c r="J2" t="s">
        <v>509</v>
      </c>
      <c r="K2" t="s">
        <v>580</v>
      </c>
      <c r="L2" t="s">
        <v>581</v>
      </c>
      <c r="M2" t="s">
        <v>582</v>
      </c>
      <c r="N2" t="s">
        <v>640</v>
      </c>
      <c r="O2" t="s">
        <v>641</v>
      </c>
      <c r="P2" t="s">
        <v>642</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6">
        <f>(D9+G9+J9+M9+P9)/100000</f>
        <v>-5.7274933751666666</v>
      </c>
      <c r="G13" s="189" t="s">
        <v>643</v>
      </c>
      <c r="H13" s="190"/>
      <c r="I13" s="190"/>
      <c r="J13" s="191"/>
    </row>
    <row r="14" spans="1:16" x14ac:dyDescent="0.3">
      <c r="F14" s="187"/>
      <c r="G14" s="192"/>
      <c r="H14" s="193"/>
      <c r="I14" s="193"/>
      <c r="J14" s="194"/>
    </row>
    <row r="15" spans="1:16" ht="15" thickBot="1" x14ac:dyDescent="0.35">
      <c r="F15" s="188"/>
      <c r="G15" s="195"/>
      <c r="H15" s="196"/>
      <c r="I15" s="196"/>
      <c r="J15" s="197"/>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tabSelected="1" zoomScaleNormal="100" workbookViewId="0">
      <pane xSplit="2" ySplit="1" topLeftCell="AM2" activePane="bottomRight" state="frozen"/>
      <selection pane="topRight" activeCell="C1" sqref="C1"/>
      <selection pane="bottomLeft" activeCell="A2" sqref="A2"/>
      <selection pane="bottomRight" activeCell="AT1" sqref="AT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474</v>
      </c>
      <c r="AA1" s="29" t="s">
        <v>446</v>
      </c>
      <c r="AB1" s="26" t="s">
        <v>447</v>
      </c>
      <c r="AC1" s="26" t="s">
        <v>448</v>
      </c>
      <c r="AD1" s="26" t="s">
        <v>449</v>
      </c>
      <c r="AE1" s="26" t="s">
        <v>462</v>
      </c>
      <c r="AF1" s="25" t="s">
        <v>463</v>
      </c>
      <c r="AG1" s="25" t="s">
        <v>464</v>
      </c>
      <c r="AH1" s="25" t="s">
        <v>465</v>
      </c>
      <c r="AI1" s="25" t="s">
        <v>466</v>
      </c>
      <c r="AJ1" s="25" t="s">
        <v>467</v>
      </c>
      <c r="AK1" s="25" t="s">
        <v>468</v>
      </c>
      <c r="AL1" s="25" t="s">
        <v>469</v>
      </c>
      <c r="AM1" s="25" t="s">
        <v>470</v>
      </c>
      <c r="AN1" s="25" t="s">
        <v>472</v>
      </c>
      <c r="AO1" s="30" t="s">
        <v>626</v>
      </c>
      <c r="AP1" s="69" t="s">
        <v>450</v>
      </c>
      <c r="AQ1" s="69" t="s">
        <v>451</v>
      </c>
      <c r="AR1" s="69" t="s">
        <v>452</v>
      </c>
      <c r="AS1" s="69" t="s">
        <v>453</v>
      </c>
      <c r="AT1" s="70" t="s">
        <v>454</v>
      </c>
      <c r="AU1" s="70" t="s">
        <v>455</v>
      </c>
      <c r="AV1" s="70" t="s">
        <v>456</v>
      </c>
      <c r="AW1" s="70" t="s">
        <v>457</v>
      </c>
      <c r="AX1" s="70" t="s">
        <v>458</v>
      </c>
      <c r="AY1" s="70" t="s">
        <v>459</v>
      </c>
      <c r="AZ1" s="70" t="s">
        <v>460</v>
      </c>
      <c r="BA1" s="70" t="s">
        <v>461</v>
      </c>
      <c r="BB1" s="78" t="s">
        <v>473</v>
      </c>
      <c r="BC1" s="72" t="s">
        <v>494</v>
      </c>
      <c r="BD1" s="72" t="s">
        <v>495</v>
      </c>
      <c r="BE1" s="72" t="s">
        <v>496</v>
      </c>
      <c r="BF1" s="72" t="s">
        <v>497</v>
      </c>
      <c r="BG1" s="73" t="s">
        <v>498</v>
      </c>
      <c r="BH1" s="73" t="s">
        <v>499</v>
      </c>
      <c r="BI1" s="73" t="s">
        <v>500</v>
      </c>
      <c r="BJ1" s="73" t="s">
        <v>501</v>
      </c>
      <c r="BK1" s="73" t="s">
        <v>502</v>
      </c>
      <c r="BL1" s="73" t="s">
        <v>503</v>
      </c>
      <c r="BM1" s="73" t="s">
        <v>504</v>
      </c>
      <c r="BN1" s="74" t="s">
        <v>505</v>
      </c>
      <c r="BO1" s="74" t="s">
        <v>506</v>
      </c>
      <c r="BP1" s="31" t="s">
        <v>471</v>
      </c>
      <c r="BQ1" s="50" t="s">
        <v>644</v>
      </c>
      <c r="BR1" s="50" t="s">
        <v>645</v>
      </c>
      <c r="BS1" s="50" t="s">
        <v>646</v>
      </c>
      <c r="BT1" s="50" t="s">
        <v>647</v>
      </c>
      <c r="BU1" s="50" t="s">
        <v>648</v>
      </c>
      <c r="BV1" s="50" t="s">
        <v>749</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748</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512</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591</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516</v>
      </c>
      <c r="E8" s="7" t="s">
        <v>517</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570</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519</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649</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v>11005.14</v>
      </c>
      <c r="AV10" s="61"/>
      <c r="AW10" s="61"/>
      <c r="AX10" s="61"/>
      <c r="AY10" s="61"/>
      <c r="AZ10" s="61"/>
      <c r="BA10" s="61"/>
      <c r="BB10" s="80">
        <f>SUM(Financials20263[[#This Row],[Jan AC]:[Dec AC]])</f>
        <v>66030.84</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-4719.8600000000006</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-119044.16</v>
      </c>
      <c r="BP10" s="88" t="s">
        <v>596</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518</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518</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518</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739</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650</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525</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524</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525</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524</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629</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524</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630</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524</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525</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639</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518</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735000</v>
      </c>
      <c r="X28" s="15">
        <f t="shared" si="7"/>
        <v>0</v>
      </c>
      <c r="Y28" s="15">
        <f t="shared" si="2"/>
        <v>390000</v>
      </c>
      <c r="Z28" s="15">
        <f>SUM(Financials20263[[#This Row],[2026 Opportunity]:[2026 Risk]])</f>
        <v>390000</v>
      </c>
      <c r="AA28" s="11" t="s">
        <v>196</v>
      </c>
      <c r="AB28" s="52">
        <f>Financials20263[[#This Row],[2026 Final Budget]]/12</f>
        <v>28750</v>
      </c>
      <c r="AC28" s="52">
        <f>Financials20263[[#This Row],[2026 Final Budget]]/12</f>
        <v>28750</v>
      </c>
      <c r="AD28" s="52">
        <v>41750</v>
      </c>
      <c r="AE28" s="52">
        <v>54750</v>
      </c>
      <c r="AF28" s="52">
        <v>54750</v>
      </c>
      <c r="AG28" s="52">
        <v>54750</v>
      </c>
      <c r="AH28" s="52">
        <v>67750</v>
      </c>
      <c r="AI28" s="52">
        <v>80750</v>
      </c>
      <c r="AJ28" s="52">
        <v>80750</v>
      </c>
      <c r="AK28" s="52">
        <v>80750</v>
      </c>
      <c r="AL28" s="52">
        <v>80750</v>
      </c>
      <c r="AM28" s="52">
        <v>80750</v>
      </c>
      <c r="AN28" s="52">
        <f>SUM(Financials20263[[#This Row],[Jan FC]:[Dec FC]])</f>
        <v>735000</v>
      </c>
      <c r="AO28" s="15">
        <f t="shared" si="5"/>
        <v>526250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-67750</v>
      </c>
      <c r="BJ28" s="71">
        <f>Financials20263[[#This Row],[Aug AC]]-Financials20263[[#This Row],[Aug FC]]</f>
        <v>-80750</v>
      </c>
      <c r="BK28" s="71">
        <f>Financials20263[[#This Row],[Sep AC]]-Financials20263[[#This Row],[Sep FC]]</f>
        <v>-80750</v>
      </c>
      <c r="BL28" s="71">
        <f>Financials20263[[#This Row],[Oct AC]]-Financials20263[[#This Row],[Oct FC]]</f>
        <v>-80750</v>
      </c>
      <c r="BM28" s="71">
        <f>Financials20263[[#This Row],[Nov AC]]-Financials20263[[#This Row],[Nov FC]]</f>
        <v>-80750</v>
      </c>
      <c r="BN28" s="71">
        <f>Financials20263[[#This Row],[Dec AC]]-Financials20263[[#This Row],[Dec FC]]</f>
        <v>-80750</v>
      </c>
      <c r="BO28" s="71">
        <f>SUM(Financials20263[[#This Row],[Jan Opp/Risk]:[Dec Opp./Risk]])</f>
        <v>-581000</v>
      </c>
      <c r="BP28" s="87" t="s">
        <v>528</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581000</v>
      </c>
      <c r="BT28" s="6">
        <f>SUM(Financials20263[[#This Row],[Jan FC]:[May FC]])</f>
        <v>208750</v>
      </c>
      <c r="BU28" s="6">
        <f>Financials20263[[#This Row],[Jan-May Actuals]]+Financials20263[[#This Row],[Forecast Jun-Dec]]</f>
        <v>735000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525</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525</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628</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523</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651</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619</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576</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583</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530</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518</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476</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v>1966.08</v>
      </c>
      <c r="AW40" s="61"/>
      <c r="AX40" s="61"/>
      <c r="AY40" s="61"/>
      <c r="AZ40" s="61"/>
      <c r="BA40" s="61"/>
      <c r="BB40" s="80">
        <f>SUM(Financials20263[[#This Row],[Jan AC]:[Dec AC]])</f>
        <v>8560.64</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716.07999999999993</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-9494.36</v>
      </c>
      <c r="BP40" s="87" t="s">
        <v>514</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515</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97200</v>
      </c>
      <c r="X42" s="15">
        <f t="shared" si="7"/>
        <v>-2025</v>
      </c>
      <c r="Y42" s="15">
        <f t="shared" si="2"/>
        <v>0</v>
      </c>
      <c r="Z42" s="15">
        <f>SUM(Financials20263[[#This Row],[2026 Opportunity]:[2026 Risk]])</f>
        <v>-2025</v>
      </c>
      <c r="AA42" s="3" t="s">
        <v>758</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v>8100</v>
      </c>
      <c r="AJ42" s="52">
        <v>8100</v>
      </c>
      <c r="AK42" s="52">
        <v>8100</v>
      </c>
      <c r="AL42" s="52">
        <v>8100</v>
      </c>
      <c r="AM42" s="52">
        <v>8100</v>
      </c>
      <c r="AN42" s="52">
        <f>SUM(Financials20263[[#This Row],[Jan FC]:[Dec FC]])</f>
        <v>97200</v>
      </c>
      <c r="AO42" s="15">
        <f t="shared" si="5"/>
        <v>56700</v>
      </c>
      <c r="AP42" s="61">
        <f t="shared" ref="AP42:AV42" si="23">(97200)/12</f>
        <v>8100</v>
      </c>
      <c r="AQ42" s="61">
        <f t="shared" si="23"/>
        <v>8100</v>
      </c>
      <c r="AR42" s="61">
        <f t="shared" si="23"/>
        <v>8100</v>
      </c>
      <c r="AS42" s="61">
        <f t="shared" si="23"/>
        <v>8100</v>
      </c>
      <c r="AT42" s="61">
        <f t="shared" si="23"/>
        <v>8100</v>
      </c>
      <c r="AU42" s="61">
        <f t="shared" si="23"/>
        <v>8100</v>
      </c>
      <c r="AV42" s="61">
        <f t="shared" si="23"/>
        <v>8100</v>
      </c>
      <c r="AW42" s="61">
        <f>97200/12</f>
        <v>8100</v>
      </c>
      <c r="AX42" s="61">
        <f t="shared" ref="AX42:BA42" si="24">97200/12</f>
        <v>8100</v>
      </c>
      <c r="AY42" s="61">
        <f t="shared" si="24"/>
        <v>8100</v>
      </c>
      <c r="AZ42" s="61">
        <f t="shared" si="24"/>
        <v>8100</v>
      </c>
      <c r="BA42" s="61">
        <f t="shared" si="24"/>
        <v>8100</v>
      </c>
      <c r="BB42" s="80">
        <f>SUM(Financials20263[[#This Row],[Jan AC]:[Dec AC]])</f>
        <v>97200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0</v>
      </c>
      <c r="BK42" s="71">
        <f>Financials20263[[#This Row],[Sep AC]]-Financials20263[[#This Row],[Sep FC]]</f>
        <v>0</v>
      </c>
      <c r="BL42" s="71">
        <f>Financials20263[[#This Row],[Oct AC]]-Financials20263[[#This Row],[Oct FC]]</f>
        <v>0</v>
      </c>
      <c r="BM42" s="71">
        <f>Financials20263[[#This Row],[Nov AC]]-Financials20263[[#This Row],[Nov FC]]</f>
        <v>0</v>
      </c>
      <c r="BN42" s="71">
        <f>Financials20263[[#This Row],[Dec AC]]-Financials20263[[#This Row],[Dec FC]]</f>
        <v>0</v>
      </c>
      <c r="BO42" s="71">
        <f>SUM(Financials20263[[#This Row],[Jan Opp/Risk]:[Dec Opp./Risk]])</f>
        <v>0</v>
      </c>
      <c r="BP42" s="87" t="s">
        <v>757</v>
      </c>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56700</v>
      </c>
      <c r="BT42" s="6">
        <f>SUM(Financials20263[[#This Row],[Jan FC]:[May FC]])</f>
        <v>40500</v>
      </c>
      <c r="BU42" s="6">
        <f>Financials20263[[#This Row],[Jan-May Actuals]]+Financials20263[[#This Row],[Forecast Jun-Dec]]</f>
        <v>97200</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533</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593</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433</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594</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595</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513</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527</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518</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434</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584</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575</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518</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518</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435</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436</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652</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437</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479</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438</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439</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518</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518</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440</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441</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442</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518</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145499.31666666668</v>
      </c>
      <c r="X76" s="15">
        <f t="shared" si="33"/>
        <v>0</v>
      </c>
      <c r="Y76" s="15">
        <f t="shared" si="30"/>
        <v>12253.416666666657</v>
      </c>
      <c r="Z76" s="15">
        <f>SUM(Financials20263[[#This Row],[2026 Opportunity]:[2026 Risk]])</f>
        <v>12253.416666666657</v>
      </c>
      <c r="AA76" s="3" t="s">
        <v>302</v>
      </c>
      <c r="AB76" s="52">
        <v>10832.650000000003</v>
      </c>
      <c r="AC76" s="52">
        <v>10832.650000000003</v>
      </c>
      <c r="AD76" s="52">
        <v>10832.650000000003</v>
      </c>
      <c r="AE76" s="52">
        <v>10832.650000000003</v>
      </c>
      <c r="AF76" s="52">
        <v>10832.650000000003</v>
      </c>
      <c r="AG76" s="52">
        <v>10832.650000000003</v>
      </c>
      <c r="AH76" s="52">
        <v>13416.666666666666</v>
      </c>
      <c r="AI76" s="52">
        <v>13416.666666666666</v>
      </c>
      <c r="AJ76" s="52">
        <v>13416.666666666666</v>
      </c>
      <c r="AK76" s="52">
        <v>13416.666666666666</v>
      </c>
      <c r="AL76" s="52">
        <v>13416.666666666666</v>
      </c>
      <c r="AM76" s="52">
        <v>13416.666666666666</v>
      </c>
      <c r="AN76" s="77">
        <f>SUM(Financials20263[[#This Row],[Jan FC]:[Dec FC]])</f>
        <v>145495.90000000002</v>
      </c>
      <c r="AO76" s="15">
        <f t="shared" si="31"/>
        <v>91332.650000000009</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f>161000/12</f>
        <v>13416.666666666666</v>
      </c>
      <c r="AW76" s="60">
        <f t="shared" ref="AW76:BA76" si="35">161000/12</f>
        <v>13416.666666666666</v>
      </c>
      <c r="AX76" s="60">
        <f t="shared" si="35"/>
        <v>13416.666666666666</v>
      </c>
      <c r="AY76" s="60">
        <f t="shared" si="35"/>
        <v>13416.666666666666</v>
      </c>
      <c r="AZ76" s="60">
        <f t="shared" si="35"/>
        <v>13416.666666666666</v>
      </c>
      <c r="BA76" s="60">
        <f t="shared" si="35"/>
        <v>13416.666666666666</v>
      </c>
      <c r="BB76" s="79">
        <f>SUM(Financials20263[[#This Row],[Jan AC]:[Dec AC]])</f>
        <v>145500</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0</v>
      </c>
      <c r="BJ76" s="71">
        <f>Financials20263[[#This Row],[Aug AC]]-Financials20263[[#This Row],[Aug FC]]</f>
        <v>0</v>
      </c>
      <c r="BK76" s="71">
        <f>Financials20263[[#This Row],[Sep AC]]-Financials20263[[#This Row],[Sep FC]]</f>
        <v>0</v>
      </c>
      <c r="BL76" s="71">
        <f>Financials20263[[#This Row],[Oct AC]]-Financials20263[[#This Row],[Oct FC]]</f>
        <v>0</v>
      </c>
      <c r="BM76" s="71">
        <f>Financials20263[[#This Row],[Nov AC]]-Financials20263[[#This Row],[Nov FC]]</f>
        <v>0</v>
      </c>
      <c r="BN76" s="71">
        <f>Financials20263[[#This Row],[Dec AC]]-Financials20263[[#This Row],[Dec FC]]</f>
        <v>0</v>
      </c>
      <c r="BO76" s="71">
        <f>SUM(Financials20263[[#This Row],[Jan Opp/Risk]:[Dec Opp./Risk]])</f>
        <v>4.0999999999839929</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91332.650000000009</v>
      </c>
      <c r="BT76" s="6">
        <f>SUM(Financials20263[[#This Row],[Jan FC]:[May FC]])</f>
        <v>54163.250000000015</v>
      </c>
      <c r="BU76" s="6">
        <f>Financials20263[[#This Row],[Jan-May Actuals]]+Financials20263[[#This Row],[Forecast Jun-Dec]]</f>
        <v>145499.31666666668</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573</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443</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511</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571</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6">139684/12</f>
        <v>11640.333333333334</v>
      </c>
      <c r="AC82" s="52">
        <f t="shared" si="36"/>
        <v>11640.333333333334</v>
      </c>
      <c r="AD82" s="52">
        <f t="shared" si="36"/>
        <v>11640.333333333334</v>
      </c>
      <c r="AE82" s="52">
        <f t="shared" si="36"/>
        <v>11640.333333333334</v>
      </c>
      <c r="AF82" s="52">
        <f t="shared" si="36"/>
        <v>11640.333333333334</v>
      </c>
      <c r="AG82" s="52">
        <f t="shared" si="36"/>
        <v>11640.333333333334</v>
      </c>
      <c r="AH82" s="52">
        <f t="shared" si="36"/>
        <v>11640.333333333334</v>
      </c>
      <c r="AI82" s="52">
        <f t="shared" si="36"/>
        <v>11640.333333333334</v>
      </c>
      <c r="AJ82" s="52">
        <f t="shared" si="36"/>
        <v>11640.333333333334</v>
      </c>
      <c r="AK82" s="52">
        <f t="shared" si="36"/>
        <v>11640.333333333334</v>
      </c>
      <c r="AL82" s="52">
        <f t="shared" si="36"/>
        <v>11640.333333333334</v>
      </c>
      <c r="AM82" s="52">
        <f t="shared" si="36"/>
        <v>11640.333333333334</v>
      </c>
      <c r="AN82" s="52">
        <f>SUM(Financials20263[[#This Row],[Jan FC]:[Dec FC]])</f>
        <v>139683.99999999997</v>
      </c>
      <c r="AO82" s="15">
        <f t="shared" si="31"/>
        <v>81482.333333333328</v>
      </c>
      <c r="AP82" s="61">
        <f t="shared" si="36"/>
        <v>11640.333333333334</v>
      </c>
      <c r="AQ82" s="61">
        <f t="shared" si="36"/>
        <v>11640.333333333334</v>
      </c>
      <c r="AR82" s="61">
        <f t="shared" si="36"/>
        <v>11640.333333333334</v>
      </c>
      <c r="AS82" s="61">
        <f t="shared" si="36"/>
        <v>11640.333333333334</v>
      </c>
      <c r="AT82" s="61">
        <f t="shared" si="36"/>
        <v>11640.333333333334</v>
      </c>
      <c r="AU82" s="61">
        <f t="shared" si="36"/>
        <v>11640.333333333334</v>
      </c>
      <c r="AV82" s="61">
        <f t="shared" si="36"/>
        <v>11640.333333333334</v>
      </c>
      <c r="AW82" s="61">
        <f t="shared" si="36"/>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541</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7">171020.01/12</f>
        <v>14251.667500000001</v>
      </c>
      <c r="AT85" s="61">
        <f t="shared" si="37"/>
        <v>14251.667500000001</v>
      </c>
      <c r="AU85" s="61">
        <f t="shared" si="37"/>
        <v>14251.667500000001</v>
      </c>
      <c r="AV85" s="61">
        <f t="shared" si="37"/>
        <v>14251.667500000001</v>
      </c>
      <c r="AW85" s="61">
        <f t="shared" si="37"/>
        <v>14251.667500000001</v>
      </c>
      <c r="AX85" s="61">
        <f t="shared" si="37"/>
        <v>14251.667500000001</v>
      </c>
      <c r="AY85" s="61">
        <f t="shared" si="37"/>
        <v>14251.667500000001</v>
      </c>
      <c r="AZ85" s="61">
        <f t="shared" si="37"/>
        <v>14251.667500000001</v>
      </c>
      <c r="BA85" s="61">
        <f t="shared" si="37"/>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624</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577</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578</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518</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592</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v>8335</v>
      </c>
      <c r="AV91" s="61"/>
      <c r="AW91" s="61"/>
      <c r="AX91" s="61"/>
      <c r="AY91" s="61"/>
      <c r="AZ91" s="61"/>
      <c r="BA91" s="61"/>
      <c r="BB91" s="80">
        <f>SUM(Financials20263[[#This Row],[Jan AC]:[Dec AC]])</f>
        <v>42085</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1585</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-43370</v>
      </c>
      <c r="BP91" s="87" t="s">
        <v>756</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444</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v>999</v>
      </c>
      <c r="AW92" s="61"/>
      <c r="AX92" s="61"/>
      <c r="AY92" s="61"/>
      <c r="AZ92" s="61"/>
      <c r="BA92" s="61"/>
      <c r="BB92" s="80">
        <f>SUM(Financials20263[[#This Row],[Jan AC]:[Dec AC]])</f>
        <v>10893</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-38041</v>
      </c>
      <c r="BP92" s="87" t="s">
        <v>572</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636</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8">(637500/3)+(146024.9/3)</f>
        <v>261174.96666666667</v>
      </c>
      <c r="AR93" s="61">
        <f>(637500/3)+(146024.9/3)</f>
        <v>261174.96666666667</v>
      </c>
      <c r="AS93" s="61">
        <f>(637500/3)+(122346.03/3)</f>
        <v>253282.01</v>
      </c>
      <c r="AT93" s="61">
        <f t="shared" ref="AT93:AU93" si="39">(637500/3)+(122346.03/3)</f>
        <v>253282.01</v>
      </c>
      <c r="AU93" s="61">
        <f t="shared" si="39"/>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635</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617</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40">687472/12</f>
        <v>57289.333333333336</v>
      </c>
      <c r="AI94" s="51">
        <f t="shared" si="40"/>
        <v>57289.333333333336</v>
      </c>
      <c r="AJ94" s="51">
        <f t="shared" si="40"/>
        <v>57289.333333333336</v>
      </c>
      <c r="AK94" s="51">
        <f t="shared" si="40"/>
        <v>57289.333333333336</v>
      </c>
      <c r="AL94" s="51">
        <f t="shared" si="40"/>
        <v>57289.333333333336</v>
      </c>
      <c r="AM94" s="51">
        <f t="shared" si="40"/>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1">687472.16/12</f>
        <v>57289.346666666672</v>
      </c>
      <c r="AW94" s="60">
        <f t="shared" si="41"/>
        <v>57289.346666666672</v>
      </c>
      <c r="AX94" s="60">
        <f t="shared" si="41"/>
        <v>57289.346666666672</v>
      </c>
      <c r="AY94" s="60">
        <f t="shared" si="41"/>
        <v>57289.346666666672</v>
      </c>
      <c r="AZ94" s="60">
        <f t="shared" si="41"/>
        <v>57289.346666666672</v>
      </c>
      <c r="BA94" s="60">
        <f t="shared" si="41"/>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618</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t="e">
        <f>AO95+IF(ISBLANK(AP95),AB95,AP95)+IF(ISBLANK(AQ95),AC95,AQ95)+IF(ISBLANK(AR95),AD95,AR95)+IF(ISBLANK(AS95),AE95,AS95)+IF(ISBLANK(#REF!),AF95,#REF!)</f>
        <v>#REF!</v>
      </c>
      <c r="X95" s="15" t="e">
        <f t="shared" si="33"/>
        <v>#REF!</v>
      </c>
      <c r="Y95" s="15" t="e">
        <f t="shared" si="30"/>
        <v>#REF!</v>
      </c>
      <c r="Z95" s="15" t="e">
        <f>SUM(Financials20263[[#This Row],[2026 Opportunity]:[2026 Risk]])</f>
        <v>#REF!</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v>83200</v>
      </c>
      <c r="AU95" s="61"/>
      <c r="AV95" s="61"/>
      <c r="AW95" s="61"/>
      <c r="AX95" s="61"/>
      <c r="AY95" s="61"/>
      <c r="AZ95" s="61"/>
      <c r="BA95" s="61"/>
      <c r="BB95" s="80">
        <f>SUM(Financials20263[[#This Row],[Jan AC]:[Dec AC]])</f>
        <v>395600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-4800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-132400</v>
      </c>
      <c r="BP95" s="89" t="s">
        <v>522</v>
      </c>
      <c r="BQ95" s="47">
        <f>SUM(Financials20263[[#This Row],[Jan AC]:[May AC]])</f>
        <v>395600</v>
      </c>
      <c r="BR95" s="6" t="e">
        <f>Financials20263[[#This Row],[2026 (Actuals + Forecast)]]-Financials20263[[#This Row],[Jan-May Actuals]]-Financials20263[[#This Row],[Jun-Dec FC]]</f>
        <v>#REF!</v>
      </c>
      <c r="BS95" s="6" t="e">
        <f>Financials20263[[#This Row],[Jun-Dec FC]]+Financials20263[[#This Row],[Jan-May Forecast ]]</f>
        <v>#REF!</v>
      </c>
      <c r="BT95" s="6">
        <f>SUM(Financials20263[[#This Row],[Jan FC]:[May FC]])</f>
        <v>440000</v>
      </c>
      <c r="BU95" s="6" t="e">
        <f>Financials20263[[#This Row],[Jan-May Actuals]]+Financials20263[[#This Row],[Forecast Jun-Dec]]</f>
        <v>#REF!</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445</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v>160000</v>
      </c>
      <c r="AV96" s="61"/>
      <c r="AW96" s="61"/>
      <c r="AX96" s="61"/>
      <c r="AY96" s="61"/>
      <c r="AZ96" s="61"/>
      <c r="BA96" s="61"/>
      <c r="BB96" s="80">
        <f>SUM(Financials20263[[#This Row],[Jan AC]:[Dec AC]])</f>
        <v>960000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0</v>
      </c>
      <c r="BP96" s="87" t="s">
        <v>518</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750</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2">940800/6</f>
        <v>156800</v>
      </c>
      <c r="AD98" s="52">
        <f t="shared" si="42"/>
        <v>156800</v>
      </c>
      <c r="AE98" s="52">
        <f t="shared" si="42"/>
        <v>156800</v>
      </c>
      <c r="AF98" s="52">
        <f t="shared" si="42"/>
        <v>156800</v>
      </c>
      <c r="AG98" s="52">
        <f t="shared" si="42"/>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525</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3">136752/12</f>
        <v>11396</v>
      </c>
      <c r="AQ99" s="61">
        <f t="shared" si="43"/>
        <v>11396</v>
      </c>
      <c r="AR99" s="61">
        <f t="shared" si="43"/>
        <v>11396</v>
      </c>
      <c r="AS99" s="61">
        <f t="shared" si="43"/>
        <v>11396</v>
      </c>
      <c r="AT99" s="61">
        <f t="shared" si="43"/>
        <v>11396</v>
      </c>
      <c r="AU99" s="61">
        <f t="shared" si="43"/>
        <v>11396</v>
      </c>
      <c r="AV99" s="61">
        <f t="shared" si="43"/>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518</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4">-4000000/12</f>
        <v>-333333.33333333331</v>
      </c>
      <c r="AC100" s="52">
        <f t="shared" si="44"/>
        <v>-333333.33333333331</v>
      </c>
      <c r="AD100" s="52">
        <f t="shared" si="44"/>
        <v>-333333.33333333331</v>
      </c>
      <c r="AE100" s="52">
        <f t="shared" si="44"/>
        <v>-333333.33333333331</v>
      </c>
      <c r="AF100" s="52">
        <f t="shared" si="44"/>
        <v>-333333.33333333331</v>
      </c>
      <c r="AG100" s="52">
        <f t="shared" si="44"/>
        <v>-333333.33333333331</v>
      </c>
      <c r="AH100" s="52">
        <f t="shared" si="44"/>
        <v>-333333.33333333331</v>
      </c>
      <c r="AI100" s="52">
        <f t="shared" si="44"/>
        <v>-333333.33333333331</v>
      </c>
      <c r="AJ100" s="52">
        <f t="shared" si="44"/>
        <v>-333333.33333333331</v>
      </c>
      <c r="AK100" s="52">
        <f t="shared" si="44"/>
        <v>-333333.33333333331</v>
      </c>
      <c r="AL100" s="52">
        <f t="shared" si="44"/>
        <v>-333333.33333333331</v>
      </c>
      <c r="AM100" s="52">
        <f t="shared" si="44"/>
        <v>-333333.33333333331</v>
      </c>
      <c r="AN100" s="52">
        <f>SUM(Financials20263[[#This Row],[Jan FC]:[Dec FC]])</f>
        <v>-4000000.0000000005</v>
      </c>
      <c r="AO100" s="15">
        <f t="shared" si="31"/>
        <v>-2333333.333333333</v>
      </c>
      <c r="AP100" s="61">
        <f t="shared" si="44"/>
        <v>-333333.33333333331</v>
      </c>
      <c r="AQ100" s="61">
        <f t="shared" si="44"/>
        <v>-333333.33333333331</v>
      </c>
      <c r="AR100" s="61">
        <f t="shared" si="44"/>
        <v>-333333.33333333331</v>
      </c>
      <c r="AS100" s="61">
        <f t="shared" si="44"/>
        <v>-333333.33333333331</v>
      </c>
      <c r="AT100" s="61">
        <f t="shared" si="44"/>
        <v>-333333.33333333331</v>
      </c>
      <c r="AU100" s="61">
        <f t="shared" si="44"/>
        <v>-333333.33333333331</v>
      </c>
      <c r="AV100" s="61">
        <f t="shared" si="44"/>
        <v>-333333.33333333331</v>
      </c>
      <c r="AW100" s="61">
        <f t="shared" si="44"/>
        <v>-333333.33333333331</v>
      </c>
      <c r="AX100" s="61">
        <f t="shared" si="44"/>
        <v>-333333.33333333331</v>
      </c>
      <c r="AY100" s="61">
        <f t="shared" si="44"/>
        <v>-333333.33333333331</v>
      </c>
      <c r="AZ100" s="61">
        <f t="shared" si="44"/>
        <v>-333333.33333333331</v>
      </c>
      <c r="BA100" s="61">
        <f t="shared" si="44"/>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625</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747</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623</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5">544375/12</f>
        <v>45364.583333333336</v>
      </c>
      <c r="AR102" s="61">
        <f t="shared" si="45"/>
        <v>45364.583333333336</v>
      </c>
      <c r="AS102" s="61">
        <f t="shared" si="45"/>
        <v>45364.583333333336</v>
      </c>
      <c r="AT102" s="61">
        <f t="shared" si="45"/>
        <v>45364.583333333336</v>
      </c>
      <c r="AU102" s="61">
        <f t="shared" si="45"/>
        <v>45364.583333333336</v>
      </c>
      <c r="AV102" s="61">
        <f t="shared" si="45"/>
        <v>45364.583333333336</v>
      </c>
      <c r="AW102" s="61">
        <f t="shared" si="45"/>
        <v>45364.583333333336</v>
      </c>
      <c r="AX102" s="61">
        <f t="shared" si="45"/>
        <v>45364.583333333336</v>
      </c>
      <c r="AY102" s="61">
        <f t="shared" si="45"/>
        <v>45364.583333333336</v>
      </c>
      <c r="AZ102" s="61">
        <f t="shared" si="45"/>
        <v>45364.583333333336</v>
      </c>
      <c r="BA102" s="61">
        <f t="shared" si="45"/>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518</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538</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573</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534</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518</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633</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568</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518</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518</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539</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539</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518</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518</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518</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574</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743</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653</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627</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532</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744</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6">150000/12</f>
        <v>12500</v>
      </c>
      <c r="AC122" s="52">
        <f t="shared" si="46"/>
        <v>12500</v>
      </c>
      <c r="AD122" s="52">
        <f t="shared" si="46"/>
        <v>12500</v>
      </c>
      <c r="AE122" s="52">
        <f t="shared" si="46"/>
        <v>12500</v>
      </c>
      <c r="AF122" s="52">
        <f t="shared" si="46"/>
        <v>12500</v>
      </c>
      <c r="AG122" s="52">
        <f t="shared" si="46"/>
        <v>12500</v>
      </c>
      <c r="AH122" s="52">
        <f t="shared" si="46"/>
        <v>12500</v>
      </c>
      <c r="AI122" s="52">
        <f t="shared" si="46"/>
        <v>12500</v>
      </c>
      <c r="AJ122" s="52">
        <f t="shared" si="46"/>
        <v>12500</v>
      </c>
      <c r="AK122" s="52">
        <v>15833</v>
      </c>
      <c r="AL122" s="52">
        <v>15833</v>
      </c>
      <c r="AM122" s="52">
        <v>15834</v>
      </c>
      <c r="AN122" s="52">
        <f>SUM(Financials20263[[#This Row],[Jan FC]:[Dec FC]])</f>
        <v>160000</v>
      </c>
      <c r="AO122" s="15">
        <f t="shared" si="31"/>
        <v>97500</v>
      </c>
      <c r="AP122" s="61">
        <f t="shared" ref="AP122:AX122" si="47">150000/12</f>
        <v>12500</v>
      </c>
      <c r="AQ122" s="61">
        <f t="shared" si="47"/>
        <v>12500</v>
      </c>
      <c r="AR122" s="61">
        <f t="shared" si="47"/>
        <v>12500</v>
      </c>
      <c r="AS122" s="61">
        <f t="shared" si="47"/>
        <v>12500</v>
      </c>
      <c r="AT122" s="61">
        <f t="shared" si="47"/>
        <v>12500</v>
      </c>
      <c r="AU122" s="61">
        <f t="shared" si="47"/>
        <v>12500</v>
      </c>
      <c r="AV122" s="61">
        <f t="shared" si="47"/>
        <v>12500</v>
      </c>
      <c r="AW122" s="61">
        <f t="shared" si="47"/>
        <v>12500</v>
      </c>
      <c r="AX122" s="61">
        <f t="shared" si="47"/>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622</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750</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742</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622</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622</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750</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654</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655</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750</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656</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657</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637</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v>40000</v>
      </c>
      <c r="AU128" s="61"/>
      <c r="AV128" s="61"/>
      <c r="AW128" s="61"/>
      <c r="AX128" s="61"/>
      <c r="AY128" s="61"/>
      <c r="AZ128" s="61"/>
      <c r="BA128" s="61"/>
      <c r="BB128" s="80">
        <f>SUM(Financials20263[[#This Row],[Jan AC]:[Dec AC]])</f>
        <v>40000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-80000</v>
      </c>
      <c r="BP128" s="87" t="s">
        <v>616</v>
      </c>
      <c r="BQ128" s="47">
        <f>SUM(Financials20263[[#This Row],[Jan AC]:[May AC]])</f>
        <v>40000</v>
      </c>
      <c r="BR128" s="6">
        <f>Financials20263[[#This Row],[2026 (Actuals + Forecast)]]-Financials20263[[#This Row],[Jan-May Actuals]]-Financials20263[[#This Row],[Jun-Dec FC]]</f>
        <v>0</v>
      </c>
      <c r="BS128" s="6">
        <f>Financials20263[[#This Row],[Jun-Dec FC]]+Financials20263[[#This Row],[Jan-May Forecast ]]</f>
        <v>80000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620</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622</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750</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8">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9">AO130+IF(ISBLANK(AP130),AB130,AP130)+IF(ISBLANK(AQ130),AC130,AQ130)+IF(ISBLANK(AR130),AD130,AR130)+IF(ISBLANK(AS130),AE130,AS130)+IF(ISBLANK(AT130),AF130,AT130)</f>
        <v>0</v>
      </c>
      <c r="X130" s="15">
        <f t="shared" si="33"/>
        <v>0</v>
      </c>
      <c r="Y130" s="15">
        <f t="shared" ref="Y130:Y148" si="50">IF(W130 &gt; V130, W130 - V130, 0)</f>
        <v>0</v>
      </c>
      <c r="Z130" s="15">
        <f>SUM(Financials20263[[#This Row],[2026 Opportunity]:[2026 Risk]])</f>
        <v>0</v>
      </c>
      <c r="AA130" s="3" t="s">
        <v>741</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622</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8"/>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9"/>
        <v>0</v>
      </c>
      <c r="X131" s="15">
        <f t="shared" si="33"/>
        <v>-500000</v>
      </c>
      <c r="Y131" s="15">
        <f t="shared" si="50"/>
        <v>0</v>
      </c>
      <c r="Z131" s="15">
        <f>SUM(Financials20263[[#This Row],[2026 Opportunity]:[2026 Risk]])</f>
        <v>-500000</v>
      </c>
      <c r="AA131" s="3" t="s">
        <v>621</v>
      </c>
      <c r="AB131" s="52"/>
      <c r="AC131" s="52"/>
      <c r="AD131" s="52"/>
      <c r="AE131" s="52"/>
      <c r="AF131" s="52"/>
      <c r="AG131" s="52"/>
      <c r="AH131" s="52"/>
      <c r="AI131" s="52"/>
      <c r="AJ131" s="52"/>
      <c r="AK131" s="52"/>
      <c r="AL131" s="52"/>
      <c r="AM131" s="52"/>
      <c r="AN131" s="75">
        <f>SUM(Financials20263[[#This Row],[Jan FC]:[Dec FC]])</f>
        <v>0</v>
      </c>
      <c r="AO131" s="15">
        <f t="shared" ref="AO131:AO150" si="51">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622</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750</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8"/>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9"/>
        <v>174169.56</v>
      </c>
      <c r="X132" s="15">
        <f t="shared" si="33"/>
        <v>-4330.4400000000023</v>
      </c>
      <c r="Y132" s="15">
        <f t="shared" si="50"/>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1"/>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518</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8"/>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9"/>
        <v>7470</v>
      </c>
      <c r="X133" s="15">
        <f t="shared" si="33"/>
        <v>0</v>
      </c>
      <c r="Y133" s="15">
        <f t="shared" si="50"/>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1"/>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8"/>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9"/>
        <v>0</v>
      </c>
      <c r="X134" s="15">
        <f t="shared" si="33"/>
        <v>-100000</v>
      </c>
      <c r="Y134" s="15">
        <f t="shared" si="50"/>
        <v>0</v>
      </c>
      <c r="Z134" s="15">
        <f>SUM(Financials20263[[#This Row],[2026 Opportunity]:[2026 Risk]])</f>
        <v>-100000</v>
      </c>
      <c r="AA134" s="3" t="s">
        <v>742</v>
      </c>
      <c r="AB134" s="52"/>
      <c r="AC134" s="52"/>
      <c r="AD134" s="52"/>
      <c r="AE134" s="52"/>
      <c r="AF134" s="52"/>
      <c r="AG134" s="52"/>
      <c r="AH134" s="52"/>
      <c r="AI134" s="52"/>
      <c r="AJ134" s="52"/>
      <c r="AK134" s="52"/>
      <c r="AL134" s="52"/>
      <c r="AM134" s="46"/>
      <c r="AN134" s="52">
        <f>SUM(Financials20263[[#This Row],[Jan FC]:[Dec FC]])</f>
        <v>0</v>
      </c>
      <c r="AO134" s="15">
        <f t="shared" si="51"/>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622</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8"/>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9"/>
        <v>150000</v>
      </c>
      <c r="X135" s="15">
        <f t="shared" si="33"/>
        <v>-100000</v>
      </c>
      <c r="Y135" s="15">
        <f t="shared" si="50"/>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1"/>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622</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750</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8"/>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9"/>
        <v>113850</v>
      </c>
      <c r="X136" s="15">
        <f t="shared" si="33"/>
        <v>0</v>
      </c>
      <c r="Y136" s="15">
        <f t="shared" si="50"/>
        <v>13850</v>
      </c>
      <c r="Z136" s="15">
        <f>SUM(Financials20263[[#This Row],[2026 Opportunity]:[2026 Risk]])</f>
        <v>13850</v>
      </c>
      <c r="AA136" s="3" t="s">
        <v>638</v>
      </c>
      <c r="AB136" s="52"/>
      <c r="AC136" s="52"/>
      <c r="AD136" s="52"/>
      <c r="AE136" s="52"/>
      <c r="AF136" s="52"/>
      <c r="AG136" s="52"/>
      <c r="AH136" s="52"/>
      <c r="AI136" s="52">
        <v>113850</v>
      </c>
      <c r="AJ136" s="52"/>
      <c r="AK136" s="52"/>
      <c r="AL136" s="52"/>
      <c r="AM136" s="52"/>
      <c r="AN136" s="52">
        <f>SUM(Financials20263[[#This Row],[Jan FC]:[Dec FC]])</f>
        <v>113850</v>
      </c>
      <c r="AO136" s="15">
        <f t="shared" si="51"/>
        <v>113850</v>
      </c>
      <c r="AP136" s="61"/>
      <c r="AQ136" s="61"/>
      <c r="AR136" s="61"/>
      <c r="AS136" s="61"/>
      <c r="AT136" s="61"/>
      <c r="AU136" s="61">
        <v>113850</v>
      </c>
      <c r="AV136" s="61"/>
      <c r="AW136" s="61"/>
      <c r="AX136" s="61"/>
      <c r="AY136" s="61"/>
      <c r="AZ136" s="61"/>
      <c r="BA136" s="61"/>
      <c r="BB136" s="80">
        <f>SUM(Financials20263[[#This Row],[Jan AC]:[Dec AC]])</f>
        <v>113850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113850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0</v>
      </c>
      <c r="BP136" s="87" t="s">
        <v>759</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8"/>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9"/>
        <v>0</v>
      </c>
      <c r="X137" s="15">
        <f t="shared" ref="X137:X150" si="52">IF(V137 &gt;= W137, V137 - W137, 0)*-1</f>
        <v>-52071</v>
      </c>
      <c r="Y137" s="15">
        <f t="shared" si="50"/>
        <v>0</v>
      </c>
      <c r="Z137" s="15">
        <f>SUM(Financials20263[[#This Row],[2026 Opportunity]:[2026 Risk]])</f>
        <v>-52071</v>
      </c>
      <c r="AA137" s="3" t="s">
        <v>740</v>
      </c>
      <c r="AB137" s="52"/>
      <c r="AC137" s="52"/>
      <c r="AD137" s="52"/>
      <c r="AE137" s="52"/>
      <c r="AF137" s="52"/>
      <c r="AG137" s="52"/>
      <c r="AH137" s="52"/>
      <c r="AI137" s="52"/>
      <c r="AJ137" s="52"/>
      <c r="AK137" s="52"/>
      <c r="AL137" s="52"/>
      <c r="AM137" s="46"/>
      <c r="AN137" s="75">
        <f>SUM(Financials20263[[#This Row],[Jan FC]:[Dec FC]])</f>
        <v>0</v>
      </c>
      <c r="AO137" s="15">
        <f t="shared" si="51"/>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750</v>
      </c>
      <c r="BW137" s="6"/>
      <c r="BX137" s="6"/>
    </row>
    <row r="138" spans="1:76" x14ac:dyDescent="0.3">
      <c r="A138" s="22" t="s">
        <v>101</v>
      </c>
      <c r="B138" s="21" t="s">
        <v>181</v>
      </c>
      <c r="C138" s="21"/>
      <c r="D138" s="10" t="s">
        <v>14</v>
      </c>
      <c r="E138" s="7" t="s">
        <v>403</v>
      </c>
      <c r="F138" s="3" t="s">
        <v>114</v>
      </c>
      <c r="G138" s="3" t="s">
        <v>53</v>
      </c>
      <c r="H138" s="4"/>
      <c r="I138" s="4"/>
      <c r="J138" s="3"/>
      <c r="K138" s="3" t="str">
        <f t="shared" si="48"/>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9"/>
        <v>0</v>
      </c>
      <c r="X138" s="15">
        <f t="shared" si="52"/>
        <v>-100000</v>
      </c>
      <c r="Y138" s="15">
        <f t="shared" si="50"/>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1"/>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622</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750</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8"/>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9"/>
        <v>75000</v>
      </c>
      <c r="X139" s="15">
        <f t="shared" si="52"/>
        <v>0</v>
      </c>
      <c r="Y139" s="15">
        <f t="shared" si="50"/>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1"/>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529</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8"/>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9"/>
        <v>1864672.0199999998</v>
      </c>
      <c r="X140" s="15">
        <f t="shared" si="52"/>
        <v>0</v>
      </c>
      <c r="Y140" s="15">
        <f t="shared" si="50"/>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1"/>
        <v>1087725.345</v>
      </c>
      <c r="AP140" s="61">
        <f t="shared" ref="AP140:BA140" si="53">1864672.02/12</f>
        <v>155389.33499999999</v>
      </c>
      <c r="AQ140" s="61">
        <f t="shared" si="53"/>
        <v>155389.33499999999</v>
      </c>
      <c r="AR140" s="61">
        <f t="shared" si="53"/>
        <v>155389.33499999999</v>
      </c>
      <c r="AS140" s="61">
        <f t="shared" si="53"/>
        <v>155389.33499999999</v>
      </c>
      <c r="AT140" s="61">
        <f t="shared" si="53"/>
        <v>155389.33499999999</v>
      </c>
      <c r="AU140" s="61">
        <f t="shared" si="53"/>
        <v>155389.33499999999</v>
      </c>
      <c r="AV140" s="61">
        <f t="shared" si="53"/>
        <v>155389.33499999999</v>
      </c>
      <c r="AW140" s="61">
        <f t="shared" si="53"/>
        <v>155389.33499999999</v>
      </c>
      <c r="AX140" s="61">
        <f t="shared" si="53"/>
        <v>155389.33499999999</v>
      </c>
      <c r="AY140" s="61">
        <f t="shared" si="53"/>
        <v>155389.33499999999</v>
      </c>
      <c r="AZ140" s="61">
        <f t="shared" si="53"/>
        <v>155389.33499999999</v>
      </c>
      <c r="BA140" s="61">
        <f t="shared" si="53"/>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518</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8"/>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9"/>
        <v>284328.36999999994</v>
      </c>
      <c r="X141" s="15">
        <f t="shared" si="52"/>
        <v>-14216.030000000086</v>
      </c>
      <c r="Y141" s="15">
        <f t="shared" si="50"/>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1"/>
        <v>165858.21583333332</v>
      </c>
      <c r="AP141" s="61">
        <f t="shared" ref="AP141:BA141" si="54">284328.37/12</f>
        <v>23694.030833333334</v>
      </c>
      <c r="AQ141" s="61">
        <f t="shared" si="54"/>
        <v>23694.030833333334</v>
      </c>
      <c r="AR141" s="61">
        <f t="shared" si="54"/>
        <v>23694.030833333334</v>
      </c>
      <c r="AS141" s="61">
        <f t="shared" si="54"/>
        <v>23694.030833333334</v>
      </c>
      <c r="AT141" s="61">
        <f t="shared" si="54"/>
        <v>23694.030833333334</v>
      </c>
      <c r="AU141" s="61">
        <f t="shared" si="54"/>
        <v>23694.030833333334</v>
      </c>
      <c r="AV141" s="61">
        <f t="shared" si="54"/>
        <v>23694.030833333334</v>
      </c>
      <c r="AW141" s="61">
        <f t="shared" si="54"/>
        <v>23694.030833333334</v>
      </c>
      <c r="AX141" s="61">
        <f t="shared" si="54"/>
        <v>23694.030833333334</v>
      </c>
      <c r="AY141" s="61">
        <f t="shared" si="54"/>
        <v>23694.030833333334</v>
      </c>
      <c r="AZ141" s="61">
        <f t="shared" si="54"/>
        <v>23694.030833333334</v>
      </c>
      <c r="BA141" s="61">
        <f t="shared" si="54"/>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518</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8"/>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9"/>
        <v>232487.75</v>
      </c>
      <c r="X142" s="15">
        <f t="shared" si="52"/>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1"/>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531</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9"/>
        <v>606720</v>
      </c>
      <c r="X143" s="15">
        <f t="shared" si="52"/>
        <v>0</v>
      </c>
      <c r="Y143" s="15">
        <f t="shared" si="50"/>
        <v>6720</v>
      </c>
      <c r="Z143" s="15">
        <f>SUM(Financials20263[[#This Row],[2026 Opportunity]:[2026 Risk]])</f>
        <v>6720</v>
      </c>
      <c r="AA143" s="3" t="s">
        <v>746</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1"/>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521</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9"/>
        <v>1557600</v>
      </c>
      <c r="X144" s="15">
        <f t="shared" si="52"/>
        <v>0</v>
      </c>
      <c r="Y144" s="15">
        <f t="shared" si="50"/>
        <v>1557600</v>
      </c>
      <c r="Z144" s="15">
        <f>SUM(Financials20263[[#This Row],[2026 Opportunity]:[2026 Risk]])</f>
        <v>1557600</v>
      </c>
      <c r="AA144" s="3" t="s">
        <v>632</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1"/>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631</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5">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9"/>
        <v>12896</v>
      </c>
      <c r="X145" s="15">
        <f t="shared" si="52"/>
        <v>0</v>
      </c>
      <c r="Y145" s="15">
        <f t="shared" si="50"/>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1"/>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526</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5"/>
        <v>T&amp;M-T&amp;M</v>
      </c>
      <c r="L146" s="21" t="s">
        <v>124</v>
      </c>
      <c r="M146" s="21" t="s">
        <v>46</v>
      </c>
      <c r="N146" s="21" t="s">
        <v>189</v>
      </c>
      <c r="O146" s="21" t="s">
        <v>186</v>
      </c>
      <c r="P146" s="21" t="s">
        <v>126</v>
      </c>
      <c r="Q146" s="21" t="s">
        <v>127</v>
      </c>
      <c r="R146" s="21" t="s">
        <v>128</v>
      </c>
      <c r="S146" s="21" t="s">
        <v>129</v>
      </c>
      <c r="T146" s="5"/>
      <c r="U146" s="15"/>
      <c r="V146" s="15">
        <v>0</v>
      </c>
      <c r="W146" s="15">
        <f t="shared" si="49"/>
        <v>69325</v>
      </c>
      <c r="X146" s="15">
        <f t="shared" si="52"/>
        <v>0</v>
      </c>
      <c r="Y146" s="15">
        <f t="shared" si="50"/>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1"/>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520</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5"/>
        <v>T&amp;M-T&amp;M</v>
      </c>
      <c r="L147" s="21" t="s">
        <v>124</v>
      </c>
      <c r="M147" s="21" t="s">
        <v>46</v>
      </c>
      <c r="N147" s="21" t="s">
        <v>189</v>
      </c>
      <c r="O147" s="21" t="s">
        <v>186</v>
      </c>
      <c r="P147" s="21" t="s">
        <v>126</v>
      </c>
      <c r="Q147" s="21" t="s">
        <v>127</v>
      </c>
      <c r="R147" s="21" t="s">
        <v>128</v>
      </c>
      <c r="S147" s="21" t="s">
        <v>129</v>
      </c>
      <c r="T147" s="5"/>
      <c r="U147" s="15"/>
      <c r="V147" s="5">
        <v>0</v>
      </c>
      <c r="W147" s="15">
        <f t="shared" si="49"/>
        <v>38822</v>
      </c>
      <c r="X147" s="15">
        <f t="shared" si="52"/>
        <v>0</v>
      </c>
      <c r="Y147" s="15">
        <f t="shared" si="50"/>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1"/>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540</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477</v>
      </c>
      <c r="C148" s="33" t="s">
        <v>424</v>
      </c>
      <c r="D148" s="10" t="s">
        <v>31</v>
      </c>
      <c r="E148" s="7" t="s">
        <v>204</v>
      </c>
      <c r="F148" s="3" t="s">
        <v>205</v>
      </c>
      <c r="G148" s="3" t="s">
        <v>50</v>
      </c>
      <c r="H148" s="4">
        <v>46082</v>
      </c>
      <c r="I148" s="4">
        <v>46387</v>
      </c>
      <c r="J148" s="35"/>
      <c r="K148" s="35" t="s">
        <v>475</v>
      </c>
      <c r="L148" s="33" t="s">
        <v>106</v>
      </c>
      <c r="M148" s="33" t="s">
        <v>6</v>
      </c>
      <c r="N148" s="33" t="s">
        <v>6</v>
      </c>
      <c r="O148" s="33" t="s">
        <v>373</v>
      </c>
      <c r="P148" s="33" t="s">
        <v>163</v>
      </c>
      <c r="Q148" s="33" t="s">
        <v>163</v>
      </c>
      <c r="R148" s="33" t="s">
        <v>164</v>
      </c>
      <c r="S148" s="33" t="s">
        <v>154</v>
      </c>
      <c r="T148" s="36">
        <v>0</v>
      </c>
      <c r="U148" s="36">
        <v>0</v>
      </c>
      <c r="V148" s="5">
        <v>0</v>
      </c>
      <c r="W148" s="15">
        <f t="shared" si="49"/>
        <v>15208</v>
      </c>
      <c r="X148" s="15">
        <f t="shared" si="52"/>
        <v>0</v>
      </c>
      <c r="Y148" s="15">
        <f t="shared" si="50"/>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1"/>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478</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738</v>
      </c>
      <c r="C149" s="33"/>
      <c r="D149" s="10" t="s">
        <v>186</v>
      </c>
      <c r="E149" s="7" t="s">
        <v>186</v>
      </c>
      <c r="F149" s="3"/>
      <c r="G149" s="3" t="s">
        <v>49</v>
      </c>
      <c r="H149" s="4"/>
      <c r="I149" s="4"/>
      <c r="J149" s="35"/>
      <c r="K149" s="3" t="str">
        <f t="shared" ref="K149" si="56">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745</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9"/>
        <v>102000</v>
      </c>
      <c r="X150" s="15">
        <f t="shared" si="52"/>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1"/>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658</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569</v>
      </c>
      <c r="C152" s="107"/>
      <c r="D152" s="108"/>
      <c r="E152" s="107"/>
      <c r="F152" s="107"/>
      <c r="G152" s="108"/>
      <c r="H152" s="109"/>
      <c r="I152" s="109"/>
      <c r="J152" s="107"/>
      <c r="K152" s="107"/>
      <c r="L152" s="107"/>
      <c r="M152" s="107"/>
      <c r="N152" s="107"/>
      <c r="O152" s="107"/>
      <c r="P152" s="107"/>
      <c r="Q152" s="107"/>
      <c r="R152" s="107"/>
      <c r="S152" s="107"/>
      <c r="T152" s="110">
        <f t="shared" ref="T152:AY152" si="57">SUBTOTAL(9,T2:T151)</f>
        <v>46382982.072500005</v>
      </c>
      <c r="U152" s="110">
        <f t="shared" si="57"/>
        <v>40168697.557166502</v>
      </c>
      <c r="V152" s="110">
        <f t="shared" si="57"/>
        <v>40788397.956149995</v>
      </c>
      <c r="W152" s="110" t="e">
        <f t="shared" si="57"/>
        <v>#REF!</v>
      </c>
      <c r="X152" s="110" t="e">
        <f t="shared" si="57"/>
        <v>#REF!</v>
      </c>
      <c r="Y152" s="110" t="e">
        <f t="shared" si="57"/>
        <v>#REF!</v>
      </c>
      <c r="Z152" s="110" t="e">
        <f t="shared" si="57"/>
        <v>#REF!</v>
      </c>
      <c r="AA152" s="110">
        <f t="shared" si="57"/>
        <v>0</v>
      </c>
      <c r="AB152" s="110">
        <f t="shared" si="57"/>
        <v>3093290.4024999994</v>
      </c>
      <c r="AC152" s="110">
        <f t="shared" si="57"/>
        <v>3064082.0425</v>
      </c>
      <c r="AD152" s="110">
        <f t="shared" si="57"/>
        <v>3202306.3920833333</v>
      </c>
      <c r="AE152" s="110">
        <f t="shared" si="57"/>
        <v>3749212.6802499997</v>
      </c>
      <c r="AF152" s="110">
        <f t="shared" si="57"/>
        <v>3242027.7902500001</v>
      </c>
      <c r="AG152" s="110">
        <f t="shared" si="57"/>
        <v>3109340.7035833332</v>
      </c>
      <c r="AH152" s="110">
        <f t="shared" si="57"/>
        <v>3420719.7719166665</v>
      </c>
      <c r="AI152" s="110">
        <f t="shared" si="57"/>
        <v>3911792.58525</v>
      </c>
      <c r="AJ152" s="110">
        <f t="shared" si="57"/>
        <v>2942931.3225833331</v>
      </c>
      <c r="AK152" s="110">
        <f t="shared" si="57"/>
        <v>3479093.753583333</v>
      </c>
      <c r="AL152" s="110">
        <f t="shared" si="57"/>
        <v>3010518.3260833337</v>
      </c>
      <c r="AM152" s="110">
        <f t="shared" si="57"/>
        <v>5134087.2402500007</v>
      </c>
      <c r="AN152" s="110">
        <f t="shared" si="57"/>
        <v>41359403.010833316</v>
      </c>
      <c r="AO152" s="110">
        <f t="shared" si="57"/>
        <v>25008483.703250002</v>
      </c>
      <c r="AP152" s="110">
        <f t="shared" si="57"/>
        <v>3152345.7691666665</v>
      </c>
      <c r="AQ152" s="110">
        <f t="shared" si="57"/>
        <v>2996640.1791666681</v>
      </c>
      <c r="AR152" s="110">
        <f t="shared" si="57"/>
        <v>3232989.6266666674</v>
      </c>
      <c r="AS152" s="110">
        <f t="shared" si="57"/>
        <v>3445196.122533333</v>
      </c>
      <c r="AT152" s="110">
        <f t="shared" si="57"/>
        <v>3074198.2725333329</v>
      </c>
      <c r="AU152" s="110">
        <f t="shared" si="57"/>
        <v>1405390.8466666664</v>
      </c>
      <c r="AV152" s="110">
        <f t="shared" si="57"/>
        <v>684958.32666666666</v>
      </c>
      <c r="AW152" s="110">
        <f t="shared" si="57"/>
        <v>670597.2466666667</v>
      </c>
      <c r="AX152" s="110">
        <f t="shared" si="57"/>
        <v>658956.91333333333</v>
      </c>
      <c r="AY152" s="110">
        <f t="shared" si="57"/>
        <v>631888.16333333333</v>
      </c>
      <c r="AZ152" s="110">
        <f t="shared" ref="AZ152:BQ152" si="58">SUBTOTAL(9,AZ2:AZ151)</f>
        <v>550524.67333333334</v>
      </c>
      <c r="BA152" s="110">
        <f t="shared" si="58"/>
        <v>508553.67750000005</v>
      </c>
      <c r="BB152" s="110">
        <f t="shared" si="58"/>
        <v>21012239.817566667</v>
      </c>
      <c r="BC152" s="110">
        <f t="shared" si="58"/>
        <v>59055.366666666683</v>
      </c>
      <c r="BD152" s="110">
        <f t="shared" si="58"/>
        <v>-67441.863333333269</v>
      </c>
      <c r="BE152" s="110">
        <f t="shared" si="58"/>
        <v>30683.234583333346</v>
      </c>
      <c r="BF152" s="110">
        <f t="shared" si="58"/>
        <v>-304016.55771666672</v>
      </c>
      <c r="BG152" s="110">
        <f t="shared" si="58"/>
        <v>-167829.51771666668</v>
      </c>
      <c r="BH152" s="110">
        <f t="shared" si="58"/>
        <v>-1703949.8569166665</v>
      </c>
      <c r="BI152" s="110">
        <f t="shared" si="58"/>
        <v>-2735761.4452500003</v>
      </c>
      <c r="BJ152" s="110">
        <f t="shared" si="58"/>
        <v>-3241195.3385833334</v>
      </c>
      <c r="BK152" s="110">
        <f t="shared" si="58"/>
        <v>-2283974.40925</v>
      </c>
      <c r="BL152" s="110">
        <f t="shared" si="58"/>
        <v>-2847205.5902500004</v>
      </c>
      <c r="BM152" s="110">
        <f t="shared" si="58"/>
        <v>-2459993.6527500004</v>
      </c>
      <c r="BN152" s="110">
        <f t="shared" si="58"/>
        <v>-4625533.5627500005</v>
      </c>
      <c r="BO152" s="110">
        <f t="shared" si="58"/>
        <v>-20347163.193266667</v>
      </c>
      <c r="BP152" s="110">
        <f t="shared" si="58"/>
        <v>0</v>
      </c>
      <c r="BQ152" s="110">
        <f t="shared" si="58"/>
        <v>15901369.970066672</v>
      </c>
    </row>
    <row r="154" spans="1:76" x14ac:dyDescent="0.3">
      <c r="T154" s="6"/>
      <c r="U154" s="135"/>
      <c r="V154" s="139"/>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AL2" activePane="bottomRight" state="frozen"/>
      <selection pane="topRight" activeCell="C1" sqref="C1"/>
      <selection pane="bottomLeft" activeCell="A2" sqref="A2"/>
      <selection pane="bottomRight" activeCell="BC3" sqref="BC3"/>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474</v>
      </c>
      <c r="AA1" s="119" t="s">
        <v>446</v>
      </c>
      <c r="AB1" s="116" t="s">
        <v>447</v>
      </c>
      <c r="AC1" s="116" t="s">
        <v>448</v>
      </c>
      <c r="AD1" s="116" t="s">
        <v>449</v>
      </c>
      <c r="AE1" s="116" t="s">
        <v>462</v>
      </c>
      <c r="AF1" s="115" t="s">
        <v>463</v>
      </c>
      <c r="AG1" s="115" t="s">
        <v>464</v>
      </c>
      <c r="AH1" s="115" t="s">
        <v>465</v>
      </c>
      <c r="AI1" s="115" t="s">
        <v>466</v>
      </c>
      <c r="AJ1" s="115" t="s">
        <v>467</v>
      </c>
      <c r="AK1" s="115" t="s">
        <v>468</v>
      </c>
      <c r="AL1" s="115" t="s">
        <v>469</v>
      </c>
      <c r="AM1" s="115" t="s">
        <v>470</v>
      </c>
      <c r="AN1" s="115" t="s">
        <v>472</v>
      </c>
      <c r="AO1" s="120" t="s">
        <v>567</v>
      </c>
      <c r="AP1" s="121" t="s">
        <v>450</v>
      </c>
      <c r="AQ1" s="121" t="s">
        <v>451</v>
      </c>
      <c r="AR1" s="121" t="s">
        <v>452</v>
      </c>
      <c r="AS1" s="121" t="s">
        <v>453</v>
      </c>
      <c r="AT1" s="122" t="s">
        <v>454</v>
      </c>
      <c r="AU1" s="122" t="s">
        <v>455</v>
      </c>
      <c r="AV1" s="122" t="s">
        <v>456</v>
      </c>
      <c r="AW1" s="122" t="s">
        <v>457</v>
      </c>
      <c r="AX1" s="122" t="s">
        <v>458</v>
      </c>
      <c r="AY1" s="122" t="s">
        <v>459</v>
      </c>
      <c r="AZ1" s="122" t="s">
        <v>460</v>
      </c>
      <c r="BA1" s="122" t="s">
        <v>461</v>
      </c>
      <c r="BB1" s="123" t="s">
        <v>473</v>
      </c>
      <c r="BC1" s="124" t="s">
        <v>471</v>
      </c>
    </row>
    <row r="2" spans="1:55" x14ac:dyDescent="0.3">
      <c r="A2" s="125" t="s">
        <v>585</v>
      </c>
      <c r="B2" s="125" t="s">
        <v>586</v>
      </c>
      <c r="C2" s="125"/>
      <c r="D2" s="10" t="s">
        <v>598</v>
      </c>
      <c r="E2" s="7" t="s">
        <v>599</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597</v>
      </c>
      <c r="C3" s="125"/>
      <c r="D3" s="10" t="s">
        <v>598</v>
      </c>
      <c r="E3" s="7" t="s">
        <v>599</v>
      </c>
      <c r="F3" s="126" t="s">
        <v>114</v>
      </c>
      <c r="G3" s="126" t="s">
        <v>53</v>
      </c>
      <c r="H3" s="127">
        <v>46111</v>
      </c>
      <c r="I3" s="127">
        <v>46252</v>
      </c>
      <c r="J3" s="125"/>
      <c r="K3" s="126"/>
      <c r="L3" s="125" t="s">
        <v>106</v>
      </c>
      <c r="M3" s="125" t="s">
        <v>7</v>
      </c>
      <c r="N3" s="125" t="s">
        <v>186</v>
      </c>
      <c r="O3" s="125" t="s">
        <v>604</v>
      </c>
      <c r="P3" s="125" t="s">
        <v>107</v>
      </c>
      <c r="Q3" s="125" t="s">
        <v>108</v>
      </c>
      <c r="R3" s="125" t="s">
        <v>108</v>
      </c>
      <c r="S3" s="125" t="s">
        <v>604</v>
      </c>
      <c r="T3" s="132">
        <v>0</v>
      </c>
      <c r="U3" s="132">
        <v>0</v>
      </c>
      <c r="V3" s="129">
        <v>1096541</v>
      </c>
      <c r="W3" s="129">
        <f t="shared" ref="W3:W6" si="3">AO3+IF(ISBLANK(AP3),AB3,AP3)+IF(ISBLANK(AQ3),AC3,AQ3)+IF(ISBLANK(AR3),AD3,AR3)+IF(ISBLANK(AS3),AE3,AS3)</f>
        <v>1108803</v>
      </c>
      <c r="X3" s="129">
        <f t="shared" ref="X3:X6" si="4">IF(V3 &gt;= W3, V3 - W3, 0)*-1</f>
        <v>0</v>
      </c>
      <c r="Y3" s="129">
        <f t="shared" ref="Y3:Y6" si="5">IF(W3 &gt; V3, W3 - V3, 0)</f>
        <v>12262</v>
      </c>
      <c r="Z3" s="129">
        <f t="shared" ref="Z3:Z6" si="6">SUM(X3:Y3)</f>
        <v>12262</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v>15750</v>
      </c>
      <c r="AS3" s="60">
        <v>194992</v>
      </c>
      <c r="AT3" s="60">
        <f>193728.63+9610.73</f>
        <v>203339.36000000002</v>
      </c>
      <c r="AU3" s="60"/>
      <c r="AV3" s="60"/>
      <c r="AW3" s="60"/>
      <c r="AX3" s="60"/>
      <c r="AY3" s="60"/>
      <c r="AZ3" s="60"/>
      <c r="BA3" s="60"/>
      <c r="BB3" s="130">
        <f t="shared" ref="BB3:BB8" si="9">SUM(AP3:BA3)</f>
        <v>414081.36</v>
      </c>
      <c r="BC3" s="131" t="s">
        <v>760</v>
      </c>
    </row>
    <row r="4" spans="1:55" x14ac:dyDescent="0.3">
      <c r="A4" s="125" t="s">
        <v>101</v>
      </c>
      <c r="B4" s="125" t="s">
        <v>588</v>
      </c>
      <c r="C4" s="125"/>
      <c r="D4" s="10" t="s">
        <v>598</v>
      </c>
      <c r="E4" s="7" t="s">
        <v>599</v>
      </c>
      <c r="F4" s="126" t="s">
        <v>114</v>
      </c>
      <c r="G4" s="126" t="s">
        <v>53</v>
      </c>
      <c r="H4" s="127">
        <v>46083</v>
      </c>
      <c r="I4" s="127">
        <v>46129</v>
      </c>
      <c r="J4" s="125"/>
      <c r="K4" s="126"/>
      <c r="L4" s="125" t="s">
        <v>106</v>
      </c>
      <c r="M4" s="125" t="s">
        <v>7</v>
      </c>
      <c r="N4" s="125" t="s">
        <v>607</v>
      </c>
      <c r="O4" s="125" t="s">
        <v>608</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609</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589</v>
      </c>
      <c r="C5" s="125" t="s">
        <v>600</v>
      </c>
      <c r="D5" s="10" t="s">
        <v>598</v>
      </c>
      <c r="E5" s="7" t="s">
        <v>599</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606</v>
      </c>
      <c r="T5" s="132">
        <v>0</v>
      </c>
      <c r="U5" s="132">
        <v>0</v>
      </c>
      <c r="V5" s="129">
        <f>183812</f>
        <v>183812</v>
      </c>
      <c r="W5" s="129">
        <f t="shared" si="3"/>
        <v>183812</v>
      </c>
      <c r="X5" s="129">
        <f t="shared" si="4"/>
        <v>0</v>
      </c>
      <c r="Y5" s="129">
        <f t="shared" si="5"/>
        <v>0</v>
      </c>
      <c r="Z5" s="129">
        <f t="shared" si="6"/>
        <v>0</v>
      </c>
      <c r="AA5" s="126" t="s">
        <v>605</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615</v>
      </c>
    </row>
    <row r="6" spans="1:55" x14ac:dyDescent="0.3">
      <c r="A6" s="125" t="s">
        <v>101</v>
      </c>
      <c r="B6" s="125" t="s">
        <v>590</v>
      </c>
      <c r="C6" s="125"/>
      <c r="D6" s="10" t="s">
        <v>598</v>
      </c>
      <c r="E6" s="7" t="s">
        <v>599</v>
      </c>
      <c r="F6" s="126" t="s">
        <v>114</v>
      </c>
      <c r="G6" s="126" t="s">
        <v>53</v>
      </c>
      <c r="H6" s="127">
        <v>46174</v>
      </c>
      <c r="I6" s="127">
        <v>47269</v>
      </c>
      <c r="J6" s="125"/>
      <c r="K6" s="126"/>
      <c r="L6" s="125" t="s">
        <v>106</v>
      </c>
      <c r="M6" s="125" t="s">
        <v>7</v>
      </c>
      <c r="N6" s="125" t="s">
        <v>165</v>
      </c>
      <c r="O6" s="125" t="s">
        <v>612</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613</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614</v>
      </c>
    </row>
    <row r="7" spans="1:55" x14ac:dyDescent="0.3">
      <c r="A7" s="125" t="s">
        <v>101</v>
      </c>
      <c r="B7" s="125" t="s">
        <v>587</v>
      </c>
      <c r="C7" s="125"/>
      <c r="D7" s="10" t="s">
        <v>598</v>
      </c>
      <c r="E7" s="7" t="s">
        <v>599</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602</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601</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610</v>
      </c>
      <c r="C8" s="125" t="s">
        <v>611</v>
      </c>
      <c r="D8" s="10" t="s">
        <v>598</v>
      </c>
      <c r="E8" s="7" t="s">
        <v>599</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634</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603</v>
      </c>
      <c r="V10" s="134">
        <f>SUM(V2:V8)</f>
        <v>-395388.94</v>
      </c>
      <c r="W10" s="134">
        <f t="shared" ref="W10:BB10" si="16">SUM(W2:W8)</f>
        <v>-467526.94000000024</v>
      </c>
      <c r="X10" s="134">
        <f t="shared" si="16"/>
        <v>-84400.000000000233</v>
      </c>
      <c r="Y10" s="134">
        <f t="shared" si="16"/>
        <v>12262</v>
      </c>
      <c r="Z10" s="134">
        <f t="shared" si="16"/>
        <v>-72138.000000000233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22245</v>
      </c>
      <c r="AS10" s="134">
        <f t="shared" si="16"/>
        <v>194992</v>
      </c>
      <c r="AT10" s="134">
        <f t="shared" si="16"/>
        <v>208552.91</v>
      </c>
      <c r="AU10" s="134">
        <f t="shared" si="16"/>
        <v>1150</v>
      </c>
      <c r="AV10" s="134">
        <f t="shared" si="16"/>
        <v>0</v>
      </c>
      <c r="AW10" s="134">
        <f t="shared" si="16"/>
        <v>0</v>
      </c>
      <c r="AX10" s="134">
        <f t="shared" si="16"/>
        <v>183812</v>
      </c>
      <c r="AY10" s="134">
        <f t="shared" si="16"/>
        <v>0</v>
      </c>
      <c r="AZ10" s="134">
        <f t="shared" si="16"/>
        <v>0</v>
      </c>
      <c r="BA10" s="134">
        <f t="shared" si="16"/>
        <v>0</v>
      </c>
      <c r="BB10" s="13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48"/>
  <sheetViews>
    <sheetView workbookViewId="0">
      <pane xSplit="1" ySplit="2" topLeftCell="B3" activePane="bottomRight" state="frozen"/>
      <selection pane="topRight" activeCell="B1" sqref="B1"/>
      <selection pane="bottomLeft" activeCell="A3" sqref="A3"/>
      <selection pane="bottomRight" activeCell="D20" sqref="D20"/>
    </sheetView>
  </sheetViews>
  <sheetFormatPr defaultRowHeight="14.4" x14ac:dyDescent="0.3"/>
  <cols>
    <col min="1" max="1" width="28.21875" bestFit="1" customWidth="1"/>
    <col min="2" max="2" width="15.44140625" bestFit="1" customWidth="1"/>
    <col min="3" max="3" width="21.88671875" bestFit="1" customWidth="1"/>
    <col min="4" max="4" width="28.21875" bestFit="1" customWidth="1"/>
    <col min="5" max="5" width="21.77734375" bestFit="1" customWidth="1"/>
    <col min="6" max="6" width="32.77734375" bestFit="1" customWidth="1"/>
    <col min="7"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6" x14ac:dyDescent="0.3">
      <c r="A1" s="8" t="s">
        <v>47</v>
      </c>
      <c r="B1" t="s">
        <v>46</v>
      </c>
    </row>
    <row r="3" spans="1:6" x14ac:dyDescent="0.3">
      <c r="C3" s="8" t="s">
        <v>487</v>
      </c>
    </row>
    <row r="4" spans="1:6" x14ac:dyDescent="0.3">
      <c r="A4" s="8" t="s">
        <v>55</v>
      </c>
      <c r="B4" s="8" t="s">
        <v>54</v>
      </c>
      <c r="C4" t="s">
        <v>0</v>
      </c>
      <c r="D4" t="s">
        <v>579</v>
      </c>
      <c r="E4" t="s">
        <v>480</v>
      </c>
    </row>
    <row r="5" spans="1:6" x14ac:dyDescent="0.3">
      <c r="A5" t="s">
        <v>73</v>
      </c>
      <c r="B5" t="s">
        <v>49</v>
      </c>
      <c r="C5" s="142">
        <v>414080</v>
      </c>
      <c r="D5" s="142">
        <v>356724</v>
      </c>
      <c r="E5" s="181">
        <v>-57356</v>
      </c>
      <c r="F5" s="142"/>
    </row>
    <row r="6" spans="1:6" x14ac:dyDescent="0.3">
      <c r="A6" t="s">
        <v>738</v>
      </c>
      <c r="B6" t="s">
        <v>49</v>
      </c>
      <c r="C6" s="142"/>
      <c r="D6" s="142">
        <v>80000</v>
      </c>
      <c r="E6" s="142">
        <v>80000</v>
      </c>
      <c r="F6" s="142" t="s">
        <v>752</v>
      </c>
    </row>
    <row r="7" spans="1:6" x14ac:dyDescent="0.3">
      <c r="A7" t="s">
        <v>8</v>
      </c>
      <c r="C7" s="142">
        <v>414080</v>
      </c>
      <c r="D7" s="142">
        <v>436724</v>
      </c>
      <c r="E7" s="142">
        <v>22644</v>
      </c>
      <c r="F7" s="142"/>
    </row>
    <row r="8" spans="1:6" x14ac:dyDescent="0.3">
      <c r="F8" s="142"/>
    </row>
    <row r="9" spans="1:6" x14ac:dyDescent="0.3">
      <c r="D9" t="s">
        <v>751</v>
      </c>
      <c r="E9" s="180">
        <f>7520*4</f>
        <v>30080</v>
      </c>
      <c r="F9" s="142"/>
    </row>
    <row r="10" spans="1:6" x14ac:dyDescent="0.3">
      <c r="D10" t="s">
        <v>753</v>
      </c>
      <c r="E10" s="180">
        <f>-6*160*47</f>
        <v>-45120</v>
      </c>
      <c r="F10" s="142"/>
    </row>
    <row r="11" spans="1:6" x14ac:dyDescent="0.3">
      <c r="D11" t="s">
        <v>754</v>
      </c>
      <c r="E11" s="180">
        <f>160*72*6</f>
        <v>69120</v>
      </c>
      <c r="F11" s="142"/>
    </row>
    <row r="12" spans="1:6" x14ac:dyDescent="0.3">
      <c r="F12" s="142"/>
    </row>
    <row r="13" spans="1:6" ht="14.4" customHeight="1" thickBot="1" x14ac:dyDescent="0.35">
      <c r="D13" s="182" t="s">
        <v>755</v>
      </c>
      <c r="E13" s="183">
        <f>SUM(E9:E11)+GETPIVOTDATA("Sum of 2026 Net Position",$A$3,"D365 Legal Vendor name","Andersen Tax Holdings","Domain Owner","Danny Borkowski")</f>
        <v>-3276</v>
      </c>
      <c r="F13" s="142"/>
    </row>
    <row r="14" spans="1:6" ht="15" thickTop="1" x14ac:dyDescent="0.3">
      <c r="F14" s="142"/>
    </row>
    <row r="15" spans="1:6" x14ac:dyDescent="0.3">
      <c r="F15" s="142"/>
    </row>
    <row r="16" spans="1:6" x14ac:dyDescent="0.3">
      <c r="D16" s="45"/>
      <c r="E16" s="45"/>
      <c r="F16" s="142"/>
    </row>
    <row r="17" spans="4:5" x14ac:dyDescent="0.3">
      <c r="D17" s="45"/>
      <c r="E17" s="45"/>
    </row>
    <row r="18" spans="4:5" x14ac:dyDescent="0.3">
      <c r="D18" s="45"/>
      <c r="E18" s="45"/>
    </row>
    <row r="19" spans="4:5" x14ac:dyDescent="0.3">
      <c r="D19" s="45"/>
      <c r="E19" s="45"/>
    </row>
    <row r="20" spans="4:5" x14ac:dyDescent="0.3">
      <c r="D20" s="45"/>
      <c r="E20" s="45"/>
    </row>
    <row r="21" spans="4:5" x14ac:dyDescent="0.3">
      <c r="D21" s="45"/>
      <c r="E21" s="45"/>
    </row>
    <row r="22" spans="4:5" x14ac:dyDescent="0.3">
      <c r="D22" s="45"/>
      <c r="E22" s="45"/>
    </row>
    <row r="23" spans="4:5" x14ac:dyDescent="0.3">
      <c r="D23" s="45"/>
      <c r="E23" s="45"/>
    </row>
    <row r="24" spans="4:5" x14ac:dyDescent="0.3">
      <c r="D24" s="45"/>
      <c r="E24" s="45"/>
    </row>
    <row r="25" spans="4:5" x14ac:dyDescent="0.3">
      <c r="D25" s="45"/>
      <c r="E25" s="45"/>
    </row>
    <row r="26" spans="4:5" x14ac:dyDescent="0.3">
      <c r="D26" s="45"/>
      <c r="E26" s="45"/>
    </row>
    <row r="27" spans="4:5" x14ac:dyDescent="0.3">
      <c r="E27" s="45"/>
    </row>
    <row r="40" spans="14:14" x14ac:dyDescent="0.3">
      <c r="N40" s="97"/>
    </row>
    <row r="41" spans="14:14" x14ac:dyDescent="0.3">
      <c r="N41" s="97"/>
    </row>
    <row r="42" spans="14:14" x14ac:dyDescent="0.3">
      <c r="N42" s="97"/>
    </row>
    <row r="43" spans="14:14" x14ac:dyDescent="0.3">
      <c r="N43" s="97"/>
    </row>
    <row r="44" spans="14:14" x14ac:dyDescent="0.3">
      <c r="N44" s="97"/>
    </row>
    <row r="45" spans="14:14" x14ac:dyDescent="0.3">
      <c r="N45" s="97"/>
    </row>
    <row r="46" spans="14:14" x14ac:dyDescent="0.3">
      <c r="N46" s="97"/>
    </row>
    <row r="47" spans="14:14" x14ac:dyDescent="0.3">
      <c r="N47" s="97"/>
    </row>
    <row r="48" spans="14: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ANTARESITDMO-1057074058-8593</_dlc_DocId>
    <_dlc_DocIdUrl xmlns="26d0a970-2ab3-49ef-b4d7-820ab6496716">
      <Url>https://antarescap.sharepoint.com/sites/AntaresITDemo/IT Internal/TechPMO/_layouts/15/DocIdRedir.aspx?ID=ANTARESITDMO-1057074058-8593</Url>
      <Description>ANTARESITDMO-1057074058-8593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32E2E58D-7571-4D1E-B0F3-701D55D92D79}">
  <ds:schemaRefs>
    <ds:schemaRef ds:uri="http://www.w3.org/XML/1998/namespace"/>
    <ds:schemaRef ds:uri="26d0a970-2ab3-49ef-b4d7-820ab6496716"/>
    <ds:schemaRef ds:uri="c391786d-2ce2-4ee1-838b-63fe54a71a4e"/>
    <ds:schemaRef ds:uri="http://purl.org/dc/elements/1.1/"/>
    <ds:schemaRef ds:uri="http://schemas.microsoft.com/office/infopath/2007/PartnerControls"/>
    <ds:schemaRef ds:uri="http://schemas.microsoft.com/office/2006/documentManagement/types"/>
    <ds:schemaRef ds:uri="http://purl.org/dc/dcmitype/"/>
    <ds:schemaRef ds:uri="http://schemas.openxmlformats.org/package/2006/metadata/core-properties"/>
    <ds:schemaRef ds:uri="http://schemas.microsoft.com/office/2006/metadata/properties"/>
    <ds:schemaRef ds:uri="http://purl.org/dc/terms/"/>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97F2BD98-16E9-44DC-A814-3235BD57F27A}">
  <ds:schemaRefs>
    <ds:schemaRef ds:uri="http://schemas.microsoft.com/sharepoint/v3/contenttype/form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2026-07-07T12:49:22Z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74ee96fc-93c5-427f-920d-1275dae05d53</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