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D09FEC1A-B054-46D5-85D3-B146596DDE93}"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62" r:id="rId89"/>
    <pivotCache cacheId="63" r:id="rId90"/>
    <pivotCache cacheId="168" r:id="rId9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84" l="1"/>
  <c r="J7" i="84"/>
  <c r="W153" i="88"/>
  <c r="K2" i="84"/>
  <c r="K3" i="84"/>
  <c r="K4" i="84"/>
  <c r="K5" i="84"/>
  <c r="K6" i="84"/>
  <c r="K7" i="84"/>
  <c r="K1" i="84"/>
  <c r="K149" i="88" l="1"/>
  <c r="AN149" i="88"/>
  <c r="AO149" i="88"/>
  <c r="W149" i="88" s="1"/>
  <c r="BB149" i="88"/>
  <c r="BC149" i="88"/>
  <c r="BD149" i="88"/>
  <c r="BE149" i="88"/>
  <c r="BF149" i="88"/>
  <c r="BG149" i="88"/>
  <c r="BH149" i="88"/>
  <c r="BI149" i="88"/>
  <c r="BJ149" i="88"/>
  <c r="BK149" i="88"/>
  <c r="BL149" i="88"/>
  <c r="BM149" i="88"/>
  <c r="BN149" i="88"/>
  <c r="BQ149" i="88"/>
  <c r="BT149" i="88"/>
  <c r="V121" i="88"/>
  <c r="V130" i="88"/>
  <c r="V124" i="88"/>
  <c r="V21"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BO122" i="88" s="1"/>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BD42" i="88"/>
  <c r="W60" i="88"/>
  <c r="BQ82" i="88"/>
  <c r="BE92" i="88"/>
  <c r="BO92" i="88" s="1"/>
  <c r="BH94" i="88"/>
  <c r="BD122" i="88"/>
  <c r="BT122" i="88"/>
  <c r="AO3" i="88"/>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W3" i="88"/>
  <c r="Y21" i="88"/>
  <c r="X21" i="88"/>
  <c r="BR21" i="88"/>
  <c r="BS21" i="88" s="1"/>
  <c r="BU21" i="88" s="1"/>
  <c r="W5" i="88"/>
  <c r="X20" i="88"/>
  <c r="BR20" i="88"/>
  <c r="BS20" i="88" s="1"/>
  <c r="BU20" i="88" s="1"/>
  <c r="Y20" i="88"/>
  <c r="W9" i="88"/>
  <c r="BC12" i="88"/>
  <c r="BT12" i="88"/>
  <c r="W37" i="88"/>
  <c r="BR41" i="88"/>
  <c r="BS41" i="88" s="1"/>
  <c r="BU41" i="88" s="1"/>
  <c r="Y41" i="88"/>
  <c r="X41" i="88"/>
  <c r="W42"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H38" i="88" l="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BH152"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X153" i="88" s="1"/>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<sst xmlns="http://schemas.openxmlformats.org/spreadsheetml/2006/main" count="3436" uniqueCount="752">
  <si>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</si>
  <si>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</si>
  <si>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</si>
  <si>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</si>
  <si>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</si>
  <si>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</si>
  <si>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</si>
  <si>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</si>
  <si>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</si>
  <si>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</si>
  <si>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</si>
  <si>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</si>
  <si>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</si>
  <si>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</si>
  <si>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</si>
  <si>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</si>
  <si>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</si>
  <si>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</si>
  <si>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</si>
  <si>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</si>
  <si>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</si>
  <si>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</si>
  <si>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</si>
  <si>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</si>
  <si>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</si>
  <si>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</si>
  <si>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</si>
  <si>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</si>
  <si>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</si>
  <si>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</si>
  <si>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</si>
  <si>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</si>
  <si>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</si>
  <si>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</si>
  <si>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</si>
  <si>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</si>
  <si>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</si>
  <si>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</si>
  <si>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</si>
  <si>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</si>
  <si>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</si>
  <si>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</si>
  <si>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</si>
  <si>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</si>
  <si>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</si>
  <si>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</si>
  <si>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</si>
  <si>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</si>
  <si>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</si>
  <si>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</si>
  <si>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</si>
  <si>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</si>
  <si>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</si>
  <si>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</si>
  <si>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</si>
  <si>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</si>
  <si>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</si>
  <si>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</si>
  <si>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</si>
  <si>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</si>
  <si>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</si>
  <si>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</si>
  <si>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</si>
  <si>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</si>
  <si>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</si>
  <si>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</si>
  <si>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</si>
  <si>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</si>
  <si>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</si>
  <si>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</si>
  <si>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</si>
  <si>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</si>
  <si>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</si>
  <si>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</si>
  <si>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</si>
  <si>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</si>
  <si>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</si>
  <si>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</si>
  <si>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</si>
  <si>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</si>
  <si>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</si>
  <si>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</si>
  <si>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</si>
  <si>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</si>
  <si>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</si>
  <si>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</si>
  <si>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</si>
  <si>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</si>
  <si>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</si>
  <si>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</si>
  <si>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</si>
  <si>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</si>
  <si>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</si>
  <si>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</si>
  <si>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</si>
  <si>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</si>
  <si>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</si>
  <si>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</si>
  <si>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</si>
  <si>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</si>
  <si>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</si>
  <si>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</si>
  <si>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</si>
  <si>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</si>
  <si>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</si>
  <si>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</si>
  <si>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</si>
  <si>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</si>
  <si>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</si>
  <si>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</si>
  <si>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</si>
  <si>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</si>
  <si>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</si>
  <si>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</si>
  <si>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</si>
  <si>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</si>
  <si>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</si>
  <si>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</si>
  <si>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</si>
  <si>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</si>
  <si>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</si>
  <si>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</si>
  <si>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</si>
  <si>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</si>
  <si>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</si>
  <si>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</si>
  <si>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</si>
  <si>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</si>
  <si>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</si>
  <si>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</si>
  <si>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</si>
  <si>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</si>
  <si>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</si>
  <si>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</si>
  <si>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</si>
  <si>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</si>
  <si>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</si>
  <si>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</si>
  <si>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</si>
  <si>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</si>
  <si>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</si>
  <si>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</si>
  <si>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</si>
  <si>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</si>
  <si>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</si>
  <si>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</si>
  <si>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</si>
  <si>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</si>
  <si>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</si>
  <si>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</si>
  <si>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</si>
  <si>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</si>
  <si>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</si>
  <si>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</si>
  <si>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</si>
  <si>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</si>
  <si>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</si>
  <si>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</si>
  <si>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</si>
  <si>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</si>
  <si>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</si>
  <si>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</si>
  <si>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</si>
  <si>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</si>
  <si>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</si>
  <si>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</si>
  <si>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</si>
  <si>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</si>
  <si>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</si>
  <si>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</si>
  <si>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</si>
  <si>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</si>
  <si>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</si>
  <si>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</si>
  <si>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</si>
  <si>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</si>
  <si>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</si>
  <si>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</si>
  <si>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</si>
  <si>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</si>
  <si>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</si>
  <si>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</si>
  <si>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</si>
  <si>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</si>
  <si>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</si>
  <si>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</si>
  <si>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</si>
  <si>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</si>
  <si>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</si>
  <si>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</si>
  <si>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</si>
  <si>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</si>
  <si>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</si>
  <si>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</si>
  <si>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</si>
  <si>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</si>
  <si>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</si>
  <si>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</si>
  <si>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</si>
  <si>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</si>
  <si>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</si>
  <si>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</si>
  <si>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</si>
  <si>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</si>
  <si>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</si>
  <si>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</si>
  <si>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</si>
  <si>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</si>
  <si>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</si>
  <si>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</si>
  <si>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</si>
  <si>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</si>
  <si>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</si>
  <si>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</si>
  <si>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</si>
  <si>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</si>
  <si>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</si>
  <si>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</si>
  <si>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</si>
  <si>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</si>
  <si>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</si>
  <si>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</si>
  <si>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</si>
  <si>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</si>
  <si>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</si>
  <si>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</si>
  <si>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</si>
  <si>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</si>
  <si>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</si>
  <si>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</si>
  <si>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</si>
  <si>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</si>
  <si>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</si>
  <si>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</si>
  <si>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</si>
  <si>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</si>
  <si>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</si>
  <si>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</si>
  <si>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</si>
  <si>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</si>
  <si>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</si>
  <si>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</si>
  <si>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</si>
  <si>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</si>
  <si>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</si>
  <si>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</si>
  <si>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</si>
  <si>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</si>
  <si>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</si>
  <si>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</si>
  <si>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</si>
  <si>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</si>
  <si>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</si>
  <si>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</si>
  <si>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</si>
  <si>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</si>
  <si>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</si>
  <si>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</si>
  <si>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</si>
  <si>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</si>
  <si>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</si>
  <si>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</si>
  <si>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</si>
  <si>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</si>
  <si>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</si>
  <si>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</si>
  <si>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</si>
  <si>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</si>
  <si>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</si>
  <si>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</si>
  <si>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</si>
  <si>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</si>
  <si>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</si>
  <si>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</si>
  <si>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</si>
  <si>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</si>
  <si>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</si>
  <si>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</si>
  <si>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</si>
  <si>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</si>
  <si>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</si>
  <si>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</si>
  <si>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</si>
  <si>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</si>
  <si>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</si>
  <si>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</si>
  <si>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</si>
  <si>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</si>
  <si>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</si>
  <si>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</si>
  <si>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</si>
  <si>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</si>
  <si>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</si>
  <si>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</si>
  <si>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</si>
  <si>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</si>
  <si>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</si>
  <si>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</si>
  <si>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</si>
  <si>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</si>
  <si>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</si>
  <si>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</si>
  <si>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</si>
  <si>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</si>
  <si>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</si>
  <si>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</si>
  <si>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</si>
  <si>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</si>
  <si>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</si>
  <si>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</si>
  <si>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</si>
  <si>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</si>
  <si>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</si>
  <si>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</si>
  <si>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</si>
  <si>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</si>
  <si>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</si>
  <si>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</si>
  <si>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</si>
  <si>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</si>
  <si>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</si>
  <si>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</si>
  <si>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</si>
  <si>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</si>
  <si>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</si>
  <si>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</si>
  <si>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</si>
  <si>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</si>
  <si>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</si>
  <si>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</si>
  <si>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</si>
  <si>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</si>
  <si>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</si>
  <si>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</si>
  <si>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</si>
  <si>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</si>
  <si>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</si>
  <si>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</si>
  <si>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</si>
  <si>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</si>
  <si>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</si>
  <si>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</si>
  <si>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</si>
  <si>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</si>
  <si>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</si>
  <si>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</si>
  <si>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</si>
  <si>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</si>
  <si>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</si>
  <si>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</si>
  <si>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</si>
  <si>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</si>
  <si>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</si>
  <si>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</si>
  <si>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</si>
  <si>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</si>
  <si>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</si>
  <si>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</si>
  <si>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</si>
  <si>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</si>
  <si>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</si>
  <si>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</si>
  <si>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</si>
  <si>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</si>
  <si>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</si>
  <si>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</si>
  <si>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</si>
  <si>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</si>
  <si>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</si>
  <si>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</si>
  <si>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</si>
  <si>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</si>
  <si>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</si>
  <si>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</si>
  <si>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</si>
  <si>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</si>
  <si>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</si>
  <si>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</si>
  <si>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</si>
  <si>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</si>
  <si>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</si>
  <si>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</si>
  <si>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</si>
  <si>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</si>
  <si>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</si>
  <si>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</si>
  <si>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</si>
  <si>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</si>
  <si>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</si>
  <si>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</si>
  <si>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</si>
  <si>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</si>
  <si>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</si>
  <si>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</si>
  <si>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</si>
  <si>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</si>
  <si>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</si>
  <si>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</si>
  <si>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</si>
  <si>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</si>
  <si>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</si>
  <si>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</si>
  <si>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</si>
  <si>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</si>
  <si>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</si>
  <si>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</si>
  <si>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</si>
  <si>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</si>
  <si>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</si>
  <si>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</si>
  <si>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</si>
  <si>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</si>
  <si>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</si>
  <si>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</si>
  <si>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</si>
  <si>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</si>
  <si>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</si>
  <si>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</si>
  <si>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</si>
  <si>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</si>
  <si>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</si>
  <si>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</si>
  <si>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</si>
  <si>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</si>
  <si>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</si>
  <si>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</si>
  <si>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</si>
  <si>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</si>
  <si>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</si>
  <si>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</si>
  <si>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</si>
  <si>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</si>
  <si>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</si>
  <si>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</si>
  <si>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</si>
  <si>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</si>
  <si>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</si>
  <si>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</si>
  <si>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</si>
  <si>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</si>
  <si>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</si>
  <si>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</si>
  <si>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</si>
  <si>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</si>
  <si>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</si>
  <si>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</si>
  <si>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</si>
  <si>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</si>
  <si>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</si>
  <si>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</si>
  <si>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</si>
  <si>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</si>
  <si>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</si>
  <si>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</si>
  <si>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</si>
  <si>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</si>
  <si>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</si>
  <si>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</si>
  <si>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</si>
  <si>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</si>
  <si>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</si>
  <si>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</si>
  <si>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</si>
  <si>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</si>
  <si>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</si>
  <si>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</si>
  <si>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</si>
  <si>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</si>
  <si>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</si>
  <si>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</si>
  <si>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</si>
  <si>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</si>
  <si>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</si>
  <si>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</si>
  <si>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</si>
  <si>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</si>
  <si>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</si>
  <si>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</si>
  <si>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</si>
  <si>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</si>
  <si>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</si>
  <si>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</si>
  <si>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</si>
  <si>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</si>
  <si>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</si>
  <si>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</si>
  <si>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</si>
  <si>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</si>
  <si>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</si>
  <si>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</si>
  <si>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</si>
  <si>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</si>
  <si>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</si>
  <si>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</si>
  <si>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</si>
  <si>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</si>
  <si>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</si>
  <si>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</si>
  <si>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</si>
  <si>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</si>
  <si>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</si>
  <si>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</si>
  <si>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</si>
  <si>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</si>
  <si>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</si>
  <si>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</si>
  <si>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</si>
  <si>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</si>
  <si>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</si>
  <si>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</si>
  <si>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</si>
  <si>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</si>
  <si>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</si>
  <si>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</si>
  <si>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</si>
  <si>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</si>
  <si>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</si>
  <si>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</si>
  <si>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</si>
  <si>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</si>
  <si>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</si>
  <si>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</si>
  <si>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</si>
  <si>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</si>
  <si>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</si>
  <si>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</si>
  <si>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</si>
  <si>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</si>
  <si>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</si>
  <si>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</si>
  <si>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</si>
  <si>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</si>
  <si>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</si>
  <si>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</si>
  <si>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</si>
  <si>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</si>
  <si>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</si>
  <si>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</si>
  <si>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</si>
  <si>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</si>
  <si>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</si>
  <si>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</si>
  <si>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</si>
  <si>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</si>
  <si>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</si>
  <si>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</si>
  <si>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</si>
  <si>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</si>
  <si>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</si>
  <si>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</si>
  <si>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</si>
  <si>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</si>
  <si>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</si>
  <si>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</si>
  <si>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</si>
  <si>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</si>
  <si>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</si>
  <si>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</si>
  <si>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</si>
  <si>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</si>
  <si>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</si>
  <si>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</si>
  <si>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</si>
  <si>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</si>
  <si>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</si>
  <si>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</si>
  <si>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</si>
  <si>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</si>
  <si>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</si>
  <si>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</si>
  <si>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</si>
  <si>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</si>
  <si>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</si>
  <si>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</si>
  <si>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</si>
  <si>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</si>
  <si>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</si>
  <si>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</si>
  <si>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</si>
  <si>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</si>
  <si>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</si>
  <si>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</si>
  <si>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</si>
  <si>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</si>
  <si>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</si>
  <si>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</si>
  <si>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</si>
  <si>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</si>
  <si>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</si>
  <si>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</si>
  <si>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</si>
  <si>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</si>
  <si>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</si>
  <si>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</si>
  <si>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</si>
  <si>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</si>
  <si>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</si>
  <si>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</si>
  <si>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</si>
  <si>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</si>
  <si>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</si>
  <si>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</si>
  <si>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</si>
  <si>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</si>
  <si>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</si>
  <si>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</si>
  <si>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</si>
  <si>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</si>
  <si>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</si>
  <si>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</si>
  <si>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</si>
  <si>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</si>
  <si>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</si>
  <si>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</si>
  <si>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</si>
  <si>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</si>
  <si>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</si>
  <si>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</si>
  <si>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</si>
  <si>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</si>
  <si>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</si>
  <si>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</si>
  <si>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</si>
  <si>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</si>
  <si>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</si>
  <si>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</si>
  <si>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</si>
  <si>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</si>
  <si>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</si>
  <si>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</si>
  <si>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</si>
  <si>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</si>
  <si>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</si>
  <si>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</si>
  <si>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</si>
  <si>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</si>
  <si>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</si>
  <si>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</si>
  <si>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</si>
  <si>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</si>
  <si>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</si>
  <si>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</si>
  <si>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</si>
  <si>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</si>
  <si>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</si>
  <si>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</si>
  <si>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</si>
  <si>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</si>
  <si>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</si>
  <si>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</si>
  <si>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</si>
  <si>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</si>
  <si>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</si>
  <si>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</si>
  <si>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</si>
  <si>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</si>
  <si>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</si>
  <si>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</si>
  <si>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</si>
  <si>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</si>
  <si>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</si>
  <si>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</si>
  <si>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</si>
  <si>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</si>
  <si>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</si>
  <si>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</si>
  <si>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</si>
  <si>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</si>
  <si>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</si>
  <si>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</si>
  <si>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</si>
  <si>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</si>
  <si>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</si>
  <si>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</si>
  <si>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</si>
  <si>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</si>
  <si>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</si>
  <si>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</si>
  <si>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</si>
  <si>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</si>
  <si>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</si>
  <si>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</si>
  <si>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</si>
  <si>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</si>
  <si>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</si>
  <si>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</si>
  <si>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</si>
  <si>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</si>
  <si>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</si>
  <si>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</si>
  <si>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</si>
  <si>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</si>
  <si>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</si>
  <si>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</si>
  <si>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</si>
  <si>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</si>
  <si>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</si>
  <si>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</si>
  <si>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</si>
  <si>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</si>
  <si>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</si>
  <si>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</si>
  <si>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</si>
  <si>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</si>
  <si>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</si>
  <si>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</si>
  <si>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</si>
  <si>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</si>
  <si>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</si>
  <si>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</si>
  <si>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</si>
  <si>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</si>
  <si>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</si>
  <si>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</si>
  <si>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</si>
  <si>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</si>
  <si>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</si>
  <si>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</si>
  <si>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</si>
  <si>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</si>
  <si>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</si>
  <si>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</si>
  <si>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</si>
  <si>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</si>
  <si>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</si>
  <si>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</si>
  <si>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</si>
  <si>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</si>
  <si>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</si>
  <si>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</si>
  <si>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</si>
  <si>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</si>
  <si>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</si>
  <si>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</si>
  <si>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</si>
  <si>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</si>
  <si>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</si>
  <si>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</si>
  <si>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</si>
  <si>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</si>
  <si>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Sum of Jan-May Actuals</t>
  </si>
  <si>
    <t>Sum of Forecast Jun-Dec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</si>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</sst>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7">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xf numFmtId="166" fontId="0" fillId="12" borderId="4" xfId="1" applyNumberFormat="1" applyFont="1" applyFill="1" applyBorder="1"/>
    <xf numFmtId="164" fontId="0" fillId="0" borderId="0" xfId="1" applyNumberFormat="1" applyFont="1"/>
    <xf numFmtId="164" fontId="0" fillId="15" borderId="0" xfId="1" applyNumberFormat="1" applyFont="1" applyFill="1"/>
    <xf numFmtId="0" fontId="9" fillId="0" borderId="0" xfId="0" applyFont="1" applyAlignment="1">
      <alignment horizontal="left" vertical="center" wrapText="1"/>
    </xf>
    <xf numFmtId="164" fontId="0" fillId="0" borderId="0" xfId="1" applyNumberFormat="1" applyFont="1" applyFill="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6">
    <dxf>
      <numFmt numFmtId="164" formatCode="_(* #,##0_);_(* \(#,##0\);_(* &quot;-&quot;??_);_(@_)"/>
    </dxf>
    <dxf>
      <numFmt numFmtId="167" formatCode="_(&quot;$&quot;* #,##0_);_(&quot;$&quot;* \(#,##0\);_(&quot;$&quot;* &quot;-&quot;??_);_(@_)"/>
    </dxf>
    <dxf>
      <numFmt numFmtId="166" formatCode="&quot;$&quot;#,##0"/>
    </dxf>
    <dxf>
      <alignment horizontal="center"/>
    </dxf>
    <dxf>
      <numFmt numFmtId="164" formatCode="_(* #,##0_);_(* \(#,##0\);_(* &quot;-&quot;??_);_(@_)"/>
    </dxf>
    <dxf>
      <numFmt numFmtId="167" formatCode="_(&quot;$&quot;* #,##0_);_(&quot;$&quot;* \(#,##0\);_(&quot;$&quot;* &quot;-&quot;??_);_(@_)"/>
    </dxf>
    <dxf>
      <numFmt numFmtId="166" formatCode="&quot;$&quot;#,##0"/>
    </dxf>
    <dxf>
      <alignment horizontal="center"/>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alcChain" Target="calcChain.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pivotCacheDefinition" Target="pivotCache/pivotCacheDefinition3.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sharedStrings" Target="sharedStrings.xml"/><Relationship Id="rId9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2.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100" Type="http://schemas.openxmlformats.org/officeDocument/2006/relationships/customXml" Target="../customXml/item5.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tyles" Target="styles.xml"/><Relationship Id="rId9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2.979580555555" createdVersion="8" refreshedVersion="8" minRefreshableVersion="3" recordCount="149" xr:uid="{14834CBE-76E0-4F7D-A076-F066E6A489B9}">
  <cacheSource type="worksheet">
    <worksheetSource name="Financials20263"/>
  </cacheSource>
  <cacheFields count="73">
    <cacheField name="Transaction Type" numFmtId="0">
      <sharedItems count="5">
        <s v="Contract"/>
        <s v="event driven"/>
        <s v="Invoice Driven"/>
        <s v="Capitalization"/>
        <s v="Amortization"/>
      </sharedItems>
    </cacheField>
    <cacheField name="D365 Legal Vendor name" numFmtId="0">
      <sharedItems count="81">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haredItems>
    </cacheField>
    <cacheField name="DBA / AKA / Passthrough" numFmtId="0">
      <sharedItems containsBlank="1"/>
    </cacheField>
    <cacheField name="Project ID" numFmtId="0">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r>
  <r>
    <x v="0"/>
    <x v="0"/>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r>
  <r>
    <x v="1"/>
    <x v="1"/>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r>
  <r>
    <x v="0"/>
    <x v="2"/>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r>
  <r>
    <x v="0"/>
    <x v="3"/>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r>
  <r>
    <x v="0"/>
    <x v="4"/>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r>
  <r>
    <x v="0"/>
    <x v="4"/>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r>
  <r>
    <x v="0"/>
    <x v="5"/>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r>
  <r>
    <x v="0"/>
    <x v="6"/>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r>
  <r>
    <x v="0"/>
    <x v="7"/>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r>
  <r>
    <x v="0"/>
    <x v="8"/>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r>
  <r>
    <x v="0"/>
    <x v="9"/>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r>
  <r>
    <x v="0"/>
    <x v="10"/>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r>
  <r>
    <x v="2"/>
    <x v="11"/>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r>
  <r>
    <x v="0"/>
    <x v="12"/>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r>
  <r>
    <x v="0"/>
    <x v="13"/>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r>
  <r>
    <x v="1"/>
    <x v="14"/>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r>
  <r>
    <x v="1"/>
    <x v="15"/>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r>
  <r>
    <x v="1"/>
    <x v="16"/>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r>
  <r>
    <x v="0"/>
    <x v="17"/>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46139"/>
    <n v="1446139"/>
    <n v="0"/>
    <n v="0"/>
    <n v="0"/>
    <s v="L2 SOW FPC, CHANGE"/>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s v="L2 DBA resource starting July 1 to expand coverage"/>
    <n v="566480"/>
    <n v="0"/>
    <n v="879659"/>
    <n v="577268"/>
    <n v="1446139"/>
  </r>
  <r>
    <x v="0"/>
    <x v="18"/>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r>
  <r>
    <x v="0"/>
    <x v="19"/>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r>
  <r>
    <x v="0"/>
    <x v="19"/>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r>
  <r>
    <x v="0"/>
    <x v="19"/>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r>
  <r>
    <x v="0"/>
    <x v="19"/>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r>
  <r>
    <x v="0"/>
    <x v="20"/>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r>
  <r>
    <x v="0"/>
    <x v="17"/>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r>
  <r>
    <x v="0"/>
    <x v="17"/>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r>
  <r>
    <x v="0"/>
    <x v="17"/>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r>
  <r>
    <x v="0"/>
    <x v="17"/>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r>
  <r>
    <x v="0"/>
    <x v="17"/>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r>
  <r>
    <x v="0"/>
    <x v="17"/>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r>
  <r>
    <x v="0"/>
    <x v="21"/>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r>
  <r>
    <x v="0"/>
    <x v="22"/>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r>
  <r>
    <x v="0"/>
    <x v="23"/>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r>
  <r>
    <x v="0"/>
    <x v="23"/>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r>
  <r>
    <x v="0"/>
    <x v="23"/>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r>
  <r>
    <x v="0"/>
    <x v="24"/>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r>
  <r>
    <x v="0"/>
    <x v="0"/>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r>
  <r>
    <x v="0"/>
    <x v="0"/>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r>
  <r>
    <x v="0"/>
    <x v="25"/>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r>
  <r>
    <x v="0"/>
    <x v="6"/>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r>
  <r>
    <x v="0"/>
    <x v="6"/>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r>
  <r>
    <x v="0"/>
    <x v="6"/>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r>
  <r>
    <x v="0"/>
    <x v="6"/>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r>
  <r>
    <x v="0"/>
    <x v="26"/>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r>
  <r>
    <x v="0"/>
    <x v="27"/>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r>
  <r>
    <x v="0"/>
    <x v="28"/>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r>
  <r>
    <x v="0"/>
    <x v="29"/>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r>
  <r>
    <x v="0"/>
    <x v="23"/>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r>
  <r>
    <x v="0"/>
    <x v="23"/>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r>
  <r>
    <x v="0"/>
    <x v="23"/>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r>
  <r>
    <x v="0"/>
    <x v="30"/>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r>
  <r>
    <x v="0"/>
    <x v="31"/>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r>
  <r>
    <x v="0"/>
    <x v="31"/>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r>
  <r>
    <x v="0"/>
    <x v="32"/>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r>
  <r>
    <x v="0"/>
    <x v="32"/>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r>
  <r>
    <x v="0"/>
    <x v="0"/>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r>
  <r>
    <x v="0"/>
    <x v="33"/>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r>
  <r>
    <x v="0"/>
    <x v="34"/>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r>
  <r>
    <x v="0"/>
    <x v="34"/>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r>
  <r>
    <x v="0"/>
    <x v="34"/>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r>
  <r>
    <x v="0"/>
    <x v="35"/>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r>
  <r>
    <x v="0"/>
    <x v="36"/>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r>
  <r>
    <x v="0"/>
    <x v="37"/>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r>
  <r>
    <x v="0"/>
    <x v="38"/>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r>
  <r>
    <x v="0"/>
    <x v="39"/>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r>
  <r>
    <x v="0"/>
    <x v="40"/>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r>
  <r>
    <x v="0"/>
    <x v="41"/>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r>
  <r>
    <x v="0"/>
    <x v="41"/>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r>
  <r>
    <x v="0"/>
    <x v="41"/>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r>
  <r>
    <x v="0"/>
    <x v="41"/>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r>
  <r>
    <x v="0"/>
    <x v="17"/>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r>
  <r>
    <x v="0"/>
    <x v="42"/>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r>
  <r>
    <x v="0"/>
    <x v="5"/>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r>
  <r>
    <x v="0"/>
    <x v="43"/>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r>
  <r>
    <x v="0"/>
    <x v="44"/>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r>
  <r>
    <x v="0"/>
    <x v="44"/>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r>
  <r>
    <x v="0"/>
    <x v="45"/>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r>
  <r>
    <x v="0"/>
    <x v="6"/>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r>
  <r>
    <x v="0"/>
    <x v="46"/>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r>
  <r>
    <x v="0"/>
    <x v="47"/>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r>
  <r>
    <x v="0"/>
    <x v="48"/>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r>
  <r>
    <x v="0"/>
    <x v="49"/>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r>
  <r>
    <x v="0"/>
    <x v="50"/>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r>
  <r>
    <x v="0"/>
    <x v="21"/>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r>
  <r>
    <x v="0"/>
    <x v="25"/>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r>
  <r>
    <x v="0"/>
    <x v="6"/>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r>
  <r>
    <x v="0"/>
    <x v="23"/>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r>
  <r>
    <x v="0"/>
    <x v="23"/>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r>
  <r>
    <x v="0"/>
    <x v="51"/>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r>
  <r>
    <x v="0"/>
    <x v="52"/>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r>
  <r>
    <x v="0"/>
    <x v="0"/>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r>
  <r>
    <x v="0"/>
    <x v="23"/>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r>
  <r>
    <x v="0"/>
    <x v="23"/>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r>
  <r>
    <x v="0"/>
    <x v="3"/>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r>
  <r>
    <x v="0"/>
    <x v="53"/>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r>
  <r>
    <x v="0"/>
    <x v="54"/>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r>
  <r>
    <x v="3"/>
    <x v="55"/>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r>
  <r>
    <x v="4"/>
    <x v="56"/>
    <m/>
    <s v="Amortization"/>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r>
  <r>
    <x v="0"/>
    <x v="57"/>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r>
  <r>
    <x v="0"/>
    <x v="58"/>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r>
  <r>
    <x v="0"/>
    <x v="59"/>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r>
  <r>
    <x v="0"/>
    <x v="60"/>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r>
  <r>
    <x v="2"/>
    <x v="61"/>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r>
  <r>
    <x v="1"/>
    <x v="62"/>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r>
  <r>
    <x v="0"/>
    <x v="63"/>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r>
  <r>
    <x v="0"/>
    <x v="64"/>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r>
  <r>
    <x v="2"/>
    <x v="65"/>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r>
  <r>
    <x v="2"/>
    <x v="66"/>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r>
  <r>
    <x v="2"/>
    <x v="67"/>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r>
  <r>
    <x v="2"/>
    <x v="68"/>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r>
  <r>
    <x v="0"/>
    <x v="69"/>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r>
  <r>
    <x v="0"/>
    <x v="70"/>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r>
  <r>
    <x v="0"/>
    <x v="71"/>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r>
  <r>
    <x v="0"/>
    <x v="72"/>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r>
  <r>
    <x v="2"/>
    <x v="6"/>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r>
  <r>
    <x v="0"/>
    <x v="41"/>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r>
  <r>
    <x v="0"/>
    <x v="41"/>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r>
  <r>
    <x v="2"/>
    <x v="41"/>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r>
  <r>
    <x v="0"/>
    <x v="73"/>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r>
  <r>
    <x v="0"/>
    <x v="17"/>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x v="17"/>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78413"/>
    <n v="0"/>
    <n v="-78413"/>
    <n v="0"/>
    <n v="-78413"/>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r>
  <r>
    <x v="0"/>
    <x v="22"/>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52"/>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r>
  <r>
    <x v="0"/>
    <x v="52"/>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r>
  <r>
    <x v="0"/>
    <x v="23"/>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r>
  <r>
    <x v="0"/>
    <x v="52"/>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23"/>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23"/>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34"/>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r>
  <r>
    <x v="0"/>
    <x v="37"/>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r>
  <r>
    <x v="0"/>
    <x v="23"/>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74"/>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x v="75"/>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r>
  <r>
    <x v="0"/>
    <x v="17"/>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r>
  <r>
    <x v="0"/>
    <x v="17"/>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x v="6"/>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r>
  <r>
    <x v="0"/>
    <x v="76"/>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r>
  <r>
    <x v="0"/>
    <x v="77"/>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r>
  <r>
    <x v="0"/>
    <x v="52"/>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r>
  <r>
    <x v="0"/>
    <x v="53"/>
    <s v="Intellibus"/>
    <s v="T&amp;M"/>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r>
  <r>
    <x v="0"/>
    <x v="23"/>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r>
  <r>
    <x v="0"/>
    <x v="74"/>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r>
  <r>
    <x v="0"/>
    <x v="19"/>
    <s v="1Rivet"/>
    <s v="T&amp;M"/>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r>
  <r>
    <x v="0"/>
    <x v="19"/>
    <s v="1Rivet"/>
    <s v="T&amp;M"/>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r>
  <r>
    <x v="0"/>
    <x v="78"/>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r>
  <r>
    <x v="0"/>
    <x v="79"/>
    <m/>
    <s v="T&amp;M"/>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r>
  <r>
    <x v="0"/>
    <x v="80"/>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27">
      <pivotArea outline="0" collapsedLevelsAreSubtotals="1" fieldPosition="0"/>
    </format>
    <format dxfId="26">
      <pivotArea dataOnly="0" labelOnly="1" outline="0" fieldPosition="0">
        <references count="1">
          <reference field="4294967294" count="1">
            <x v="2"/>
          </reference>
        </references>
      </pivotArea>
    </format>
    <format dxfId="25">
      <pivotArea field="6" type="button" dataOnly="0" labelOnly="1" outline="0" axis="axisRow" fieldPosition="0"/>
    </format>
    <format dxfId="24">
      <pivotArea field="12" type="button" dataOnly="0" labelOnly="1" outline="0" axis="axisRow" fieldPosition="1"/>
    </format>
    <format dxfId="23">
      <pivotArea dataOnly="0" labelOnly="1" outline="0" fieldPosition="0">
        <references count="1">
          <reference field="4294967294" count="3">
            <x v="0"/>
            <x v="1"/>
            <x v="2"/>
          </reference>
        </references>
      </pivotArea>
    </format>
    <format dxfId="22">
      <pivotArea field="6" type="button" dataOnly="0" labelOnly="1" outline="0" axis="axisRow" fieldPosition="0"/>
    </format>
    <format dxfId="21">
      <pivotArea field="12" type="button" dataOnly="0" labelOnly="1" outline="0" axis="axisRow" fieldPosition="1"/>
    </format>
    <format dxfId="20">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3">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29">
      <pivotArea outline="0" collapsedLevelsAreSubtotals="1" fieldPosition="0"/>
    </format>
    <format dxfId="28">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3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3">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G12" firstHeaderRow="1" firstDataRow="2" firstDataCol="3" rowPageCount="1" colPageCount="1"/>
  <pivotFields count="73">
    <pivotField axis="axisPage" compact="0" outline="0" multipleItemSelectionAllowed="1" showAll="0">
      <items count="6">
        <item x="4"/>
        <item h="1" x="3"/>
        <item x="0"/>
        <item x="1"/>
        <item x="2"/>
        <item t="default"/>
      </items>
    </pivotField>
    <pivotField axis="axisRow" compact="0" outline="0" showAll="0">
      <items count="82">
        <item x="74"/>
        <item x="49"/>
        <item x="76"/>
        <item x="61"/>
        <item x="56"/>
        <item x="19"/>
        <item x="2"/>
        <item x="69"/>
        <item x="58"/>
        <item x="59"/>
        <item x="9"/>
        <item x="12"/>
        <item x="21"/>
        <item x="50"/>
        <item x="25"/>
        <item x="6"/>
        <item x="65"/>
        <item x="14"/>
        <item x="45"/>
        <item x="26"/>
        <item x="46"/>
        <item x="47"/>
        <item x="80"/>
        <item x="17"/>
        <item x="60"/>
        <item x="7"/>
        <item x="18"/>
        <item x="44"/>
        <item x="43"/>
        <item x="51"/>
        <item x="22"/>
        <item x="27"/>
        <item x="70"/>
        <item x="4"/>
        <item x="62"/>
        <item x="28"/>
        <item x="63"/>
        <item x="29"/>
        <item x="23"/>
        <item x="30"/>
        <item x="53"/>
        <item x="66"/>
        <item x="8"/>
        <item x="48"/>
        <item x="67"/>
        <item x="31"/>
        <item x="32"/>
        <item x="52"/>
        <item x="0"/>
        <item x="33"/>
        <item x="15"/>
        <item x="34"/>
        <item x="78"/>
        <item x="16"/>
        <item x="77"/>
        <item x="75"/>
        <item x="35"/>
        <item x="11"/>
        <item x="57"/>
        <item x="13"/>
        <item x="36"/>
        <item x="64"/>
        <item x="37"/>
        <item x="54"/>
        <item x="41"/>
        <item x="38"/>
        <item x="73"/>
        <item x="42"/>
        <item x="55"/>
        <item x="40"/>
        <item x="39"/>
        <item x="5"/>
        <item x="1"/>
        <item x="71"/>
        <item x="72"/>
        <item x="68"/>
        <item x="20"/>
        <item x="3"/>
        <item x="24"/>
        <item x="10"/>
        <item x="79"/>
        <item t="default"/>
      </items>
    </pivotField>
    <pivotField compact="0" outline="0" showAll="0"/>
    <pivotField compact="0" outline="0" showAll="0"/>
    <pivotField compact="0" outline="0" showAll="0"/>
    <pivotField compact="0" outline="0" showAll="0"/>
    <pivotField axis="axisRow" compact="0" outline="0" showAll="0">
      <items count="8">
        <item x="5"/>
        <item x="0"/>
        <item x="2"/>
        <item x="4"/>
        <item x="3"/>
        <item x="1"/>
        <item x="6"/>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6"/>
        <item sd="0" x="5"/>
        <item sd="0" x="7"/>
        <item sd="0" x="3"/>
        <item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showAll="0"/>
    <pivotField compact="0" outline="0" showAll="0"/>
    <pivotField compact="0" outline="0" showAll="0"/>
  </pivotFields>
  <rowFields count="3">
    <field x="12"/>
    <field x="6"/>
    <field x="1"/>
  </rowFields>
  <rowItems count="8">
    <i>
      <x v="1"/>
    </i>
    <i>
      <x v="2"/>
    </i>
    <i>
      <x v="3"/>
    </i>
    <i>
      <x v="4"/>
    </i>
    <i>
      <x v="5"/>
    </i>
    <i>
      <x v="6"/>
    </i>
    <i>
      <x v="7"/>
    </i>
    <i t="grand">
      <x/>
    </i>
  </rowItems>
  <colFields count="1">
    <field x="-2"/>
  </colFields>
  <colItems count="4">
    <i>
      <x/>
    </i>
    <i i="1">
      <x v="1"/>
    </i>
    <i i="2">
      <x v="2"/>
    </i>
    <i i="3">
      <x v="3"/>
    </i>
  </colItems>
  <pageFields count="1">
    <pageField fld="0" hier="-1"/>
  </pageFields>
  <dataFields count="4">
    <dataField name="Sum of 2026 Final Budget" fld="21" baseField="0" baseItem="0"/>
    <dataField name="Sum of Jan-May Actuals" fld="68" baseField="0" baseItem="0"/>
    <dataField name="Sum of Forecast Jun-Dec" fld="70" baseField="0" baseItem="0"/>
    <dataField name="Sum of 2026 Net Position" fld="25" baseField="0" baseItem="0"/>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U150" totalsRowShown="0" headerRowBorderDxfId="105" tableBorderDxfId="104">
  <autoFilter ref="A1:BU150" xr:uid="{A492086E-22C3-4E96-A6F5-F99E42618563}">
    <filterColumn colId="26">
      <filters>
        <filter val="$100K not to be utilised as per Leon's instructions, CHANGE"/>
        <filter val="80K - Network engineer consultant T&amp;M_x000a_, CHANGE"/>
        <filter val="Amortisation expense relating to pre-2025 capitalised costs was missed from budget. We recommend offsetting this gap against a placeholder., CHANGE"/>
        <filter val="CHANGE"/>
        <filter val="L2 SOW FPC, CHANGE"/>
        <filter val="New 2026 BoW (Capitalizable), CHANGE"/>
        <filter val="New 2026 BoW, CHANGE"/>
        <filter val="Not part of original budget; risk added, category updated from software to hardware since laptop purchase, Unplanned expansion not budgeted by HR and Tech, CHANGE"/>
        <filter val="T&amp;M- H2-2026 Risk unbudgeted extension, CHANGE"/>
        <filter val="T&amp;M- Implementing CoE for L1/L2 Platforms, new 2026 bow, offset with amortisation, CHANGE"/>
      </filters>
    </filterColumn>
  </autoFilter>
  <tableColumns count="73">
    <tableColumn id="1" xr3:uid="{242EDFF6-742E-412A-994F-DE5685E22BB0}" name="Transaction Type" dataDxfId="103"/>
    <tableColumn id="2" xr3:uid="{08616251-7DE6-4D23-92E4-2E85B1D94360}" name="D365 Legal Vendor name" dataDxfId="102"/>
    <tableColumn id="3" xr3:uid="{BD70789C-92D9-4A27-B8C3-E2607261E720}" name="DBA / AKA / Passthrough" dataDxfId="101"/>
    <tableColumn id="4" xr3:uid="{3918E27D-D871-43A2-9D6A-94FB14F654EC}" name="Project ID" dataDxfId="100"/>
    <tableColumn id="5" xr3:uid="{A028ADB0-AF1A-40E1-8A52-FF282B40DE64}" name="Project Name" dataDxfId="99"/>
    <tableColumn id="6" xr3:uid="{B4F67E57-8B0C-436C-BF42-2CAC2B8245C1}" name="Domain" dataDxfId="98"/>
    <tableColumn id="7" xr3:uid="{91E0CA19-9704-4FB2-9B82-EB394E89DF85}" name="Domain Owner" dataDxfId="97"/>
    <tableColumn id="9" xr3:uid="{090B133E-C581-4D72-9CCF-C2D174AB0F43}" name="Contract Start" dataDxfId="96"/>
    <tableColumn id="10" xr3:uid="{610CA386-C3EA-4064-9F45-507F0B25669D}" name="Contract End" dataDxfId="95"/>
    <tableColumn id="11" xr3:uid="{7A9CDD19-1472-4FAD-ACF7-98BC097996DE}" name="Application" dataDxfId="94"/>
    <tableColumn id="12" xr3:uid="{F6177E08-E03D-4CE8-A8C5-24F7F0CE38DF}" name="Project Details" dataDxfId="93">
      <calculatedColumnFormula>D2 &amp; "-" &amp;E2</calculatedColumnFormula>
    </tableColumn>
    <tableColumn id="13" xr3:uid="{F8731934-20F7-4424-BF3E-888C8F3E250E}" name="Category" dataDxfId="92"/>
    <tableColumn id="14" xr3:uid="{97F74ECF-D3E1-4544-B389-0D70673967E8}" name="Sub-Category1" dataDxfId="91"/>
    <tableColumn id="17" xr3:uid="{4C848037-D78D-42C1-A2C6-E6309704016E}" name="Sub-Category2" dataDxfId="90"/>
    <tableColumn id="21" xr3:uid="{0122725A-C30C-4CEE-B8D6-2422E3E10326}" name="Contract Type" dataDxfId="89"/>
    <tableColumn id="15" xr3:uid="{DCD4FDCF-43FF-4308-9293-62EA996620ED}" name="MGMT View Category (OneStream)" dataDxfId="88"/>
    <tableColumn id="18" xr3:uid="{658A4718-1DA7-4FBE-8992-7FAE7F4C7F49}" name="Onestream Account" dataDxfId="87"/>
    <tableColumn id="19" xr3:uid="{5267CF94-3623-462E-97AF-E18156B00053}" name="A/P Account Name" dataDxfId="86"/>
    <tableColumn id="20" xr3:uid="{5E0DC275-3907-45A6-9C4F-937BDB02153F}" name="Accounting Treatment" dataDxfId="85"/>
    <tableColumn id="22" xr3:uid="{16BEBE99-AC2A-471E-8FD9-AAE62FE8D83D}" name="2025 Actuals" dataDxfId="84"/>
    <tableColumn id="23" xr3:uid="{AB3393C9-D921-4085-AF5F-B7B623848FCC}" name="2026 Initial Budget" dataDxfId="83" dataCellStyle="Comma"/>
    <tableColumn id="25" xr3:uid="{BD95F986-B575-45C9-B565-3F5A5D25B661}" name="2026 Final Budget" dataDxfId="82" dataCellStyle="Comma"/>
    <tableColumn id="26" xr3:uid="{FE8AB3AA-8105-4CAA-9C84-BF99E639D702}" name="2026 (Actuals + Forecast)" dataDxfId="81" dataCellStyle="Comma">
      <calculatedColumnFormula>AO2+IF(ISBLANK(AP2),AB2,AP2)+IF(ISBLANK(AQ2),AC2,AQ2)+IF(ISBLANK(AR2),AD2,AR2)+IF(ISBLANK(AS2),AE2,AS2)+IF(ISBLANK(AT2),AF2,AT2)</calculatedColumnFormula>
    </tableColumn>
    <tableColumn id="27" xr3:uid="{FD25F16C-2EAA-415A-9A5A-67EF55B9D97F}" name="2026 Opportunity" dataDxfId="80" dataCellStyle="Comma">
      <calculatedColumnFormula>IF(V2 &gt;= W2, V2 - W2, 0)*-1</calculatedColumnFormula>
    </tableColumn>
    <tableColumn id="28" xr3:uid="{3E8C9BC3-A36F-4429-ADF1-E2E31EDFB123}" name="2026 Risk" dataDxfId="79" dataCellStyle="Comma">
      <calculatedColumnFormula>IF(W2 &gt; V2, W2 - V2, 0)</calculatedColumnFormula>
    </tableColumn>
    <tableColumn id="16" xr3:uid="{A2223374-A086-4670-9148-44C5B80D2F38}" name="2026 Net Position" dataDxfId="78" dataCellStyle="Comma">
      <calculatedColumnFormula>SUM(Financials20263[[#This Row],[2026 Opportunity]:[2026 Risk]])</calculatedColumnFormula>
    </tableColumn>
    <tableColumn id="29" xr3:uid="{9340939D-B61A-4867-A6FB-35598984DFC3}" name="Notes" dataDxfId="77"/>
    <tableColumn id="31" xr3:uid="{CAB5AFB6-CA5B-483A-9BAF-5761679A373B}" name="Jan FC" dataDxfId="76" dataCellStyle="Comma"/>
    <tableColumn id="32" xr3:uid="{5E6FFDA7-DF5F-495F-BC8D-D67F03329023}" name="Feb FC" dataDxfId="75" dataCellStyle="Comma"/>
    <tableColumn id="33" xr3:uid="{5058D119-6F17-43D3-AEF2-4F273CEBA31A}" name="Mar FC" dataDxfId="74" dataCellStyle="Comma"/>
    <tableColumn id="34" xr3:uid="{A3AC516B-B770-430E-B148-E1D3D9567FAD}" name="Apr FC" dataDxfId="73" dataCellStyle="Comma"/>
    <tableColumn id="35" xr3:uid="{ECEA33AD-45C5-4E82-A009-017E85D7DB44}" name="May FC" dataDxfId="72" dataCellStyle="Comma"/>
    <tableColumn id="36" xr3:uid="{E9DB8B47-323F-434B-807B-8748ED61ED34}" name="Jun FC" dataDxfId="71" dataCellStyle="Comma"/>
    <tableColumn id="37" xr3:uid="{6374D5F8-607B-41C2-B794-601F25EB418D}" name="Jul FC" dataDxfId="70" dataCellStyle="Comma"/>
    <tableColumn id="38" xr3:uid="{B4C16149-C9F0-45EC-B182-FD3B8B7429E0}" name="Aug FC" dataDxfId="69" dataCellStyle="Comma"/>
    <tableColumn id="39" xr3:uid="{26B14811-E5F5-4106-A54B-40DE00366D76}" name="Sep FC" dataDxfId="68" dataCellStyle="Comma"/>
    <tableColumn id="40" xr3:uid="{9E952692-1BDD-4D56-A183-37BF4A11F526}" name="Oct FC" dataDxfId="67" dataCellStyle="Comma"/>
    <tableColumn id="41" xr3:uid="{A049F4C1-34D3-4A29-86A7-C671D5C6D98B}" name="Nov FC" dataDxfId="66" dataCellStyle="Comma"/>
    <tableColumn id="42" xr3:uid="{5705BE95-DF6B-473B-8FA4-9E4226201603}" name="Dec FC" dataDxfId="65" dataCellStyle="Comma"/>
    <tableColumn id="74" xr3:uid="{9D40B7D4-7BAE-4A98-8145-9A222ED326B8}" name="Total - FC" dataDxfId="64" dataCellStyle="Comma">
      <calculatedColumnFormula>SUM(Financials20263[[#This Row],[Jan FC]:[Dec FC]])</calculatedColumnFormula>
    </tableColumn>
    <tableColumn id="43" xr3:uid="{91FD6C06-93AB-414D-9B76-887643EEED96}" name="Jun-Dec FC" dataDxfId="63" dataCellStyle="Comma">
      <calculatedColumnFormula>SUM(AG2:AM2)</calculatedColumnFormula>
    </tableColumn>
    <tableColumn id="56" xr3:uid="{F69A83C4-B9A3-4262-A8CB-8CE81864D5FA}" name="Jan AC" dataDxfId="62" dataCellStyle="Comma"/>
    <tableColumn id="55" xr3:uid="{1E9D6300-4AD1-4261-A1FF-6366DF423E92}" name="Feb AC" dataDxfId="61" dataCellStyle="Comma"/>
    <tableColumn id="54" xr3:uid="{13FFF1FD-26A1-4FD6-97E8-9386AB4AC43C}" name="Mar AC" dataDxfId="60" dataCellStyle="Comma"/>
    <tableColumn id="53" xr3:uid="{4528A9EB-DCC4-4768-9C74-B00744D89F2E}" name="Apr AC" dataDxfId="59" dataCellStyle="Comma"/>
    <tableColumn id="52" xr3:uid="{09BBCE26-5305-4845-8E95-2938F78951A1}" name="May AC" dataDxfId="58" dataCellStyle="Comma"/>
    <tableColumn id="51" xr3:uid="{B53E3A5E-4C7A-47F6-98EF-98D0339ED7EF}" name="Jun AC" dataDxfId="57" dataCellStyle="Comma"/>
    <tableColumn id="50" xr3:uid="{1B3A42E1-1A4A-4F02-AB85-F321F9298327}" name="Jul AC" dataDxfId="56" dataCellStyle="Comma"/>
    <tableColumn id="49" xr3:uid="{DB3FF538-4DFF-4E76-A4ED-65067E509D32}" name="Aug AC" dataDxfId="55" dataCellStyle="Comma"/>
    <tableColumn id="48" xr3:uid="{7811DD89-220A-4A96-BB76-DDA3AB708625}" name="Sep AC" dataDxfId="54" dataCellStyle="Comma"/>
    <tableColumn id="47" xr3:uid="{A17FFA7D-49AE-4866-91BB-54ABF4DBC444}" name="Oct AC" dataDxfId="53" dataCellStyle="Comma"/>
    <tableColumn id="46" xr3:uid="{41435EA0-FEC7-48B7-855E-47C16BC64CF6}" name="Nov AC" dataDxfId="52" dataCellStyle="Comma"/>
    <tableColumn id="30" xr3:uid="{A2239101-D3EE-49BD-BE0C-6704F209BED4}" name="Dec AC" dataDxfId="51" dataCellStyle="Comma"/>
    <tableColumn id="75" xr3:uid="{C6B2B2DB-BFC6-4CA1-A44B-AB1642CA5DF4}" name="Total Actuals" dataDxfId="50" dataCellStyle="Comma">
      <calculatedColumnFormula>SUM(Financials20263[[#This Row],[Jan AC]:[Dec AC]])</calculatedColumnFormula>
    </tableColumn>
    <tableColumn id="58" xr3:uid="{C27E561F-EC4E-4A83-860E-89EDAFD8273C}" name="Jan Opp/Risk" dataDxfId="49" dataCellStyle="Comma">
      <calculatedColumnFormula>Financials20263[[#This Row],[Jan AC]]-Financials20263[[#This Row],[Jan FC]]</calculatedColumnFormula>
    </tableColumn>
    <tableColumn id="59" xr3:uid="{DC3F935F-676C-4615-83CE-F51DCA99DF38}" name="Feb Opp./Risk" dataDxfId="48" dataCellStyle="Comma">
      <calculatedColumnFormula>Financials20263[[#This Row],[Feb AC]]-Financials20263[[#This Row],[Feb FC]]</calculatedColumnFormula>
    </tableColumn>
    <tableColumn id="60" xr3:uid="{51453838-C75C-48B0-801A-F08E0238B429}" name="Mar Opp./Risk" dataDxfId="47" dataCellStyle="Comma">
      <calculatedColumnFormula>Financials20263[[#This Row],[Mar AC]]-Financials20263[[#This Row],[Mar FC]]</calculatedColumnFormula>
    </tableColumn>
    <tableColumn id="61" xr3:uid="{B784A374-2FB6-4FF5-B896-BF2FC8499F68}" name="Apr Opp./Risk" dataDxfId="46" dataCellStyle="Comma">
      <calculatedColumnFormula>Financials20263[[#This Row],[Apr AC]]-Financials20263[[#This Row],[Apr FC]]</calculatedColumnFormula>
    </tableColumn>
    <tableColumn id="62" xr3:uid="{1563E951-050B-4915-B1A7-626B46F193F0}" name="May Opp./Risk" dataDxfId="45" dataCellStyle="Comma">
      <calculatedColumnFormula>Financials20263[[#This Row],[May AC]]-Financials20263[[#This Row],[May FC]]</calculatedColumnFormula>
    </tableColumn>
    <tableColumn id="63" xr3:uid="{CE10A45E-D613-4BBA-950B-3F0858138F44}" name="Jun Opp./Risk" dataDxfId="44" dataCellStyle="Comma">
      <calculatedColumnFormula>Financials20263[[#This Row],[Jun AC]]-Financials20263[[#This Row],[Jun FC]]</calculatedColumnFormula>
    </tableColumn>
    <tableColumn id="64" xr3:uid="{5A2AAB70-868C-4DC5-B5DD-4E11E098A39F}" name="Jul Opp./Risk" dataDxfId="43" dataCellStyle="Comma">
      <calculatedColumnFormula>Financials20263[[#This Row],[Jul AC]]-Financials20263[[#This Row],[Jul FC]]</calculatedColumnFormula>
    </tableColumn>
    <tableColumn id="65" xr3:uid="{1665AA1E-8313-4AF7-B6A0-D7722A026704}" name="Aug Opp./Risk" dataDxfId="42" dataCellStyle="Comma">
      <calculatedColumnFormula>Financials20263[[#This Row],[Aug AC]]-Financials20263[[#This Row],[Aug FC]]</calculatedColumnFormula>
    </tableColumn>
    <tableColumn id="66" xr3:uid="{25976019-C5B2-4B4F-8C89-FBB761553DE6}" name="Sep Opp./Risk" dataDxfId="41" dataCellStyle="Comma">
      <calculatedColumnFormula>Financials20263[[#This Row],[Sep AC]]-Financials20263[[#This Row],[Sep FC]]</calculatedColumnFormula>
    </tableColumn>
    <tableColumn id="67" xr3:uid="{ADF406C3-7173-4813-980E-7B87D65C153C}" name="Oct Opp./Risk" dataDxfId="40" dataCellStyle="Comma">
      <calculatedColumnFormula>Financials20263[[#This Row],[Oct AC]]-Financials20263[[#This Row],[Oct FC]]</calculatedColumnFormula>
    </tableColumn>
    <tableColumn id="68" xr3:uid="{636AB1D8-3FD4-42A0-975E-52B3FA7F8493}" name="Nov Opp./Risk" dataDxfId="39" dataCellStyle="Comma">
      <calculatedColumnFormula>Financials20263[[#This Row],[Nov AC]]-Financials20263[[#This Row],[Nov FC]]</calculatedColumnFormula>
    </tableColumn>
    <tableColumn id="69" xr3:uid="{CFD742A6-574D-4723-AAC1-62CB4F69D985}" name="Dec Opp./Risk" dataDxfId="38" dataCellStyle="Comma">
      <calculatedColumnFormula>Financials20263[[#This Row],[Dec AC]]-Financials20263[[#This Row],[Dec FC]]</calculatedColumnFormula>
    </tableColumn>
    <tableColumn id="76" xr3:uid="{90F33527-CC5D-4F93-BE20-F67E6D4714B4}" name="Total Opp./Risk" dataDxfId="37" dataCellStyle="Comma">
      <calculatedColumnFormula>SUM(Financials20263[[#This Row],[Jan Opp/Risk]:[Dec Opp./Risk]])</calculatedColumnFormula>
    </tableColumn>
    <tableColumn id="45" xr3:uid="{40E9183E-CE83-4399-9E89-734953B2AD7E}" name="Notes - Swati" dataDxfId="36" dataCellStyle="Comma"/>
    <tableColumn id="57" xr3:uid="{71A027C0-CE0B-44F4-9BEA-44F1E025C29C}" name="Jan-May Actuals" dataDxfId="35" dataCellStyle="Comma">
      <calculatedColumnFormula>SUM(Financials20263[[#This Row],[Jan AC]:[May AC]])</calculatedColumnFormula>
    </tableColumn>
    <tableColumn id="8" xr3:uid="{A4CDF58C-06B8-490E-851A-3E8597DB1ABC}" name="Jan-May Forecast " dataDxfId="34">
      <calculatedColumnFormula>Financials20263[[#This Row],[2026 (Actuals + Forecast)]]-Financials20263[[#This Row],[Jan-May Actuals]]-Financials20263[[#This Row],[Jun-Dec FC]]</calculatedColumnFormula>
    </tableColumn>
    <tableColumn id="24" xr3:uid="{793354D9-A30A-4975-87DD-55AF941A43CF}" name="Forecast Jun-Dec" dataDxfId="33">
      <calculatedColumnFormula>Financials20263[[#This Row],[Jun-Dec FC]]+Financials20263[[#This Row],[Jan-May Forecast ]]</calculatedColumnFormula>
    </tableColumn>
    <tableColumn id="44" xr3:uid="{A205C803-FAD6-4776-8381-5DC72A34682B}" name="Forecast Jan-May" dataDxfId="32">
      <calculatedColumnFormula>SUM(Financials20263[[#This Row],[Jan FC]:[May FC]])</calculatedColumnFormula>
    </tableColumn>
    <tableColumn id="70" xr3:uid="{DAAE9D59-198D-4744-9647-FCD523ED7658}" name="Actual+Forecast" dataDxfId="31">
      <calculatedColumnFormula>Financials20263[[#This Row],[Jan-May Actuals]]+Financials20263[[#This Row],[Forecast Jun-Dec]]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D6" sqref="D6"/>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78" t="s">
        <v>537</v>
      </c>
      <c r="D1" s="178"/>
      <c r="E1" s="178"/>
      <c r="F1" s="178"/>
      <c r="J1" s="19" t="s">
        <v>39</v>
      </c>
    </row>
    <row r="2" spans="1:10" x14ac:dyDescent="0.3">
      <c r="C2" s="178"/>
      <c r="D2" s="178"/>
      <c r="E2" s="178"/>
      <c r="F2" s="178"/>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2738362.81</v>
      </c>
      <c r="D8" s="6">
        <v>247000</v>
      </c>
      <c r="E8" s="6">
        <v>-260128.53</v>
      </c>
      <c r="F8" s="6">
        <v>-13128.529999999999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45238040.13356667</v>
      </c>
      <c r="D11" s="6">
        <v>4195926.8775666654</v>
      </c>
      <c r="E11" s="6">
        <v>-3746284.7001499985</v>
      </c>
      <c r="F11" s="6">
        <v>449642.17741666653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45.23804013356667</v>
      </c>
      <c r="D25" s="100">
        <f t="shared" si="0"/>
        <v>4.1959268775666656</v>
      </c>
      <c r="E25" s="100">
        <f t="shared" si="0"/>
        <v>-3.7462847001499986</v>
      </c>
      <c r="F25" s="100">
        <f t="shared" si="0"/>
        <v>0.44964217741666651</v>
      </c>
    </row>
    <row r="26" spans="1:6" x14ac:dyDescent="0.3">
      <c r="B26" s="43"/>
      <c r="C26" s="43"/>
      <c r="D26" s="43"/>
      <c r="E26" s="43"/>
      <c r="F26" s="43"/>
    </row>
    <row r="27" spans="1:6" x14ac:dyDescent="0.3">
      <c r="A27" s="8" t="s">
        <v>42</v>
      </c>
      <c r="B27" t="s">
        <v>43</v>
      </c>
      <c r="C27" s="179" t="s">
        <v>538</v>
      </c>
      <c r="D27" s="179"/>
      <c r="E27" s="179"/>
    </row>
    <row r="28" spans="1:6" x14ac:dyDescent="0.3">
      <c r="C28" s="179"/>
      <c r="D28" s="179"/>
      <c r="E28" s="179"/>
    </row>
    <row r="29" spans="1:6" x14ac:dyDescent="0.3">
      <c r="C29" s="8" t="s">
        <v>488</v>
      </c>
    </row>
    <row r="30" spans="1:6" ht="28.8" x14ac:dyDescent="0.3">
      <c r="A30" s="101" t="s">
        <v>54</v>
      </c>
      <c r="B30" s="101" t="s">
        <v>47</v>
      </c>
      <c r="C30" s="102" t="s">
        <v>0</v>
      </c>
      <c r="D30" s="102" t="s">
        <v>536</v>
      </c>
      <c r="E30" s="103" t="s">
        <v>481</v>
      </c>
    </row>
    <row r="31" spans="1:6" x14ac:dyDescent="0.3">
      <c r="A31" t="s">
        <v>48</v>
      </c>
      <c r="C31" s="96">
        <v>10007813.59715</v>
      </c>
      <c r="D31" s="96">
        <v>4686268.564166666</v>
      </c>
      <c r="E31" s="96">
        <v>1235297.1128499999</v>
      </c>
    </row>
    <row r="32" spans="1:6" x14ac:dyDescent="0.3">
      <c r="A32" t="s">
        <v>49</v>
      </c>
      <c r="C32" s="96">
        <v>14217853.790000001</v>
      </c>
      <c r="D32" s="96">
        <v>6124673.5034000017</v>
      </c>
      <c r="E32" s="96">
        <v>-248140.62559999933</v>
      </c>
    </row>
    <row r="33" spans="1:5" x14ac:dyDescent="0.3">
      <c r="A33" t="s">
        <v>50</v>
      </c>
      <c r="C33" s="96">
        <v>13152468.5</v>
      </c>
      <c r="D33" s="96">
        <v>9333571.629999999</v>
      </c>
      <c r="E33" s="96">
        <v>-193215.55000000173</v>
      </c>
    </row>
    <row r="34" spans="1:5" x14ac:dyDescent="0.3">
      <c r="A34" t="s">
        <v>51</v>
      </c>
      <c r="C34" s="96">
        <v>1752990.7</v>
      </c>
      <c r="D34" s="96">
        <v>415826.75</v>
      </c>
      <c r="E34" s="96">
        <v>-158359.70000000001</v>
      </c>
    </row>
    <row r="35" spans="1:5" x14ac:dyDescent="0.3">
      <c r="A35" t="s">
        <v>52</v>
      </c>
      <c r="C35" s="96">
        <v>1785617.7549999999</v>
      </c>
      <c r="D35" s="96">
        <v>915338.64000000013</v>
      </c>
      <c r="E35" s="96">
        <v>27342.401666666628</v>
      </c>
    </row>
    <row r="36" spans="1:5" x14ac:dyDescent="0.3">
      <c r="A36" t="s">
        <v>53</v>
      </c>
      <c r="C36" s="96">
        <v>2627635.6140000001</v>
      </c>
      <c r="D36" s="96">
        <v>918595.95000000007</v>
      </c>
      <c r="E36" s="96">
        <v>-192832.29933333327</v>
      </c>
    </row>
    <row r="37" spans="1:5" x14ac:dyDescent="0.3">
      <c r="A37" t="s">
        <v>8</v>
      </c>
      <c r="C37" s="96">
        <v>43544379.95615001</v>
      </c>
      <c r="D37" s="96">
        <v>22394275.037566666</v>
      </c>
      <c r="E37" s="96">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17" priority="1">
      <formula>$J2="Hard Opportunity"</formula>
    </cfRule>
    <cfRule type="expression" dxfId="16" priority="2">
      <formula>$J2="Hard Risk"</formula>
    </cfRule>
    <cfRule type="expression" dxfId="15" priority="3">
      <formula>$J2="Soft Opportunity"</formula>
    </cfRule>
    <cfRule type="expression" dxfId="14" priority="4">
      <formula>$J2="Soft Risk"</formula>
    </cfRule>
  </conditionalFormatting>
  <conditionalFormatting sqref="J2:J149">
    <cfRule type="expression" dxfId="13" priority="5">
      <formula>$J2="Hard Opportunity"</formula>
    </cfRule>
    <cfRule type="expression" dxfId="12" priority="6">
      <formula>$J2="Hard Risk"</formula>
    </cfRule>
    <cfRule type="expression" dxfId="11" priority="7">
      <formula>$J2="Soft Opportunity"</formula>
    </cfRule>
    <cfRule type="expression" dxfId="10"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F13" sqref="F13:F15"/>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841990.49083333323</v>
      </c>
      <c r="L3" s="97">
        <v>877895.58083333331</v>
      </c>
      <c r="M3" s="97">
        <v>35905.089999999997</v>
      </c>
      <c r="N3" s="97">
        <v>858397.49083333323</v>
      </c>
      <c r="O3" s="97">
        <v>731310.30083333328</v>
      </c>
      <c r="P3" s="97">
        <v>-127087.19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3958936.796083333</v>
      </c>
      <c r="L9" s="97">
        <v>3658367.2383666672</v>
      </c>
      <c r="M9" s="97">
        <v>-300569.55771666672</v>
      </c>
      <c r="N9" s="97">
        <v>3458326.9060833333</v>
      </c>
      <c r="O9" s="97">
        <v>3164169.3883666666</v>
      </c>
      <c r="P9" s="97">
        <v>-294157.51771666668</v>
      </c>
    </row>
    <row r="12" spans="1:16" ht="15" thickBot="1" x14ac:dyDescent="0.35"/>
    <row r="13" spans="1:16" ht="14.4" customHeight="1" x14ac:dyDescent="0.3">
      <c r="F13" s="180">
        <f>(D9+G9+J9+M9+P9)/100000</f>
        <v>-5.7243033751666665</v>
      </c>
      <c r="G13" s="183" t="s">
        <v>644</v>
      </c>
      <c r="H13" s="184"/>
      <c r="I13" s="184"/>
      <c r="J13" s="185"/>
    </row>
    <row r="14" spans="1:16" x14ac:dyDescent="0.3">
      <c r="F14" s="181"/>
      <c r="G14" s="186"/>
      <c r="H14" s="187"/>
      <c r="I14" s="187"/>
      <c r="J14" s="188"/>
    </row>
    <row r="15" spans="1:16" ht="15" thickBot="1" x14ac:dyDescent="0.35">
      <c r="F15" s="182"/>
      <c r="G15" s="189"/>
      <c r="H15" s="190"/>
      <c r="I15" s="190"/>
      <c r="J15" s="191"/>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U4" activePane="bottomRight" state="frozen"/>
      <selection pane="topRight" activeCell="C1" sqref="C1"/>
      <selection pane="bottomLeft" activeCell="A2" sqref="A2"/>
      <selection pane="bottomRight" activeCell="W4" sqref="W4"/>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row>
    <row r="2" spans="1:76" hidden="1"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hidden="1"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751</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hidden="1"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hidden="1"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hidden="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hidden="1"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hidden="1"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hidden="1"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hidden="1"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hidden="1"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hidden="1"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hidden="1"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hidden="1"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hidden="1"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hidden="1"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hidden="1"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hidden="1"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hidden="1"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1359552+86587</f>
        <v>1446139</v>
      </c>
      <c r="W21" s="15">
        <f t="shared" si="1"/>
        <v>1446139</v>
      </c>
      <c r="X21" s="15">
        <f t="shared" si="7"/>
        <v>0</v>
      </c>
      <c r="Y21" s="15">
        <f t="shared" si="2"/>
        <v>0</v>
      </c>
      <c r="Z21" s="15">
        <f>SUM(Financials20263[[#This Row],[2026 Opportunity]:[2026 Risk]])</f>
        <v>0</v>
      </c>
      <c r="AA21" s="3" t="s">
        <v>742</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SUM(Financials20263[[#This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0</v>
      </c>
      <c r="BG21" s="71">
        <f>Financials20263[[#This Row],[May AC]]-Financials20263[[#This Row],[May FC]]</f>
        <v>-10788</v>
      </c>
      <c r="BH21" s="71">
        <f>Financials20263[[#This Row],[Jun AC]]-Financials20263[[#This Row],[Jun FC]]</f>
        <v>-120637</v>
      </c>
      <c r="BI21" s="71">
        <f>Financials20263[[#This Row],[Jul AC]]-Financials20263[[#This Row],[Jul FC]]</f>
        <v>-123837</v>
      </c>
      <c r="BJ21" s="71">
        <f>Financials20263[[#This Row],[Aug AC]]-Financials20263[[#This Row],[Aug FC]]</f>
        <v>-127037</v>
      </c>
      <c r="BK21" s="71">
        <f>Financials20263[[#This Row],[Sep AC]]-Financials20263[[#This Row],[Sep FC]]</f>
        <v>-127037</v>
      </c>
      <c r="BL21" s="71">
        <f>Financials20263[[#This Row],[Oct AC]]-Financials20263[[#This Row],[Oct FC]]</f>
        <v>-127037</v>
      </c>
      <c r="BM21" s="71">
        <f>Financials20263[[#This Row],[Nov AC]]-Financials20263[[#This Row],[Nov FC]]</f>
        <v>-127037</v>
      </c>
      <c r="BN21" s="71">
        <f>Financials20263[[#This Row],[Dec AC]]-Financials20263[[#This Row],[Dec FC]]</f>
        <v>-127037</v>
      </c>
      <c r="BO21" s="71">
        <f>SUM(Financials20263[[#This Row],[Jan Opp/Risk]:[Dec Opp./Risk]])</f>
        <v>-890447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879659</v>
      </c>
      <c r="BT21" s="6">
        <f>SUM(Financials20263[[#This Row],[Jan FC]:[May FC]])</f>
        <v>577268</v>
      </c>
      <c r="BU21" s="6">
        <f>Financials20263[[#This Row],[Jan-May Actuals]]+Financials20263[[#This Row],[Forecast Jun-Dec]]</f>
        <v>1446139</v>
      </c>
      <c r="BV21" s="6"/>
      <c r="BW21" s="6"/>
      <c r="BX21" s="6"/>
    </row>
    <row r="22" spans="1:76" hidden="1"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hidden="1"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hidden="1"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hidden="1"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hidden="1"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hidden="1"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hidden="1"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hidden="1"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hidden="1"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hidden="1"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hidden="1"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hidden="1"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hidden="1"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hidden="1"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hidden="1"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hidden="1"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hidden="1"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hidden="1"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hidden="1"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hidden="1"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hidden="1"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hidden="1"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hidden="1"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hidden="1"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hidden="1"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hidden="1"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hidden="1"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hidden="1"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hidden="1"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hidden="1"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hidden="1"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hidden="1"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hidden="1"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hidden="1"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hidden="1"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hidden="1"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hidden="1"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hidden="1"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hidden="1"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hidden="1"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hidden="1"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hidden="1"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hidden="1"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hidden="1"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hidden="1"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hidden="1"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hidden="1"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hidden="1"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hidden="1"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hidden="1"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hidden="1"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hidden="1"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hidden="1"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hidden="1"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hidden="1"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hidden="1"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hidden="1"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hidden="1"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hidden="1"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hidden="1"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hidden="1"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hidden="1"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hidden="1"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hidden="1"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hidden="1"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hidden="1"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hidden="1"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hidden="1"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hidden="1"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hidden="1"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hidden="1"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hidden="1"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hidden="1"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hidden="1"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hidden="1"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c r="BW96" s="6"/>
      <c r="BX96" s="6"/>
    </row>
    <row r="97" spans="1:76" hidden="1"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hidden="1"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hidden="1"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hidden="1"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750</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hidden="1"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hidden="1"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hidden="1"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hidden="1"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hidden="1"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hidden="1"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hidden="1"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hidden="1"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hidden="1"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hidden="1"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hidden="1"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hidden="1"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hidden="1"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hidden="1"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hidden="1"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hidden="1"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hidden="1"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746</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hidden="1"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747</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hidden="1"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hidden="1"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165000-86587</f>
        <v>78413</v>
      </c>
      <c r="W124" s="15">
        <f t="shared" si="29"/>
        <v>0</v>
      </c>
      <c r="X124" s="15">
        <f t="shared" si="33"/>
        <v>-78413</v>
      </c>
      <c r="Y124" s="15">
        <f t="shared" si="30"/>
        <v>0</v>
      </c>
      <c r="Z124" s="15">
        <f>SUM(Financials20263[[#This Row],[2026 Opportunity]:[2026 Risk]])</f>
        <v>-78413</v>
      </c>
      <c r="AA124" s="3" t="s">
        <v>745</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hidden="1"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c r="BW125" s="6"/>
      <c r="BX125" s="6"/>
    </row>
    <row r="126" spans="1:76" hidden="1"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c r="BW126" s="6"/>
      <c r="BX126" s="6"/>
    </row>
    <row r="127" spans="1:76" hidden="1"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hidden="1"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hidden="1"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744</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hidden="1"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c r="BW131" s="6"/>
      <c r="BX131" s="6"/>
    </row>
    <row r="132" spans="1:76" hidden="1"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hidden="1"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745</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hidden="1"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c r="BW135" s="6"/>
      <c r="BX135" s="6"/>
    </row>
    <row r="136" spans="1:76" hidden="1"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743</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c r="BW137" s="6"/>
      <c r="BX137" s="6"/>
    </row>
    <row r="138" spans="1:76" hidden="1"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c r="BW138" s="6"/>
      <c r="BX138" s="6"/>
    </row>
    <row r="139" spans="1:76" hidden="1"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hidden="1"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hidden="1"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hidden="1"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749</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hidden="1"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hidden="1"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hidden="1"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hidden="1"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row>
    <row r="148" spans="1:76" hidden="1"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row>
    <row r="149" spans="1:76" ht="43.2"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95" t="s">
        <v>748</v>
      </c>
      <c r="AB149" s="54"/>
      <c r="AC149" s="54"/>
      <c r="AD149" s="54"/>
      <c r="AE149" s="54"/>
      <c r="AF149" s="54"/>
      <c r="AG149" s="54"/>
      <c r="AH149" s="54"/>
      <c r="AI149" s="54"/>
      <c r="AJ149" s="54"/>
      <c r="AK149" s="54"/>
      <c r="AL149" s="192">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row>
    <row r="150" spans="1:76" ht="57.6" hidden="1"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SUBTOTAL(9,T2:T151)</f>
        <v>2180975</v>
      </c>
      <c r="U152" s="110">
        <f>SUBTOTAL(9,U2:U151)</f>
        <v>2815591</v>
      </c>
      <c r="V152" s="110">
        <f>SUBTOTAL(9,V2:V151)</f>
        <v>4059609</v>
      </c>
      <c r="W152" s="110">
        <f>SUBTOTAL(9,W2:W151)</f>
        <v>3886066.0100000002</v>
      </c>
      <c r="X152" s="110">
        <f>SUBTOTAL(9,X2:X151)</f>
        <v>-260262.9899999997</v>
      </c>
      <c r="Y152" s="110">
        <f>SUBTOTAL(9,Y2:Y151)</f>
        <v>86720</v>
      </c>
      <c r="Z152" s="110">
        <f>SUBTOTAL(9,Z2:Z151)</f>
        <v>-173542.9899999997</v>
      </c>
      <c r="AA152" s="110">
        <f>SUBTOTAL(9,AA2:AA151)</f>
        <v>0</v>
      </c>
      <c r="AB152" s="110">
        <f>SUBTOTAL(9,AB2:AB151)</f>
        <v>244643.76750000002</v>
      </c>
      <c r="AC152" s="110">
        <f>SUBTOTAL(9,AC2:AC151)</f>
        <v>240858.18750000003</v>
      </c>
      <c r="AD152" s="110">
        <f>SUBTOTAL(9,AD2:AD151)</f>
        <v>249587.40750000003</v>
      </c>
      <c r="AE152" s="110">
        <f>SUBTOTAL(9,AE2:AE151)</f>
        <v>258720.21750000003</v>
      </c>
      <c r="AF152" s="110">
        <f>SUBTOTAL(9,AF2:AF151)</f>
        <v>267927.35750000004</v>
      </c>
      <c r="AG152" s="110">
        <f>SUBTOTAL(9,AG2:AG151)</f>
        <v>240799.21750000003</v>
      </c>
      <c r="AH152" s="110">
        <f>SUBTOTAL(9,AH2:AH151)</f>
        <v>345119.21750000003</v>
      </c>
      <c r="AI152" s="110">
        <f>SUBTOTAL(9,AI2:AI151)</f>
        <v>348319.21750000003</v>
      </c>
      <c r="AJ152" s="110">
        <f>SUBTOTAL(9,AJ2:AJ151)</f>
        <v>348319.21750000003</v>
      </c>
      <c r="AK152" s="110">
        <f>SUBTOTAL(9,AK2:AK151)</f>
        <v>348319.21750000003</v>
      </c>
      <c r="AL152" s="110">
        <f>SUBTOTAL(9,AL2:AL151)</f>
        <v>428319.21750000003</v>
      </c>
      <c r="AM152" s="110">
        <f>SUBTOTAL(9,AM2:AM151)</f>
        <v>555223.21750000003</v>
      </c>
      <c r="AN152" s="110">
        <f>SUBTOTAL(9,AN2:AN151)</f>
        <v>3876155.4600000004</v>
      </c>
      <c r="AO152" s="110">
        <f>SUBTOTAL(9,AO2:AO151)</f>
        <v>2614418.5225</v>
      </c>
      <c r="AP152" s="110">
        <f>SUBTOTAL(9,AP2:AP151)</f>
        <v>244643.76750000002</v>
      </c>
      <c r="AQ152" s="110">
        <f>SUBTOTAL(9,AQ2:AQ151)</f>
        <v>240858.18750000003</v>
      </c>
      <c r="AR152" s="110">
        <f>SUBTOTAL(9,AR2:AR151)</f>
        <v>261471.64750000002</v>
      </c>
      <c r="AS152" s="110">
        <f>SUBTOTAL(9,AS2:AS151)</f>
        <v>267534.52750000003</v>
      </c>
      <c r="AT152" s="110">
        <f>SUBTOTAL(9,AT2:AT151)</f>
        <v>257139.35750000004</v>
      </c>
      <c r="AU152" s="110">
        <f>SUBTOTAL(9,AU2:AU151)</f>
        <v>127926.99750000003</v>
      </c>
      <c r="AV152" s="110">
        <f>SUBTOTAL(9,AV2:AV151)</f>
        <v>120162.21750000003</v>
      </c>
      <c r="AW152" s="110">
        <f>SUBTOTAL(9,AW2:AW151)</f>
        <v>120162.21750000003</v>
      </c>
      <c r="AX152" s="110">
        <f>SUBTOTAL(9,AX2:AX151)</f>
        <v>120162.21750000003</v>
      </c>
      <c r="AY152" s="110">
        <f>SUBTOTAL(9,AY2:AY151)</f>
        <v>120162.21750000003</v>
      </c>
      <c r="AZ152" s="110">
        <f>SUBTOTAL(9,AZ2:AZ151)</f>
        <v>120162.21750000003</v>
      </c>
      <c r="BA152" s="110">
        <f>SUBTOTAL(9,BA2:BA151)</f>
        <v>120162.21750000003</v>
      </c>
      <c r="BB152" s="110">
        <f>SUBTOTAL(9,BB2:BB151)</f>
        <v>2120547.7900000005</v>
      </c>
      <c r="BC152" s="110">
        <f>SUBTOTAL(9,BC2:BC151)</f>
        <v>0</v>
      </c>
      <c r="BD152" s="110">
        <f>SUBTOTAL(9,BD2:BD151)</f>
        <v>0</v>
      </c>
      <c r="BE152" s="110">
        <f>SUBTOTAL(9,BE2:BE151)</f>
        <v>11884.240000000002</v>
      </c>
      <c r="BF152" s="110">
        <f>SUBTOTAL(9,BF2:BF151)</f>
        <v>8814.31</v>
      </c>
      <c r="BG152" s="110">
        <f>SUBTOTAL(9,BG2:BG151)</f>
        <v>-10788</v>
      </c>
      <c r="BH152" s="110">
        <f>SUBTOTAL(9,BH2:BH151)</f>
        <v>-112872.22</v>
      </c>
      <c r="BI152" s="110">
        <f>SUBTOTAL(9,BI2:BI151)</f>
        <v>-224957</v>
      </c>
      <c r="BJ152" s="110">
        <f>SUBTOTAL(9,BJ2:BJ151)</f>
        <v>-228157</v>
      </c>
      <c r="BK152" s="110">
        <f>SUBTOTAL(9,BK2:BK151)</f>
        <v>-228157</v>
      </c>
      <c r="BL152" s="110">
        <f>SUBTOTAL(9,BL2:BL151)</f>
        <v>-228157</v>
      </c>
      <c r="BM152" s="110">
        <f>SUBTOTAL(9,BM2:BM151)</f>
        <v>-308157</v>
      </c>
      <c r="BN152" s="110">
        <f>SUBTOTAL(9,BN2:BN151)</f>
        <v>-435061</v>
      </c>
      <c r="BO152" s="110">
        <f>SUBTOTAL(9,BO2:BO151)</f>
        <v>-1755607.67</v>
      </c>
      <c r="BP152" s="110">
        <f>SUBTOTAL(9,BP2:BP151)</f>
        <v>0</v>
      </c>
      <c r="BQ152" s="110">
        <f>SUBTOTAL(9,BQ2:BQ151)</f>
        <v>1271647.4875</v>
      </c>
    </row>
    <row r="153" spans="1:76" x14ac:dyDescent="0.3">
      <c r="V153" s="6">
        <f>V152-V21-V101+W153+W154</f>
        <v>1456039</v>
      </c>
      <c r="W153" s="6">
        <f>-U21+V21</f>
        <v>86587</v>
      </c>
      <c r="X153" s="6">
        <f>X4+50000</f>
        <v>20221.849999999977</v>
      </c>
    </row>
    <row r="154" spans="1:76" x14ac:dyDescent="0.3">
      <c r="T154" s="6"/>
      <c r="U154" s="135"/>
      <c r="V154" s="139"/>
      <c r="W154" s="6">
        <v>197929</v>
      </c>
      <c r="AG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9"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8"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48"/>
  <sheetViews>
    <sheetView tabSelected="1" workbookViewId="0">
      <pane xSplit="1" ySplit="2" topLeftCell="F3" activePane="bottomRight" state="frozen"/>
      <selection pane="topRight" activeCell="B1" sqref="B1"/>
      <selection pane="bottomLeft" activeCell="A3" sqref="A3"/>
      <selection pane="bottomRight" activeCell="K4" sqref="K4:K7"/>
    </sheetView>
  </sheetViews>
  <sheetFormatPr defaultRowHeight="14.4" x14ac:dyDescent="0.3"/>
  <cols>
    <col min="1" max="1" width="15.5546875" bestFit="1" customWidth="1"/>
    <col min="2" max="2" width="15.44140625" bestFit="1" customWidth="1"/>
    <col min="3" max="3" width="23.6640625" bestFit="1" customWidth="1"/>
    <col min="4" max="4" width="21.88671875" bestFit="1" customWidth="1"/>
    <col min="5" max="5" width="20.44140625" bestFit="1" customWidth="1"/>
    <col min="6" max="6" width="21.44140625" bestFit="1" customWidth="1"/>
    <col min="7" max="7" width="21.77734375" bestFit="1" customWidth="1"/>
    <col min="8" max="8" width="13.44140625" bestFit="1" customWidth="1"/>
    <col min="9" max="9" width="17.88671875" bestFit="1" customWidth="1"/>
    <col min="10" max="10" width="12.33203125" bestFit="1" customWidth="1"/>
    <col min="11" max="13" width="12.77734375" bestFit="1" customWidth="1"/>
    <col min="14" max="14" width="12.77734375" customWidth="1"/>
    <col min="15" max="15" width="19" bestFit="1" customWidth="1"/>
    <col min="16" max="16" width="20" bestFit="1" customWidth="1"/>
  </cols>
  <sheetData>
    <row r="1" spans="1:14" x14ac:dyDescent="0.3">
      <c r="A1" s="8" t="s">
        <v>42</v>
      </c>
      <c r="B1" t="s">
        <v>43</v>
      </c>
      <c r="I1" s="193">
        <v>-1992171</v>
      </c>
      <c r="J1" s="193">
        <v>-2037600</v>
      </c>
      <c r="K1" s="194">
        <f>I1-J1</f>
        <v>45429</v>
      </c>
    </row>
    <row r="2" spans="1:14" x14ac:dyDescent="0.3">
      <c r="I2" s="193">
        <v>65695.403333333335</v>
      </c>
      <c r="J2" s="193">
        <v>86394.403333333335</v>
      </c>
      <c r="K2" s="194">
        <f t="shared" ref="K2:K7" si="0">I2-J2</f>
        <v>-20699</v>
      </c>
    </row>
    <row r="3" spans="1:14" x14ac:dyDescent="0.3">
      <c r="D3" s="8" t="s">
        <v>488</v>
      </c>
      <c r="I3" s="193">
        <v>-29463.452433332935</v>
      </c>
      <c r="J3" s="193">
        <v>-29463.452433332935</v>
      </c>
      <c r="K3" s="193">
        <f t="shared" si="0"/>
        <v>0</v>
      </c>
    </row>
    <row r="4" spans="1:14" x14ac:dyDescent="0.3">
      <c r="A4" s="8" t="s">
        <v>47</v>
      </c>
      <c r="B4" s="8" t="s">
        <v>54</v>
      </c>
      <c r="C4" s="8" t="s">
        <v>55</v>
      </c>
      <c r="D4" t="s">
        <v>0</v>
      </c>
      <c r="E4" t="s">
        <v>740</v>
      </c>
      <c r="F4" t="s">
        <v>741</v>
      </c>
      <c r="G4" t="s">
        <v>481</v>
      </c>
      <c r="I4" s="193">
        <v>1355855.92</v>
      </c>
      <c r="J4" s="193">
        <v>1875855.92</v>
      </c>
      <c r="K4" s="193">
        <f t="shared" si="0"/>
        <v>-520000</v>
      </c>
    </row>
    <row r="5" spans="1:14" x14ac:dyDescent="0.3">
      <c r="A5" t="s">
        <v>2</v>
      </c>
      <c r="D5" s="142">
        <v>3678567</v>
      </c>
      <c r="E5" s="142">
        <v>810000</v>
      </c>
      <c r="F5" s="142">
        <v>876396</v>
      </c>
      <c r="G5" s="142">
        <v>-1992171</v>
      </c>
      <c r="I5" s="193">
        <v>-13128.529999999999</v>
      </c>
      <c r="J5" s="193">
        <v>251871.47</v>
      </c>
      <c r="K5" s="193">
        <f t="shared" si="0"/>
        <v>-265000</v>
      </c>
      <c r="N5" s="97"/>
    </row>
    <row r="6" spans="1:14" x14ac:dyDescent="0.3">
      <c r="A6" t="s">
        <v>3</v>
      </c>
      <c r="D6" s="142">
        <v>116236</v>
      </c>
      <c r="E6" s="142">
        <v>22943.070000000003</v>
      </c>
      <c r="F6" s="142">
        <v>158988.33333333334</v>
      </c>
      <c r="G6" s="142">
        <v>65695.403333333335</v>
      </c>
      <c r="I6" s="193">
        <v>-15709.779999999697</v>
      </c>
      <c r="J6" s="193">
        <v>161997.22000000029</v>
      </c>
      <c r="K6" s="196">
        <f t="shared" si="0"/>
        <v>-177707</v>
      </c>
      <c r="N6" s="97"/>
    </row>
    <row r="7" spans="1:14" x14ac:dyDescent="0.3">
      <c r="A7" t="s">
        <v>4</v>
      </c>
      <c r="D7" s="142">
        <v>8342615.0750000002</v>
      </c>
      <c r="E7" s="142">
        <v>3370691.2058999995</v>
      </c>
      <c r="F7" s="142">
        <v>4942460.416666667</v>
      </c>
      <c r="G7" s="142">
        <v>-29463.452433332935</v>
      </c>
      <c r="I7" s="193">
        <f>SUM(I1:I6)</f>
        <v>-628921.43909999949</v>
      </c>
      <c r="J7" s="193">
        <f>SUM(J1:J6)</f>
        <v>309055.56090000051</v>
      </c>
      <c r="K7" s="193">
        <f t="shared" si="0"/>
        <v>-937977</v>
      </c>
      <c r="N7" s="97"/>
    </row>
    <row r="8" spans="1:14" x14ac:dyDescent="0.3">
      <c r="A8" t="s">
        <v>46</v>
      </c>
      <c r="D8" s="142">
        <v>7271840</v>
      </c>
      <c r="E8" s="142">
        <v>3223135.92</v>
      </c>
      <c r="F8" s="142">
        <v>5404560</v>
      </c>
      <c r="G8" s="142">
        <v>1355855.92</v>
      </c>
      <c r="N8" s="97"/>
    </row>
    <row r="9" spans="1:14" x14ac:dyDescent="0.3">
      <c r="A9" t="s">
        <v>5</v>
      </c>
      <c r="D9" s="142">
        <v>2751491.34</v>
      </c>
      <c r="E9" s="142">
        <v>1131259.55</v>
      </c>
      <c r="F9" s="142">
        <v>1607103.26</v>
      </c>
      <c r="G9" s="142">
        <v>-13128.529999999999</v>
      </c>
      <c r="N9" s="97"/>
    </row>
    <row r="10" spans="1:14" x14ac:dyDescent="0.3">
      <c r="A10" t="s">
        <v>6</v>
      </c>
      <c r="D10" s="142">
        <v>2229219</v>
      </c>
      <c r="E10" s="142">
        <v>752346.37750000018</v>
      </c>
      <c r="F10" s="142">
        <v>1461162.8425000003</v>
      </c>
      <c r="G10" s="142">
        <v>-15709.779999999697</v>
      </c>
      <c r="N10" s="97"/>
    </row>
    <row r="11" spans="1:14" x14ac:dyDescent="0.3">
      <c r="A11" t="s">
        <v>7</v>
      </c>
      <c r="D11" s="142">
        <v>20398429.54115</v>
      </c>
      <c r="E11" s="142">
        <v>8134460.5133333355</v>
      </c>
      <c r="F11" s="142">
        <v>13342532.644333337</v>
      </c>
      <c r="G11" s="142">
        <v>1078563.616516666</v>
      </c>
      <c r="N11" s="97"/>
    </row>
    <row r="12" spans="1:14" x14ac:dyDescent="0.3">
      <c r="A12" t="s">
        <v>8</v>
      </c>
      <c r="D12" s="142">
        <v>44788397.956149995</v>
      </c>
      <c r="E12" s="142">
        <v>17444836.636733335</v>
      </c>
      <c r="F12" s="142">
        <v>27793203.496833336</v>
      </c>
      <c r="G12" s="142">
        <v>449642.17741666653</v>
      </c>
      <c r="N12" s="97"/>
    </row>
    <row r="13" spans="1:14" ht="14.4" customHeight="1" x14ac:dyDescent="0.3">
      <c r="N13" s="97"/>
    </row>
    <row r="14" spans="1:14" x14ac:dyDescent="0.3">
      <c r="N14" s="97"/>
    </row>
    <row r="15" spans="1:14" x14ac:dyDescent="0.3">
      <c r="N15" s="97"/>
    </row>
    <row r="16" spans="1:14" x14ac:dyDescent="0.3">
      <c r="N16" s="97"/>
    </row>
    <row r="17" spans="14:14" x14ac:dyDescent="0.3">
      <c r="N17" s="97"/>
    </row>
    <row r="18" spans="14:14" x14ac:dyDescent="0.3">
      <c r="N18" s="97"/>
    </row>
    <row r="19" spans="14:14" x14ac:dyDescent="0.3">
      <c r="N19" s="97"/>
    </row>
    <row r="20" spans="14:14" x14ac:dyDescent="0.3">
      <c r="N20" s="97"/>
    </row>
    <row r="21" spans="14:14" x14ac:dyDescent="0.3">
      <c r="N21" s="97"/>
    </row>
    <row r="22" spans="14:14" x14ac:dyDescent="0.3">
      <c r="N22" s="97"/>
    </row>
    <row r="23" spans="14:14" x14ac:dyDescent="0.3">
      <c r="N23" s="97"/>
    </row>
    <row r="24" spans="14:14" x14ac:dyDescent="0.3">
      <c r="N24" s="97"/>
    </row>
    <row r="25" spans="14:14" x14ac:dyDescent="0.3">
      <c r="N25" s="97"/>
    </row>
    <row r="26" spans="14:14" x14ac:dyDescent="0.3">
      <c r="N26" s="97"/>
    </row>
    <row r="27" spans="14:14" x14ac:dyDescent="0.3">
      <c r="N27" s="97"/>
    </row>
    <row r="28" spans="14:14" x14ac:dyDescent="0.3">
      <c r="N28" s="97"/>
    </row>
    <row r="29" spans="14:14" x14ac:dyDescent="0.3">
      <c r="N29" s="97"/>
    </row>
    <row r="30" spans="14:14" x14ac:dyDescent="0.3">
      <c r="N30" s="97"/>
    </row>
    <row r="31" spans="14:14" x14ac:dyDescent="0.3">
      <c r="N31" s="97"/>
    </row>
    <row r="32" spans="14:14" x14ac:dyDescent="0.3">
      <c r="N32" s="97"/>
    </row>
    <row r="33" spans="14:14" x14ac:dyDescent="0.3">
      <c r="N33" s="97"/>
    </row>
    <row r="34" spans="14:14" x14ac:dyDescent="0.3">
      <c r="N34" s="97"/>
    </row>
    <row r="35" spans="14:14" x14ac:dyDescent="0.3">
      <c r="N35" s="97"/>
    </row>
    <row r="36" spans="14:14" x14ac:dyDescent="0.3">
      <c r="N36" s="97"/>
    </row>
    <row r="37" spans="14:14" x14ac:dyDescent="0.3">
      <c r="N37" s="97"/>
    </row>
    <row r="38" spans="14:14" x14ac:dyDescent="0.3">
      <c r="N38" s="97"/>
    </row>
    <row r="39" spans="14:14" x14ac:dyDescent="0.3">
      <c r="N39" s="97"/>
    </row>
    <row r="40" spans="14:14" x14ac:dyDescent="0.3">
      <c r="N40" s="97"/>
    </row>
    <row r="41" spans="14:14" x14ac:dyDescent="0.3">
      <c r="N41" s="97"/>
    </row>
    <row r="42" spans="14:14" x14ac:dyDescent="0.3">
      <c r="N42" s="97"/>
    </row>
    <row r="43" spans="14:14" x14ac:dyDescent="0.3">
      <c r="N43" s="97"/>
    </row>
    <row r="44" spans="14:14" x14ac:dyDescent="0.3">
      <c r="N44" s="97"/>
    </row>
    <row r="45" spans="14:14" x14ac:dyDescent="0.3">
      <c r="N45" s="97"/>
    </row>
    <row r="46" spans="14:14" x14ac:dyDescent="0.3">
      <c r="N46" s="97"/>
    </row>
    <row r="47" spans="14:14" x14ac:dyDescent="0.3">
      <c r="N47" s="97"/>
    </row>
    <row r="48" spans="14: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ANTARESITDMO-1057074058-8543</_dlc_DocId>
    <_dlc_DocIdUrl xmlns="26d0a970-2ab3-49ef-b4d7-820ab6496716">
      <Url>https://antarescap.sharepoint.com/sites/AntaresITDemo/IT Internal/TechPMO/_layouts/15/DocIdRedir.aspx?ID=ANTARESITDMO-1057074058-8543</Url>
      <Description>ANTARESITDMO-1057074058-8543</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26d0a970-2ab3-49ef-b4d7-820ab6496716"/>
    <ds:schemaRef ds:uri="http://purl.org/dc/dcmitype/"/>
    <ds:schemaRef ds:uri="http://schemas.microsoft.com/office/infopath/2007/PartnerControls"/>
    <ds:schemaRef ds:uri="http://schemas.microsoft.com/office/2006/documentManagement/types"/>
    <ds:schemaRef ds:uri="http://schemas.openxmlformats.org/package/2006/metadata/core-properties"/>
    <ds:schemaRef ds:uri="http://purl.org/dc/terms/"/>
    <ds:schemaRef ds:uri="http://purl.org/dc/elements/1.1/"/>
    <ds:schemaRef ds:uri="c391786d-2ce2-4ee1-838b-63fe54a71a4e"/>
    <ds:schemaRef ds:uri="http://schemas.microsoft.com/office/2006/metadata/properties"/>
    <ds:schemaRef ds:uri="http://www.w3.org/XML/1998/namespac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2026-06-29T18:00:49Z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0440bea9-5fbc-4434-b6f0-aa4933c1a2c9</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