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5334" documentId="13_ncr:1_{426F5FC8-F844-4A01-A453-32D26D6BF516}" xr6:coauthVersionLast="47" xr6:coauthVersionMax="47" xr10:uidLastSave="{A34D10E9-7334-4E0C-9649-4474BDCBF2F1}"/>
  <bookViews>
    <workbookView xWindow="-108" yWindow="-108" windowWidth="23256" windowHeight="13896"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91"/>
    <pivotCache cacheId="1"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6" i="3" l="1"/>
  <c r="K33" i="3"/>
  <c r="BC33" i="3"/>
  <c r="AO33" i="3"/>
  <c r="W33" i="3" s="1"/>
  <c r="BK33" i="3"/>
  <c r="AN33" i="3"/>
  <c r="BB33" i="3"/>
  <c r="BD33" i="3"/>
  <c r="BE33" i="3"/>
  <c r="BF33" i="3"/>
  <c r="BH33" i="3"/>
  <c r="BI33" i="3"/>
  <c r="BJ33" i="3"/>
  <c r="BL33" i="3"/>
  <c r="BM33" i="3"/>
  <c r="BN33" i="3"/>
  <c r="BQ33" i="3"/>
  <c r="AM31" i="3"/>
  <c r="AL31" i="3"/>
  <c r="AK31" i="3"/>
  <c r="AJ31" i="3"/>
  <c r="AI31" i="3"/>
  <c r="AH31" i="3"/>
  <c r="AF31" i="3"/>
  <c r="AG31" i="3"/>
  <c r="AI89" i="3"/>
  <c r="Y33" i="3" l="1"/>
  <c r="X33" i="3"/>
  <c r="BG33" i="3"/>
  <c r="BO33" i="3" s="1"/>
  <c r="AM59" i="3"/>
  <c r="AL59" i="3"/>
  <c r="AK59" i="3"/>
  <c r="AJ59" i="3"/>
  <c r="AI59" i="3"/>
  <c r="AH59" i="3"/>
  <c r="AG59" i="3"/>
  <c r="AM3" i="3"/>
  <c r="AL3" i="3"/>
  <c r="AK3" i="3"/>
  <c r="AJ3" i="3"/>
  <c r="AI3" i="3"/>
  <c r="AH3" i="3"/>
  <c r="AG3" i="3"/>
  <c r="AM2" i="3"/>
  <c r="AL2" i="3"/>
  <c r="AK2" i="3"/>
  <c r="AJ2" i="3"/>
  <c r="AI2" i="3"/>
  <c r="AH2" i="3"/>
  <c r="AG2" i="3"/>
  <c r="AM94" i="3"/>
  <c r="AL94" i="3"/>
  <c r="AK94" i="3"/>
  <c r="AJ94" i="3"/>
  <c r="AI94" i="3"/>
  <c r="AH94" i="3"/>
  <c r="AG94" i="3"/>
  <c r="T150" i="3"/>
  <c r="U150" i="3"/>
  <c r="Z33" i="3" l="1"/>
  <c r="AQ102" i="3"/>
  <c r="AR102" i="3"/>
  <c r="AS102" i="3"/>
  <c r="AT102" i="3"/>
  <c r="AU102" i="3"/>
  <c r="AV102" i="3"/>
  <c r="AW102" i="3"/>
  <c r="AX102" i="3"/>
  <c r="AY102" i="3"/>
  <c r="AZ102" i="3"/>
  <c r="BA102" i="3"/>
  <c r="AP102" i="3"/>
  <c r="AC102" i="3"/>
  <c r="AD102" i="3"/>
  <c r="AE102" i="3"/>
  <c r="AF102" i="3"/>
  <c r="AG102" i="3"/>
  <c r="AH102" i="3"/>
  <c r="AI102" i="3"/>
  <c r="AJ102" i="3"/>
  <c r="AK102" i="3"/>
  <c r="AL102" i="3"/>
  <c r="AM102" i="3"/>
  <c r="AB102" i="3"/>
  <c r="K127" i="3" l="1"/>
  <c r="AN127" i="3"/>
  <c r="AO127" i="3"/>
  <c r="W127" i="3" s="1"/>
  <c r="X127" i="3" s="1"/>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I25" i="3"/>
  <c r="AJ25" i="3"/>
  <c r="AK25" i="3"/>
  <c r="AL25" i="3"/>
  <c r="AM25" i="3"/>
  <c r="AG25" i="3"/>
  <c r="AH24" i="3"/>
  <c r="AI24" i="3"/>
  <c r="AJ24" i="3"/>
  <c r="AK24" i="3"/>
  <c r="AL24" i="3"/>
  <c r="AM24" i="3"/>
  <c r="AG24" i="3"/>
  <c r="BO127" i="3" l="1"/>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M44" i="3"/>
  <c r="AT34" i="3"/>
  <c r="AT11" i="3"/>
  <c r="AN10" i="87" l="1"/>
  <c r="W6" i="87"/>
  <c r="AO10" i="87"/>
  <c r="W5" i="87"/>
  <c r="Y4" i="87"/>
  <c r="X4" i="87"/>
  <c r="Y7" i="87"/>
  <c r="Z7" i="87" s="1"/>
  <c r="Y3" i="87"/>
  <c r="Z3" i="87" s="1"/>
  <c r="W10" i="87" l="1"/>
  <c r="Y6" i="87"/>
  <c r="X6" i="87"/>
  <c r="X5" i="87"/>
  <c r="Y5" i="87"/>
  <c r="Z4" i="87"/>
  <c r="AN2" i="87"/>
  <c r="AO2" i="87"/>
  <c r="BP150" i="3"/>
  <c r="AT51" i="3"/>
  <c r="AM92" i="3"/>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F13" i="83"/>
  <c r="AQ93" i="3" l="1"/>
  <c r="AR93" i="3"/>
  <c r="AP93" i="3"/>
  <c r="BQ93" i="3" s="1"/>
  <c r="AT93" i="3"/>
  <c r="AU93" i="3"/>
  <c r="AS93" i="3"/>
  <c r="AM8" i="3" l="1"/>
  <c r="AS34" i="3" l="1"/>
  <c r="AR34" i="3" l="1"/>
  <c r="AS41" i="3"/>
  <c r="AS118" i="3"/>
  <c r="AP103" i="3"/>
  <c r="BQ103" i="3" s="1"/>
  <c r="AQ103" i="3"/>
  <c r="AR103" i="3"/>
  <c r="AE92" i="3"/>
  <c r="AS92" i="3"/>
  <c r="AM40" i="3"/>
  <c r="AF40" i="3"/>
  <c r="AE40" i="3"/>
  <c r="AE107" i="3" l="1"/>
  <c r="AM4" i="3"/>
  <c r="AE4" i="3"/>
  <c r="AA150" i="3"/>
  <c r="BR149" i="3"/>
  <c r="AO5" i="3"/>
  <c r="W5" i="3" s="1"/>
  <c r="AO6" i="3"/>
  <c r="W6" i="3" s="1"/>
  <c r="AO7" i="3"/>
  <c r="W7" i="3" s="1"/>
  <c r="AO8" i="3"/>
  <c r="W8" i="3" s="1"/>
  <c r="AO10" i="3"/>
  <c r="W10" i="3" s="1"/>
  <c r="AO13" i="3"/>
  <c r="W13" i="3" s="1"/>
  <c r="AO14" i="3"/>
  <c r="W14" i="3" s="1"/>
  <c r="AO15" i="3"/>
  <c r="W15" i="3" s="1"/>
  <c r="AO16" i="3"/>
  <c r="W16" i="3" s="1"/>
  <c r="AO17" i="3"/>
  <c r="W17" i="3" s="1"/>
  <c r="AO18" i="3"/>
  <c r="W18" i="3" s="1"/>
  <c r="AO19" i="3"/>
  <c r="W19" i="3" s="1"/>
  <c r="AO20" i="3"/>
  <c r="W20" i="3" s="1"/>
  <c r="AO21" i="3"/>
  <c r="W21" i="3" s="1"/>
  <c r="AO22" i="3"/>
  <c r="W22" i="3" s="1"/>
  <c r="AO24" i="3"/>
  <c r="AO27" i="3"/>
  <c r="W27" i="3" s="1"/>
  <c r="AO28" i="3"/>
  <c r="W28" i="3" s="1"/>
  <c r="AO34" i="3"/>
  <c r="AO35" i="3"/>
  <c r="AO36" i="3"/>
  <c r="AO44" i="3"/>
  <c r="W44" i="3" s="1"/>
  <c r="AO45" i="3"/>
  <c r="W45" i="3" s="1"/>
  <c r="AO46" i="3"/>
  <c r="W46" i="3" s="1"/>
  <c r="AO47" i="3"/>
  <c r="W47" i="3" s="1"/>
  <c r="AO48" i="3"/>
  <c r="W48" i="3" s="1"/>
  <c r="AO49" i="3"/>
  <c r="W49" i="3" s="1"/>
  <c r="AO50" i="3"/>
  <c r="W50" i="3" s="1"/>
  <c r="AO51" i="3"/>
  <c r="W51" i="3" s="1"/>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6" i="3"/>
  <c r="W86" i="3" s="1"/>
  <c r="AO87" i="3"/>
  <c r="AO88" i="3"/>
  <c r="W88" i="3" s="1"/>
  <c r="AO89" i="3"/>
  <c r="W89" i="3" s="1"/>
  <c r="AO90" i="3"/>
  <c r="W90" i="3" s="1"/>
  <c r="AO91" i="3"/>
  <c r="W91" i="3" s="1"/>
  <c r="AO95" i="3"/>
  <c r="W95" i="3" s="1"/>
  <c r="AO96" i="3"/>
  <c r="W96" i="3" s="1"/>
  <c r="AO97" i="3"/>
  <c r="W97" i="3" s="1"/>
  <c r="AO102" i="3"/>
  <c r="W102" i="3" s="1"/>
  <c r="AO103" i="3"/>
  <c r="W103" i="3" s="1"/>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4" i="3"/>
  <c r="W124" i="3" s="1"/>
  <c r="AO125" i="3"/>
  <c r="W125" i="3" s="1"/>
  <c r="AO126" i="3"/>
  <c r="W126"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3" i="3"/>
  <c r="W143" i="3" s="1"/>
  <c r="AO144" i="3"/>
  <c r="W144" i="3" s="1"/>
  <c r="AO145" i="3"/>
  <c r="W145" i="3" s="1"/>
  <c r="AO146" i="3"/>
  <c r="W146" i="3" s="1"/>
  <c r="AO147" i="3"/>
  <c r="W147" i="3" s="1"/>
  <c r="AO148" i="3"/>
  <c r="W148" i="3" s="1"/>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H92" i="86" s="1"/>
  <c r="G80" i="86"/>
  <c r="F80" i="86"/>
  <c r="E80" i="86"/>
  <c r="I71" i="86"/>
  <c r="H71" i="86"/>
  <c r="G71" i="86"/>
  <c r="F71" i="86"/>
  <c r="E71" i="86"/>
  <c r="I69" i="86"/>
  <c r="H69" i="86"/>
  <c r="G69" i="86"/>
  <c r="F69" i="86"/>
  <c r="E69" i="86"/>
  <c r="I66" i="86"/>
  <c r="H66" i="86"/>
  <c r="G66" i="86"/>
  <c r="F66" i="86"/>
  <c r="E66" i="86"/>
  <c r="I64" i="86"/>
  <c r="H64" i="86"/>
  <c r="G64" i="86"/>
  <c r="F64" i="86"/>
  <c r="E64" i="86"/>
  <c r="I62" i="86"/>
  <c r="I72" i="86" s="1"/>
  <c r="H62" i="86"/>
  <c r="G62" i="86"/>
  <c r="F62" i="86"/>
  <c r="E62" i="86"/>
  <c r="E72" i="86" s="1"/>
  <c r="I57" i="86"/>
  <c r="H57" i="86"/>
  <c r="G57" i="86"/>
  <c r="F57" i="86"/>
  <c r="E57" i="86"/>
  <c r="I53" i="86"/>
  <c r="H53" i="86"/>
  <c r="G53" i="86"/>
  <c r="F53" i="86"/>
  <c r="E53" i="86"/>
  <c r="I51" i="86"/>
  <c r="H51" i="86"/>
  <c r="G51" i="86"/>
  <c r="F51" i="86"/>
  <c r="E51" i="86"/>
  <c r="I48" i="86"/>
  <c r="I58" i="86" s="1"/>
  <c r="H48" i="86"/>
  <c r="G48" i="86"/>
  <c r="F48" i="86"/>
  <c r="E48" i="86"/>
  <c r="E58" i="86" s="1"/>
  <c r="I46" i="86"/>
  <c r="H46" i="86"/>
  <c r="G46" i="86"/>
  <c r="F46" i="86"/>
  <c r="F58" i="86" s="1"/>
  <c r="E46" i="86"/>
  <c r="I40" i="86"/>
  <c r="H40" i="86"/>
  <c r="G40" i="86"/>
  <c r="F40" i="86"/>
  <c r="E40" i="86"/>
  <c r="I37" i="86"/>
  <c r="I41" i="86" s="1"/>
  <c r="H37" i="86"/>
  <c r="G37" i="86"/>
  <c r="F37" i="86"/>
  <c r="E37" i="86"/>
  <c r="E41" i="86" s="1"/>
  <c r="I19" i="86"/>
  <c r="H19" i="86"/>
  <c r="G19" i="86"/>
  <c r="F19" i="86"/>
  <c r="E19" i="86"/>
  <c r="I16" i="86"/>
  <c r="H16" i="86"/>
  <c r="G16" i="86"/>
  <c r="F16" i="86"/>
  <c r="F20" i="86" s="1"/>
  <c r="E16" i="86"/>
  <c r="I13" i="86"/>
  <c r="H13" i="86"/>
  <c r="G13" i="86"/>
  <c r="F13" i="86"/>
  <c r="E13" i="86"/>
  <c r="I10" i="86"/>
  <c r="H10" i="86"/>
  <c r="G10" i="86"/>
  <c r="F10" i="86"/>
  <c r="E10" i="86"/>
  <c r="I8" i="86"/>
  <c r="H8" i="86"/>
  <c r="G8" i="86"/>
  <c r="F8" i="86"/>
  <c r="E8" i="86"/>
  <c r="I4" i="86"/>
  <c r="H4" i="86"/>
  <c r="G4" i="86"/>
  <c r="F4" i="86"/>
  <c r="F14" i="86" s="1"/>
  <c r="E4" i="86"/>
  <c r="G14" i="86" l="1"/>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l="1"/>
  <c r="BQ24" i="3"/>
  <c r="V24" i="3"/>
  <c r="V150" i="3" s="1"/>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BH26" i="3" s="1"/>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B98" i="3"/>
  <c r="AS105" i="3"/>
  <c r="BQ105" i="3" s="1"/>
  <c r="AO98" i="3" l="1"/>
  <c r="W98" i="3" s="1"/>
  <c r="AO31" i="3"/>
  <c r="W31" i="3" s="1"/>
  <c r="AO32" i="3"/>
  <c r="W32" i="3" s="1"/>
  <c r="AO25" i="3"/>
  <c r="W25" i="3" s="1"/>
  <c r="AO23" i="3"/>
  <c r="W23" i="3" s="1"/>
  <c r="AO29" i="3"/>
  <c r="AO30" i="3"/>
  <c r="W30" i="3" s="1"/>
  <c r="BG26" i="3"/>
  <c r="BO26" i="3" s="1"/>
  <c r="AO26" i="3"/>
  <c r="W26" i="3" s="1"/>
  <c r="AN26" i="3"/>
  <c r="AS11" i="3"/>
  <c r="AR119" i="3"/>
  <c r="AF85" i="3"/>
  <c r="AG85" i="3"/>
  <c r="AH85" i="3"/>
  <c r="AI85" i="3"/>
  <c r="AJ85" i="3"/>
  <c r="AK85" i="3"/>
  <c r="AL85" i="3"/>
  <c r="AM85" i="3"/>
  <c r="AE85" i="3"/>
  <c r="AS85" i="3"/>
  <c r="BQ85" i="3" s="1"/>
  <c r="AT85" i="3"/>
  <c r="AU85" i="3"/>
  <c r="BH85" i="3" s="1"/>
  <c r="AV85" i="3"/>
  <c r="AW85" i="3"/>
  <c r="AX85" i="3"/>
  <c r="AY85" i="3"/>
  <c r="BL85" i="3" s="1"/>
  <c r="AZ85" i="3"/>
  <c r="BA85" i="3"/>
  <c r="BE85" i="3"/>
  <c r="AM78" i="3"/>
  <c r="AK71" i="3"/>
  <c r="AM41" i="3"/>
  <c r="AO40" i="3"/>
  <c r="W40"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G25" i="65"/>
  <c r="E25" i="65"/>
  <c r="F25" i="65"/>
  <c r="C25" i="65"/>
  <c r="D25" i="65"/>
  <c r="B25" i="65"/>
  <c r="BF85" i="3" l="1"/>
  <c r="W119" i="3"/>
  <c r="BQ119" i="3"/>
  <c r="BE119" i="3"/>
  <c r="BF87" i="3"/>
  <c r="W87" i="3"/>
  <c r="BN92" i="3"/>
  <c r="AO92" i="3"/>
  <c r="BN41" i="3"/>
  <c r="AO41" i="3"/>
  <c r="BL71" i="3"/>
  <c r="AO71" i="3"/>
  <c r="W71" i="3" s="1"/>
  <c r="AO85" i="3"/>
  <c r="W85" i="3" s="1"/>
  <c r="AO9" i="3"/>
  <c r="W9" i="3" s="1"/>
  <c r="BN78" i="3"/>
  <c r="AO78" i="3"/>
  <c r="W78" i="3" s="1"/>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Y26" i="3" l="1"/>
  <c r="X26" i="3"/>
  <c r="AM128" i="3"/>
  <c r="AO128" i="3" s="1"/>
  <c r="W128" i="3" s="1"/>
  <c r="Z26" i="3" l="1"/>
  <c r="BN128" i="3"/>
  <c r="AR41" i="3"/>
  <c r="BE41" i="3" s="1"/>
  <c r="AQ29" i="3"/>
  <c r="BD29" i="3" s="1"/>
  <c r="AP29" i="3"/>
  <c r="W29" i="3" l="1"/>
  <c r="BQ29" i="3"/>
  <c r="BC29" i="3"/>
  <c r="AM142" i="3"/>
  <c r="BN142" i="3" s="1"/>
  <c r="AL142" i="3"/>
  <c r="BM142" i="3" s="1"/>
  <c r="AK142" i="3"/>
  <c r="BL142" i="3" s="1"/>
  <c r="AJ142" i="3"/>
  <c r="BK142" i="3" s="1"/>
  <c r="AI142" i="3"/>
  <c r="BJ142" i="3" s="1"/>
  <c r="AH142" i="3"/>
  <c r="AO142" i="3" l="1"/>
  <c r="W142" i="3" s="1"/>
  <c r="BI142" i="3"/>
  <c r="AN147" i="3"/>
  <c r="BB147" i="3"/>
  <c r="BA39" i="3"/>
  <c r="BO147" i="3" l="1"/>
  <c r="AP34" i="3"/>
  <c r="BC34" i="3" l="1"/>
  <c r="Y147" i="3"/>
  <c r="AP118" i="3"/>
  <c r="W118" i="3" l="1"/>
  <c r="BQ118" i="3"/>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BH112" i="3" s="1"/>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BH101" i="3" s="1"/>
  <c r="AH101" i="3"/>
  <c r="BI101" i="3" s="1"/>
  <c r="AI101" i="3"/>
  <c r="BJ101" i="3" s="1"/>
  <c r="AJ101" i="3"/>
  <c r="BK101" i="3" s="1"/>
  <c r="AK101" i="3"/>
  <c r="BL101" i="3" s="1"/>
  <c r="AL101" i="3"/>
  <c r="BM101" i="3" s="1"/>
  <c r="AM101" i="3"/>
  <c r="BN101" i="3" s="1"/>
  <c r="AB101" i="3"/>
  <c r="BC101" i="3" s="1"/>
  <c r="AN92" i="3"/>
  <c r="BF112" i="3" l="1"/>
  <c r="BG101" i="3"/>
  <c r="AO101" i="3"/>
  <c r="BG112" i="3"/>
  <c r="AO112" i="3"/>
  <c r="W112" i="3" s="1"/>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W101" i="3"/>
  <c r="BO101" i="3"/>
  <c r="Y31" i="3"/>
  <c r="X22" i="3"/>
  <c r="Y22" i="3"/>
  <c r="BO32" i="3"/>
  <c r="X31" i="3"/>
  <c r="X30" i="3"/>
  <c r="Y30" i="3"/>
  <c r="Z31" i="3" l="1"/>
  <c r="Y32" i="3"/>
  <c r="Z22" i="3"/>
  <c r="Z30" i="3"/>
  <c r="AN76" i="3"/>
  <c r="AC12" i="3"/>
  <c r="AD12" i="3"/>
  <c r="AE12" i="3"/>
  <c r="AF12" i="3"/>
  <c r="AG12" i="3"/>
  <c r="AH12" i="3"/>
  <c r="AI12" i="3"/>
  <c r="AJ12" i="3"/>
  <c r="AK12" i="3"/>
  <c r="AL12" i="3"/>
  <c r="AM12" i="3"/>
  <c r="AB12" i="3"/>
  <c r="AC28" i="3"/>
  <c r="BD28" i="3" s="1"/>
  <c r="AB28" i="3"/>
  <c r="BC28" i="3" s="1"/>
  <c r="BD9" i="3"/>
  <c r="BE9" i="3"/>
  <c r="BG9" i="3"/>
  <c r="BH9" i="3"/>
  <c r="BI9" i="3"/>
  <c r="BJ9" i="3"/>
  <c r="BK9" i="3"/>
  <c r="BL9" i="3"/>
  <c r="BM9" i="3"/>
  <c r="BN9" i="3"/>
  <c r="BC9" i="3"/>
  <c r="BN4" i="3"/>
  <c r="AC4" i="3"/>
  <c r="BD4" i="3" s="1"/>
  <c r="AB4" i="3"/>
  <c r="BC4" i="3" s="1"/>
  <c r="BM12" i="3" l="1"/>
  <c r="BE12" i="3"/>
  <c r="BI12" i="3"/>
  <c r="BL12" i="3"/>
  <c r="BH12" i="3"/>
  <c r="BD12" i="3"/>
  <c r="BC12" i="3"/>
  <c r="BK12" i="3"/>
  <c r="BN12" i="3"/>
  <c r="BJ12" i="3"/>
  <c r="BF12" i="3"/>
  <c r="BG12" i="3"/>
  <c r="AO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AZ39" i="3"/>
  <c r="AY39" i="3"/>
  <c r="AX39" i="3"/>
  <c r="AW39" i="3"/>
  <c r="AV39" i="3"/>
  <c r="AU39" i="3"/>
  <c r="AT39" i="3"/>
  <c r="AS39" i="3"/>
  <c r="AR39" i="3"/>
  <c r="AT38" i="3"/>
  <c r="AS38" i="3"/>
  <c r="AR38" i="3"/>
  <c r="AQ38" i="3"/>
  <c r="AP38" i="3"/>
  <c r="AU37" i="3"/>
  <c r="AT37" i="3"/>
  <c r="AS37" i="3"/>
  <c r="AR37" i="3"/>
  <c r="AQ37" i="3"/>
  <c r="AP37" i="3"/>
  <c r="AP36" i="3"/>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AP11" i="3"/>
  <c r="AT3" i="3"/>
  <c r="AS3" i="3"/>
  <c r="AR3" i="3"/>
  <c r="AQ3" i="3"/>
  <c r="AP3" i="3"/>
  <c r="AT2" i="3"/>
  <c r="AS2" i="3"/>
  <c r="AR2" i="3"/>
  <c r="AQ2" i="3"/>
  <c r="AP2" i="3"/>
  <c r="BQ41" i="3" l="1"/>
  <c r="AQ150" i="3"/>
  <c r="BQ3" i="3"/>
  <c r="BQ39" i="3"/>
  <c r="BQ140" i="3"/>
  <c r="W36" i="3"/>
  <c r="BQ36" i="3"/>
  <c r="W61" i="3"/>
  <c r="BQ61" i="3"/>
  <c r="W76" i="3"/>
  <c r="BQ76" i="3"/>
  <c r="W139" i="3"/>
  <c r="BQ139" i="3"/>
  <c r="AR150" i="3"/>
  <c r="W11" i="3"/>
  <c r="BQ11" i="3"/>
  <c r="BQ37" i="3"/>
  <c r="W34" i="3"/>
  <c r="BQ34" i="3"/>
  <c r="BQ59" i="3"/>
  <c r="BQ82" i="3"/>
  <c r="W92" i="3"/>
  <c r="BQ92" i="3"/>
  <c r="W35" i="3"/>
  <c r="BQ35" i="3"/>
  <c r="BC99" i="3"/>
  <c r="BQ99" i="3"/>
  <c r="AS150" i="3"/>
  <c r="AP150" i="3"/>
  <c r="BQ2" i="3"/>
  <c r="AT150" i="3"/>
  <c r="BQ38" i="3"/>
  <c r="BQ42" i="3"/>
  <c r="BQ60" i="3"/>
  <c r="BQ68" i="3"/>
  <c r="BQ94" i="3"/>
  <c r="BQ100" i="3"/>
  <c r="BQ122" i="3"/>
  <c r="W41" i="3"/>
  <c r="W140" i="3"/>
  <c r="W60" i="3"/>
  <c r="W1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M43" i="3"/>
  <c r="AO43" i="3" s="1"/>
  <c r="W43" i="3" s="1"/>
  <c r="Y148" i="3"/>
  <c r="Z148" i="3" s="1"/>
  <c r="K148" i="3"/>
  <c r="AD4" i="3"/>
  <c r="BE4" i="3" s="1"/>
  <c r="AF4" i="3"/>
  <c r="AG4" i="3"/>
  <c r="BH4" i="3" s="1"/>
  <c r="AH4" i="3"/>
  <c r="BI4" i="3" s="1"/>
  <c r="AI4" i="3"/>
  <c r="BJ4" i="3" s="1"/>
  <c r="AJ4" i="3"/>
  <c r="BK4" i="3" s="1"/>
  <c r="AK4" i="3"/>
  <c r="BL4" i="3" s="1"/>
  <c r="AL4" i="3"/>
  <c r="BM4" i="3" s="1"/>
  <c r="BN107" i="3"/>
  <c r="BE107" i="3"/>
  <c r="BG107" i="3"/>
  <c r="BH107" i="3"/>
  <c r="BI107" i="3"/>
  <c r="BJ107" i="3"/>
  <c r="BK107" i="3"/>
  <c r="BL107" i="3"/>
  <c r="BM107" i="3"/>
  <c r="BG4" i="3" l="1"/>
  <c r="AO4" i="3"/>
  <c r="W4" i="3" s="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AO93" i="3"/>
  <c r="W93" i="3" s="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AO2" i="3"/>
  <c r="BD2" i="3"/>
  <c r="BE2" i="3"/>
  <c r="BC2" i="3"/>
  <c r="BG3" i="3"/>
  <c r="AO3" i="3"/>
  <c r="W3" i="3" s="1"/>
  <c r="BF2" i="3"/>
  <c r="BF3" i="3"/>
  <c r="BO93" i="3"/>
  <c r="X93" i="3" s="1"/>
  <c r="AN3" i="3"/>
  <c r="AN2" i="3"/>
  <c r="Z119" i="3"/>
  <c r="W2" i="3" l="1"/>
  <c r="BO3" i="3"/>
  <c r="BO2" i="3"/>
  <c r="X10" i="3"/>
  <c r="BO41" i="3"/>
  <c r="X29" i="3"/>
  <c r="AB122" i="3"/>
  <c r="BC122" i="3" s="1"/>
  <c r="AC122" i="3"/>
  <c r="BD122" i="3" s="1"/>
  <c r="AD122" i="3"/>
  <c r="BE122" i="3" s="1"/>
  <c r="AE122" i="3"/>
  <c r="AF122" i="3"/>
  <c r="AG122" i="3"/>
  <c r="BH122" i="3" s="1"/>
  <c r="AH122" i="3"/>
  <c r="BI122" i="3" s="1"/>
  <c r="AI122" i="3"/>
  <c r="BJ122" i="3" s="1"/>
  <c r="AJ122" i="3"/>
  <c r="BK122" i="3" s="1"/>
  <c r="AM123" i="3"/>
  <c r="BN123" i="3" s="1"/>
  <c r="AL123" i="3"/>
  <c r="BM123" i="3" s="1"/>
  <c r="AK123" i="3"/>
  <c r="BL123" i="3" s="1"/>
  <c r="AJ123" i="3"/>
  <c r="BK123" i="3" s="1"/>
  <c r="AI123" i="3"/>
  <c r="BJ123" i="3" s="1"/>
  <c r="AH123" i="3"/>
  <c r="BI123" i="3" s="1"/>
  <c r="AG123" i="3"/>
  <c r="BH123" i="3" s="1"/>
  <c r="AF123" i="3"/>
  <c r="AE123" i="3"/>
  <c r="AD123" i="3"/>
  <c r="BE123" i="3" s="1"/>
  <c r="BG123" i="3" l="1"/>
  <c r="AO123" i="3"/>
  <c r="W123" i="3" s="1"/>
  <c r="BG122" i="3"/>
  <c r="AO122" i="3"/>
  <c r="W122" i="3" s="1"/>
  <c r="X2" i="3"/>
  <c r="BF123" i="3"/>
  <c r="BF122" i="3"/>
  <c r="X3" i="3"/>
  <c r="AN123" i="3"/>
  <c r="AN41" i="3"/>
  <c r="AN122" i="3"/>
  <c r="X41" i="3"/>
  <c r="X118" i="3"/>
  <c r="AM39" i="3"/>
  <c r="BN39" i="3" s="1"/>
  <c r="BO123" i="3" l="1"/>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BH39" i="3" s="1"/>
  <c r="AF39" i="3"/>
  <c r="AE39" i="3"/>
  <c r="AD39" i="3"/>
  <c r="BE39" i="3" s="1"/>
  <c r="BG39" i="3" l="1"/>
  <c r="AO39" i="3"/>
  <c r="W39" i="3" s="1"/>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AO94" i="3"/>
  <c r="W94" i="3" s="1"/>
  <c r="BG59" i="3"/>
  <c r="AO59" i="3"/>
  <c r="W59" i="3" s="1"/>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BH37" i="3" s="1"/>
  <c r="AF37" i="3"/>
  <c r="AE37" i="3"/>
  <c r="AD37" i="3"/>
  <c r="AC37" i="3"/>
  <c r="AB37" i="3"/>
  <c r="AM100" i="3"/>
  <c r="BN100" i="3" s="1"/>
  <c r="AL100" i="3"/>
  <c r="BM100" i="3" s="1"/>
  <c r="AK100" i="3"/>
  <c r="BL100" i="3" s="1"/>
  <c r="AJ100" i="3"/>
  <c r="BK100" i="3" s="1"/>
  <c r="AI100" i="3"/>
  <c r="BJ100" i="3" s="1"/>
  <c r="AH100" i="3"/>
  <c r="BI100" i="3" s="1"/>
  <c r="AG100" i="3"/>
  <c r="BH100" i="3" s="1"/>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BH68" i="3" s="1"/>
  <c r="AF68" i="3"/>
  <c r="AE68" i="3"/>
  <c r="AD68" i="3"/>
  <c r="BE68" i="3" s="1"/>
  <c r="AC68" i="3"/>
  <c r="BD68" i="3" s="1"/>
  <c r="AB68" i="3"/>
  <c r="BC68" i="3" s="1"/>
  <c r="AM82" i="3"/>
  <c r="BN82" i="3" s="1"/>
  <c r="AL82" i="3"/>
  <c r="BM82" i="3" s="1"/>
  <c r="AK82" i="3"/>
  <c r="BL82" i="3" s="1"/>
  <c r="AJ82" i="3"/>
  <c r="BK82" i="3" s="1"/>
  <c r="AI82" i="3"/>
  <c r="BJ82" i="3" s="1"/>
  <c r="AH82" i="3"/>
  <c r="BI82" i="3" s="1"/>
  <c r="AG82" i="3"/>
  <c r="BH82" i="3" s="1"/>
  <c r="AF82" i="3"/>
  <c r="AE82" i="3"/>
  <c r="AD82" i="3"/>
  <c r="BE82" i="3" s="1"/>
  <c r="AC82" i="3"/>
  <c r="BD82" i="3" s="1"/>
  <c r="AB82" i="3"/>
  <c r="BC82" i="3" s="1"/>
  <c r="AH42" i="3"/>
  <c r="BI42" i="3" s="1"/>
  <c r="AG42" i="3"/>
  <c r="BH42" i="3" s="1"/>
  <c r="AF42" i="3"/>
  <c r="AE42" i="3"/>
  <c r="AD42" i="3"/>
  <c r="BE42" i="3" s="1"/>
  <c r="AC42" i="3"/>
  <c r="BD42" i="3" s="1"/>
  <c r="AB42" i="3"/>
  <c r="BC42" i="3" s="1"/>
  <c r="AD150" i="3" l="1"/>
  <c r="AE150" i="3"/>
  <c r="BD37" i="3"/>
  <c r="BD150" i="3" s="1"/>
  <c r="AC150" i="3"/>
  <c r="BE37" i="3"/>
  <c r="BE150" i="3" s="1"/>
  <c r="BG82" i="3"/>
  <c r="AO82" i="3"/>
  <c r="W82" i="3" s="1"/>
  <c r="BG68" i="3"/>
  <c r="AO68" i="3"/>
  <c r="W68" i="3" s="1"/>
  <c r="BG42" i="3"/>
  <c r="AO42" i="3"/>
  <c r="W42" i="3" s="1"/>
  <c r="BG100" i="3"/>
  <c r="AO100" i="3"/>
  <c r="W100" i="3" s="1"/>
  <c r="BC37" i="3"/>
  <c r="BC150" i="3" s="1"/>
  <c r="AB150" i="3"/>
  <c r="BG37" i="3"/>
  <c r="AO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Z4" i="3" l="1"/>
  <c r="BF150" i="3"/>
  <c r="W37" i="3"/>
  <c r="X37" i="3" s="1"/>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BO99" i="3"/>
  <c r="AN99" i="3"/>
  <c r="W99" i="3" l="1"/>
  <c r="X99" i="3" s="1"/>
  <c r="Y122" i="3"/>
  <c r="Z122" i="3" s="1"/>
  <c r="Y99" i="3" l="1"/>
  <c r="Z99" i="3" s="1"/>
  <c r="Y37" i="3"/>
  <c r="Z37" i="3" s="1"/>
  <c r="Y76" i="3"/>
  <c r="Z76" i="3" s="1"/>
  <c r="J53" i="3"/>
  <c r="J51" i="3"/>
  <c r="AF38" i="3"/>
  <c r="AF150" i="3" s="1"/>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AO150" i="3" s="1"/>
  <c r="BN38" i="3"/>
  <c r="BN150" i="3" s="1"/>
  <c r="AN38" i="3"/>
  <c r="AN150" i="3" s="1"/>
  <c r="Z23" i="3"/>
  <c r="Y89" i="3"/>
  <c r="W38" i="3" l="1"/>
  <c r="W150" i="3" s="1"/>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<sst xmlns="http://schemas.openxmlformats.org/spreadsheetml/2006/main" count="4105" uniqueCount="894">
  <si>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</si>
  <si>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</si>
  <si>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</si>
  <si>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</si>
  <si>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</si>
  <si>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</si>
  <si>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</si>
  <si>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</si>
  <si>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</si>
  <si>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</si>
  <si>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</si>
  <si>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</si>
  <si>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</si>
  <si>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</si>
  <si>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</si>
  <si>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</si>
  <si>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</si>
  <si>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</si>
  <si>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</si>
  <si>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</si>
  <si>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</si>
  <si>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</si>
  <si>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</si>
  <si>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</si>
  <si>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</si>
  <si>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</si>
  <si>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</si>
  <si>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</si>
  <si>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</si>
  <si>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</si>
  <si>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</si>
  <si>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</si>
  <si>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</si>
  <si>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</si>
  <si>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</si>
  <si>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</si>
  <si>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</si>
  <si>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</si>
  <si>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</si>
  <si>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</si>
  <si>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</si>
  <si>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</si>
  <si>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</si>
  <si>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</si>
  <si>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</si>
  <si>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</si>
  <si>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</si>
  <si>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</si>
  <si>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</si>
  <si>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</si>
  <si>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</si>
  <si>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</si>
  <si>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</si>
  <si>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</si>
  <si>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</si>
  <si>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</si>
  <si>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</si>
  <si>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</si>
  <si>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</si>
  <si>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</si>
  <si>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</si>
  <si>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</si>
  <si>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</si>
  <si>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</si>
  <si>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</si>
  <si>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</si>
  <si>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</si>
  <si>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</si>
  <si>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</si>
  <si>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</si>
  <si>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</si>
  <si>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</si>
  <si>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</si>
  <si>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</si>
  <si>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</si>
  <si>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</si>
  <si>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</si>
  <si>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</si>
  <si>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</si>
  <si>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</si>
  <si>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</si>
  <si>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</si>
  <si>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</si>
  <si>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</si>
  <si>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</si>
  <si>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</si>
  <si>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</si>
  <si>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</si>
  <si>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</si>
  <si>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</si>
  <si>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</si>
  <si>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</si>
  <si>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</si>
  <si>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</si>
  <si>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</si>
  <si>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</si>
  <si>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</si>
  <si>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</si>
  <si>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</si>
  <si>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</si>
  <si>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</si>
  <si>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</si>
  <si>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</si>
  <si>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</si>
  <si>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</si>
  <si>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</si>
  <si>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</si>
  <si>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</si>
  <si>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</si>
  <si>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</si>
  <si>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</si>
  <si>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</si>
  <si>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</si>
  <si>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</si>
  <si>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</si>
  <si>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</si>
  <si>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</si>
  <si>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</si>
  <si>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</si>
  <si>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</si>
  <si>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</si>
  <si>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</si>
  <si>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</si>
  <si>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</si>
  <si>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</si>
  <si>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</si>
  <si>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</si>
  <si>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</si>
  <si>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</si>
  <si>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</si>
  <si>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</si>
  <si>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</si>
  <si>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</si>
  <si>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</si>
  <si>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</si>
  <si>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</si>
  <si>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</si>
  <si>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</si>
  <si>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</si>
  <si>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</si>
  <si>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</si>
  <si>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</si>
  <si>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</si>
  <si>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</si>
  <si>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</si>
  <si>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</si>
  <si>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</si>
  <si>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</si>
  <si>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</si>
  <si>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</si>
  <si>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</si>
  <si>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</si>
  <si>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</si>
  <si>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</si>
  <si>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</si>
  <si>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</si>
  <si>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</si>
  <si>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</si>
  <si>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</si>
  <si>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</si>
  <si>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</si>
  <si>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</si>
  <si>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</si>
  <si>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</si>
  <si>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</si>
  <si>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</si>
  <si>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</si>
  <si>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</si>
  <si>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</si>
  <si>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</si>
  <si>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</si>
  <si>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</si>
  <si>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</si>
  <si>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</si>
  <si>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</si>
  <si>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</si>
  <si>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</si>
  <si>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</si>
  <si>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</si>
  <si>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</si>
  <si>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</si>
  <si>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</si>
  <si>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</si>
  <si>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</si>
  <si>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</si>
  <si>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</si>
  <si>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</si>
  <si>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</si>
  <si>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</si>
  <si>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</si>
  <si>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</si>
  <si>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</si>
  <si>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</si>
  <si>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</si>
  <si>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</si>
  <si>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</si>
  <si>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</si>
  <si>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</si>
  <si>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</si>
  <si>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</si>
  <si>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</si>
  <si>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</si>
  <si>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</si>
  <si>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</si>
  <si>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</si>
  <si>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</si>
  <si>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</si>
  <si>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</si>
  <si>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</si>
  <si>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</si>
  <si>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</si>
  <si>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</si>
  <si>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</si>
  <si>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</si>
  <si>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</si>
  <si>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</si>
  <si>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</si>
  <si>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</si>
  <si>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</si>
  <si>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</si>
  <si>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</si>
  <si>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</si>
  <si>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</si>
  <si>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</si>
  <si>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</si>
  <si>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</si>
  <si>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</si>
  <si>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</si>
  <si>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</si>
  <si>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</si>
  <si>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</si>
  <si>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</si>
  <si>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</si>
  <si>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</si>
  <si>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</si>
  <si>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</si>
  <si>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</si>
  <si>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</si>
  <si>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</si>
  <si>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</si>
  <si>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</si>
  <si>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</si>
  <si>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</si>
  <si>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</si>
  <si>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</si>
  <si>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</si>
  <si>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</si>
  <si>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</si>
  <si>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</si>
  <si>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</si>
  <si>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</si>
  <si>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</si>
  <si>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</si>
  <si>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</si>
  <si>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</si>
  <si>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</si>
  <si>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</si>
  <si>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</si>
  <si>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</si>
  <si>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</si>
  <si>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</si>
  <si>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</si>
  <si>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</si>
  <si>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</si>
  <si>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</si>
  <si>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</si>
  <si>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</si>
  <si>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</si>
  <si>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</si>
  <si>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</si>
  <si>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</si>
  <si>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</si>
  <si>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</si>
  <si>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</si>
  <si>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</si>
  <si>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</si>
  <si>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</si>
  <si>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</si>
  <si>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</si>
  <si>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</si>
  <si>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</si>
  <si>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</si>
  <si>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</si>
  <si>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</si>
  <si>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</si>
  <si>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</si>
  <si>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</si>
  <si>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</si>
  <si>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</si>
  <si>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</si>
  <si>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</si>
  <si>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</si>
  <si>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</si>
  <si>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</si>
  <si>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</si>
  <si>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</si>
  <si>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</si>
  <si>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</si>
  <si>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</si>
  <si>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</si>
  <si>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</si>
  <si>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</si>
  <si>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</si>
  <si>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</si>
  <si>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</si>
  <si>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</si>
  <si>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</si>
  <si>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</si>
  <si>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</si>
  <si>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</si>
  <si>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</si>
  <si>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</si>
  <si>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</si>
  <si>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</si>
  <si>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</si>
  <si>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</si>
  <si>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</si>
  <si>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</si>
  <si>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</si>
  <si>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</si>
  <si>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</si>
  <si>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</si>
  <si>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</si>
  <si>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</si>
  <si>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</si>
  <si>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</si>
  <si>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</si>
  <si>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</si>
  <si>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</si>
  <si>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</si>
  <si>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</si>
  <si>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</si>
  <si>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</si>
  <si>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</si>
  <si>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</si>
  <si>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</si>
  <si>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</si>
  <si>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</si>
  <si>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</si>
  <si>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</si>
  <si>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</si>
  <si>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</si>
  <si>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</si>
  <si>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</si>
  <si>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</si>
  <si>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</si>
  <si>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</si>
  <si>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</si>
  <si>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</si>
  <si>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</si>
  <si>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</si>
  <si>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</si>
  <si>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</si>
  <si>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</si>
  <si>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</si>
  <si>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</si>
  <si>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</si>
  <si>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</si>
  <si>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</si>
  <si>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</si>
  <si>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</si>
  <si>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</si>
  <si>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</si>
  <si>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</si>
  <si>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</si>
  <si>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</si>
  <si>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</si>
  <si>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</si>
  <si>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</si>
  <si>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</si>
  <si>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</si>
  <si>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</si>
  <si>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</si>
  <si>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</si>
  <si>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</si>
  <si>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</si>
  <si>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</si>
  <si>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</si>
  <si>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</si>
  <si>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</si>
  <si>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</si>
  <si>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</si>
  <si>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</si>
  <si>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</si>
  <si>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</si>
  <si>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</si>
  <si>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</si>
  <si>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</si>
  <si>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</si>
  <si>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</si>
  <si>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</si>
  <si>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</si>
  <si>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</si>
  <si>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</si>
  <si>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</si>
  <si>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</si>
  <si>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</si>
  <si>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</si>
  <si>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</si>
  <si>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</si>
  <si>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</si>
  <si>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</si>
  <si>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</si>
  <si>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</si>
  <si>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</si>
  <si>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</si>
  <si>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</si>
  <si>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</si>
  <si>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</si>
  <si>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</si>
  <si>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</si>
  <si>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</si>
  <si>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</si>
  <si>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</si>
  <si>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T&amp;M- H2-2026 Risk</t>
  </si>
  <si>
    <t>T&amp;M IVP Mgmt (TOM)- Rahul &amp; Vaibhav + 2 for H2-2026 - Risk</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</si>
  <si>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</si>
  <si>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</si>
  <si>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</si>
  <si>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</si>
  <si>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</si>
  <si>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</si>
  <si>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</si>
  <si>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</si>
  <si>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All the amortization lines have been merged to one, source is capitalization schedule shared by Darlene. This risk could be setoof againt PH and any other opp on YTD</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</si>
  <si>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</si>
  <si>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</si>
  <si>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</si>
  <si>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</si>
  <si>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</si>
  <si>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</si>
  <si>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</si>
  <si>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</si>
  <si>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</si>
  <si>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</si>
  <si>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</si>
  <si>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</si>
  <si>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</si>
  <si>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</si>
  <si>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</si>
  <si>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</si>
  <si>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</si>
  <si>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</si>
  <si>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</si>
  <si>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</si>
  <si>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</si>
  <si>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</si>
  <si>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</si>
  <si>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</si>
  <si>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</si>
  <si>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RISK AUM-Potential Dec. Opp</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</si>
  <si>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</si>
  <si>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</si>
  <si>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</si>
  <si>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</si>
  <si>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</si>
  <si>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</si>
  <si>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</si>
  <si>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</si>
  <si>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</si>
  <si>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</si>
  <si>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</si>
  <si>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</si>
  <si>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</si>
  <si>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</si>
  <si>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</si>
  <si>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</si>
  <si>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</si>
  <si>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</si>
  <si>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</si>
  <si>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</si>
  <si>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</si>
  <si>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</si>
  <si>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</si>
  <si>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</si>
  <si>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</si>
  <si>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</si>
  <si>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</si>
  <si>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</si>
  <si>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</si>
  <si>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</si>
  <si>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</si>
  <si>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</si>
  <si>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</si>
  <si>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</si>
  <si>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</si>
  <si>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</si>
  <si>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</si>
  <si>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</si>
  <si>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</si>
  <si>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</si>
  <si>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</si>
  <si>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</si>
  <si>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</si>
  <si>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</si>
  <si>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</si>
  <si>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</si>
  <si>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</si>
  <si>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</si>
  <si>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</si>
  <si>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</si>
  <si>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</si>
  <si>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</si>
  <si>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</si>
  <si>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</si>
  <si>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</si>
  <si>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</si>
  <si>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</si>
  <si>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</si>
  <si>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</si>
  <si>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</si>
  <si>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</si>
  <si>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</si>
  <si>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</si>
  <si>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</si>
  <si>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</si>
  <si>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</si>
  <si>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</si>
  <si>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</si>
  <si>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</si>
  <si>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</si>
  <si>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</si>
  <si>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</si>
  <si>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</si>
  <si>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</si>
  <si>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</si>
  <si>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</si>
  <si>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</si>
  <si>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</si>
  <si>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</si>
  <si>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</si>
  <si>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</si>
  <si>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</si>
  <si>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This cost is not fixed and will be fluctuating per month</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</si>
  <si>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</si>
  <si>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</si>
  <si>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</si>
  <si>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</si>
  <si>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</si>
  <si>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</si>
  <si>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</si>
  <si>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</si>
  <si>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</si>
  <si>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</si>
  <si>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</si>
  <si>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</si>
  <si>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</si>
  <si>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</si>
  <si>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Unutilised funds, budgeted for new initiatives planned in 2026</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</si>
  <si>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</si>
  <si>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</si>
  <si>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Raymonds exit gave 26k T&amp;M oppurtunity since Feb but QA resources were hired at same cost, new UAT Lead to be hired from May at $28.8k permonth. QA book work reallocation from L1/L2 support per new QA contract that superseded original.</t>
  </si>
  <si>
    <t>New laptops, unbudgeted</t>
  </si>
  <si>
    <t>Unbudgeted, New risk - CME Group SOFR License</t>
  </si>
  <si>
    <t>Not part of original budget; risk added, category updated from software to hardware since laptop purchase</t>
  </si>
  <si>
    <t>Sales tax unbudgeted + actual over budget estimated</t>
  </si>
  <si>
    <t>Unbudgeted risk for 2025 AUM Overusage to be charged back to Operations</t>
  </si>
  <si>
    <t>Hard Risk, unbudgeted</t>
  </si>
  <si>
    <t>Microsoft 365 E5 &amp; Teams Room Pro</t>
  </si>
  <si>
    <t>In CAD</t>
  </si>
  <si>
    <t>Note - All bills are not yet received and recorded for March.</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</si>
  <si>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</si>
  <si>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</si>
  <si>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</si>
  <si>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</si>
  <si>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</si>
  <si>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</si>
  <si>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</si>
  <si>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</si>
  <si>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</si>
  <si>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</si>
  <si>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</si>
  <si>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</si>
  <si>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</si>
  <si>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</si>
  <si>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</si>
  <si>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</si>
  <si>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</si>
  <si>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</si>
  <si>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</si>
  <si>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</si>
  <si>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</si>
  <si>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</si>
  <si>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</si>
  <si>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</si>
  <si>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</si>
  <si>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</si>
  <si>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</si>
  <si>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</si>
  <si>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</si>
  <si>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</si>
  <si>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</si>
  <si>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</si>
  <si>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</si>
  <si>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</si>
  <si>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</si>
  <si>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</si>
  <si>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</si>
  <si>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</si>
  <si>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</si>
  <si>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</si>
  <si>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</si>
  <si>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</si>
  <si>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</si>
  <si>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</si>
  <si>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</si>
  <si>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</si>
  <si>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</si>
  <si>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</si>
  <si>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</si>
  <si>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</si>
  <si>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</si>
  <si>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</si>
  <si>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</si>
  <si>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</si>
  <si>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</si>
  <si>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</si>
  <si>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</si>
  <si>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</si>
  <si>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</si>
  <si>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</si>
  <si>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</si>
  <si>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</si>
  <si>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</si>
  <si>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</si>
  <si>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</si>
  <si>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</si>
  <si>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</si>
  <si>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</si>
  <si>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</si>
  <si>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</si>
  <si>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</si>
  <si>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</si>
  <si>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</si>
  <si>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</si>
  <si>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</si>
  <si>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</si>
  <si>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</si>
  <si>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</si>
  <si>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</si>
  <si>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</si>
  <si>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</si>
  <si>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</si>
  <si>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</si>
  <si>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</si>
  <si>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</si>
  <si>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</si>
  <si>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</si>
  <si>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</si>
  <si>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</si>
  <si>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</si>
  <si>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</si>
  <si>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</si>
  <si>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</si>
  <si>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</si>
  <si>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</si>
  <si>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</si>
  <si>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</si>
  <si>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</si>
  <si>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</si>
  <si>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</si>
  <si>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</si>
  <si>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</si>
  <si>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</si>
  <si>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</si>
  <si>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</si>
  <si>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</si>
  <si>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</si>
  <si>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</si>
  <si>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</si>
  <si>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</si>
  <si>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</si>
  <si>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</si>
  <si>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</si>
  <si>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</si>
  <si>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</si>
  <si>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</si>
  <si>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</si>
  <si>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</si>
  <si>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</si>
  <si>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</si>
  <si>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</si>
  <si>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</si>
  <si>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</si>
  <si>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</si>
  <si>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</si>
  <si>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</si>
  <si>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</si>
  <si>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</si>
  <si>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</si>
  <si>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</si>
  <si>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</si>
  <si>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</si>
  <si>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</si>
  <si>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</si>
  <si>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</si>
  <si>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</si>
  <si>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</si>
  <si>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</si>
  <si>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</si>
  <si>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</si>
  <si>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</si>
  <si>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</si>
  <si>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</si>
  <si>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</si>
  <si>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</si>
  <si>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</si>
  <si>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</si>
  <si>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</si>
  <si>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</si>
  <si>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</si>
  <si>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</si>
  <si>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</si>
  <si>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</si>
  <si>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</si>
  <si>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</si>
  <si>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</si>
  <si>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</si>
  <si>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</si>
  <si>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</si>
  <si>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</si>
  <si>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</si>
  <si>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</si>
  <si>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</si>
  <si>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</si>
  <si>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</si>
  <si>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</si>
  <si>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</si>
  <si>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</si>
  <si>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</si>
  <si>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</si>
  <si>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</si>
  <si>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</si>
  <si>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</si>
  <si>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</si>
  <si>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</si>
  <si>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</si>
  <si>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</si>
  <si>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</si>
  <si>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</si>
  <si>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</si>
  <si>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</si>
  <si>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</si>
  <si>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</si>
  <si>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</si>
  <si>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</si>
  <si>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</si>
  <si>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</si>
  <si>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</si>
  <si>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</si>
  <si>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</si>
  <si>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</si>
  <si>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</si>
  <si>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</si>
  <si>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</si>
  <si>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</si>
  <si>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</si>
  <si>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</si>
  <si>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</si>
  <si>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</si>
  <si>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</si>
  <si>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</si>
  <si>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</si>
  <si>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</si>
  <si>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</si>
  <si>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</si>
  <si>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</si>
  <si>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</si>
  <si>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</si>
  <si>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</si>
  <si>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</si>
  <si>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</si>
  <si>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</si>
  <si>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</si>
  <si>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</si>
  <si>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</si>
  <si>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</si>
  <si>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</si>
  <si>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</si>
  <si>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</si>
  <si>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</si>
  <si>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</si>
  <si>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</si>
  <si>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</si>
  <si>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</si>
  <si>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</si>
  <si>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</si>
  <si>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</si>
  <si>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</si>
  <si>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</si>
  <si>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</si>
  <si>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</si>
  <si>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</si>
  <si>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</si>
  <si>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</si>
  <si>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</si>
  <si>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</si>
  <si>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</si>
  <si>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</si>
  <si>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</si>
  <si>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</si>
  <si>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</si>
  <si>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</si>
  <si>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</si>
  <si>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</si>
  <si>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</si>
  <si>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</si>
  <si>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</si>
  <si>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</si>
  <si>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</si>
  <si>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</si>
  <si>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</si>
  <si>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</si>
  <si>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</si>
  <si>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</si>
  <si>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</si>
  <si>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</si>
  <si>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</si>
  <si>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</si>
  <si>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</si>
  <si>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</si>
  <si>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</si>
  <si>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</si>
  <si>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</si>
  <si>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</si>
  <si>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</si>
  <si>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</si>
  <si>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</si>
  <si>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</si>
  <si>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</si>
  <si>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</si>
  <si>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</si>
  <si>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</si>
  <si>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</si>
  <si>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</si>
  <si>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</si>
  <si>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</si>
  <si>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Surface laptop 7, Logitech keyboard and Mouse, Starlite Cable, Monitor unbudgeted</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</si>
  <si>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</si>
  <si>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</si>
  <si>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</si>
  <si>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</si>
  <si>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</si>
  <si>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</si>
  <si>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</si>
  <si>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</si>
  <si>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</si>
  <si>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WSO Web service + Orion CLO</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</si>
  <si>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</si>
  <si>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</si>
  <si>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</si>
  <si>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</si>
  <si>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</si>
  <si>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</si>
  <si>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</si>
  <si>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</si>
  <si>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</si>
  <si>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</si>
  <si>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</si>
  <si>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</si>
  <si>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</si>
  <si>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</si>
  <si>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Revised contract pending approval - $5950/mo</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</si>
  <si>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</si>
  <si>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</si>
  <si>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</si>
  <si>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</si>
  <si>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</si>
  <si>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</si>
  <si>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</si>
  <si>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</si>
  <si>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</si>
  <si>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</si>
  <si>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</si>
  <si>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</si>
  <si>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</si>
  <si>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</si>
  <si>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</si>
  <si>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</si>
  <si>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</si>
  <si>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</si>
  <si>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t>
  </si>
  <si>
    <t>Budget v/s Actuals, saving of $21K/m on Nilesh's exit</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</si>
  <si>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</si>
  <si>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</si>
  <si>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</si>
  <si>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</si>
  <si>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</si>
  <si>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</si>
  <si>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</si>
  <si>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</si>
  <si>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</si>
  <si>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hired</t>
  </si>
  <si>
    <t>New UAT lead Anand, WSO placeholder utilised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</si>
</sst>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76">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0" fontId="9" fillId="0" borderId="0" xfId="0" applyFont="1"/>
    <xf numFmtId="43" fontId="0" fillId="0" borderId="0" xfId="1" applyFont="1" applyFill="1" applyBorder="1"/>
    <xf numFmtId="166" fontId="0" fillId="0" borderId="0" xfId="1" applyNumberFormat="1" applyFont="1" applyFill="1" applyBorder="1"/>
    <xf numFmtId="164" fontId="10" fillId="0" borderId="0" xfId="0" applyNumberFormat="1" applyFont="1"/>
    <xf numFmtId="2" fontId="0" fillId="0" borderId="0" xfId="6" applyNumberFormat="1" applyFont="1"/>
    <xf numFmtId="3" fontId="0" fillId="0" borderId="0" xfId="0" applyNumberFormat="1"/>
    <xf numFmtId="43" fontId="14" fillId="17" borderId="0" xfId="1" applyFont="1" applyFill="1" applyAlignment="1">
      <alignment horizontal="center" vertical="center"/>
    </xf>
    <xf numFmtId="0" fontId="14" fillId="17" borderId="0" xfId="0"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75.937019907411" createdVersion="8" refreshedVersion="8" minRefreshableVersion="3" recordCount="146"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77394.7100000009"/>
    </cacheField>
    <cacheField name="2026 Opportunity" numFmtId="166">
      <sharedItems containsSemiMixedTypes="0" containsString="0" containsNumber="1" minValue="-384000" maxValue="0"/>
    </cacheField>
    <cacheField name="2026 Risk" numFmtId="166">
      <sharedItems containsSemiMixedTypes="0" containsString="0" containsNumber="1" minValue="0" maxValue="940800"/>
    </cacheField>
    <cacheField name="2026 Net Position" numFmtId="166">
      <sharedItems containsSemiMixedTypes="0" containsString="0" containsNumber="1" minValue="-384000" maxValue="9408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May-Dec FC" numFmtId="166">
      <sharedItems containsSemiMixedTypes="0" containsString="0" containsNumber="1" minValue="-2666666.6666666665" maxValue="4983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30491.700000000012" maxValue="68155.81"/>
    </cacheField>
    <cacheField name="Feb Opp./Risk" numFmtId="166">
      <sharedItems containsSemiMixedTypes="0" containsString="0" containsNumber="1" minValue="-30491.700000000012" maxValue="55922.8"/>
    </cacheField>
    <cacheField name="Mar Opp./Risk" numFmtId="166">
      <sharedItems containsSemiMixedTypes="0" containsString="0" containsNumber="1" minValue="-100000" maxValue="29760"/>
    </cacheField>
    <cacheField name="Apr Opp./Risk" numFmtId="166">
      <sharedItems containsSemiMixedTypes="0" containsString="0" containsNumber="1" minValue="-232868.65" maxValue="11068.958333333336"/>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625000" maxValue="11068.958333333336"/>
    </cacheField>
    <cacheField name="Jul Opp./Risk" numFmtId="166">
      <sharedItems containsSemiMixedTypes="0" containsString="0" containsNumber="1" minValue="-625000" maxValue="11068.958333333336"/>
    </cacheField>
    <cacheField name="Aug Opp./Risk" numFmtId="166">
      <sharedItems containsSemiMixedTypes="0" containsString="0" containsNumber="1" minValue="-625000" maxValue="11068.958333333336"/>
    </cacheField>
    <cacheField name="Sep Opp./Risk" numFmtId="166">
      <sharedItems containsSemiMixedTypes="0" containsString="0" containsNumber="1" minValue="-625000" maxValue="11068.958333333336"/>
    </cacheField>
    <cacheField name="Oct Opp./Risk" numFmtId="166">
      <sharedItems containsSemiMixedTypes="0" containsString="0" containsNumber="1" minValue="-625000" maxValue="11068.958333333336"/>
    </cacheField>
    <cacheField name="Nov Opp./Risk" numFmtId="166">
      <sharedItems containsSemiMixedTypes="0" containsString="0" containsNumber="1" minValue="-625000" maxValue="11068.958333333336"/>
    </cacheField>
    <cacheField name="Dec Opp./Risk" numFmtId="166">
      <sharedItems containsSemiMixedTypes="0" containsString="0" containsNumber="1" minValue="-725503" maxValue="11068.958333333336"/>
    </cacheField>
    <cacheField name="Total Opp./Risk" numFmtId="166">
      <sharedItems containsSemiMixedTypes="0" containsString="0" containsNumber="1" minValue="-4988479.4399999995" maxValue="132827.50000000006"/>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75.937243055552" createdVersion="8" refreshedVersion="8" minRefreshableVersion="3" recordCount="146"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77394.7100000009"/>
    </cacheField>
    <cacheField name="2026 Opportunity" numFmtId="166">
      <sharedItems containsSemiMixedTypes="0" containsString="0" containsNumber="1" minValue="-384000" maxValue="0"/>
    </cacheField>
    <cacheField name="2026 Risk" numFmtId="166">
      <sharedItems containsSemiMixedTypes="0" containsString="0" containsNumber="1" minValue="0" maxValue="940800"/>
    </cacheField>
    <cacheField name="2026 Net Position" numFmtId="166">
      <sharedItems containsSemiMixedTypes="0" containsString="0" containsNumber="1" minValue="-384000" maxValue="9408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May-Dec FC" numFmtId="166">
      <sharedItems containsSemiMixedTypes="0" containsString="0" containsNumber="1" minValue="-2666666.6666666665" maxValue="4983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30491.700000000012" maxValue="68155.81"/>
    </cacheField>
    <cacheField name="Feb Opp./Risk" numFmtId="166">
      <sharedItems containsSemiMixedTypes="0" containsString="0" containsNumber="1" minValue="-30491.700000000012" maxValue="55922.8"/>
    </cacheField>
    <cacheField name="Mar Opp./Risk" numFmtId="166">
      <sharedItems containsSemiMixedTypes="0" containsString="0" containsNumber="1" minValue="-100000" maxValue="29760"/>
    </cacheField>
    <cacheField name="Apr Opp./Risk" numFmtId="166">
      <sharedItems containsSemiMixedTypes="0" containsString="0" containsNumber="1" minValue="-232868.65" maxValue="11068.958333333336"/>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625000" maxValue="11068.958333333336"/>
    </cacheField>
    <cacheField name="Jul Opp./Risk" numFmtId="166">
      <sharedItems containsSemiMixedTypes="0" containsString="0" containsNumber="1" minValue="-625000" maxValue="11068.958333333336"/>
    </cacheField>
    <cacheField name="Aug Opp./Risk" numFmtId="166">
      <sharedItems containsSemiMixedTypes="0" containsString="0" containsNumber="1" minValue="-625000" maxValue="11068.958333333336"/>
    </cacheField>
    <cacheField name="Sep Opp./Risk" numFmtId="166">
      <sharedItems containsSemiMixedTypes="0" containsString="0" containsNumber="1" minValue="-625000" maxValue="11068.958333333336"/>
    </cacheField>
    <cacheField name="Oct Opp./Risk" numFmtId="166">
      <sharedItems containsSemiMixedTypes="0" containsString="0" containsNumber="1" minValue="-625000" maxValue="11068.958333333336"/>
    </cacheField>
    <cacheField name="Nov Opp./Risk" numFmtId="166">
      <sharedItems containsSemiMixedTypes="0" containsString="0" containsNumber="1" minValue="-625000" maxValue="11068.958333333336"/>
    </cacheField>
    <cacheField name="Dec Opp./Risk" numFmtId="166">
      <sharedItems containsSemiMixedTypes="0" containsString="0" containsNumber="1" minValue="-725503" maxValue="11068.958333333336"/>
    </cacheField>
    <cacheField name="Total Opp./Risk" numFmtId="166">
      <sharedItems containsSemiMixedTypes="0" containsString="0" containsNumber="1" minValue="-4988479.4399999995" maxValue="132827.50000000006"/>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57"/>
    <n v="0"/>
    <n v="10392.66666666657"/>
    <n v="10392.66666666657"/>
    <s v="Renewed 6/1/25, anniversary date true-up-CRM (Prepaid)"/>
    <n v="30083.333333333332"/>
    <n v="30083.333333333332"/>
    <n v="30083.333333333332"/>
    <n v="30083.333333333332"/>
    <n v="30083.333333333332"/>
    <n v="31568"/>
    <n v="31568"/>
    <n v="31568"/>
    <n v="31568"/>
    <n v="31568"/>
    <n v="31568"/>
    <n v="31568"/>
    <n v="371392.66666666663"/>
    <n v="251059.33333333331"/>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214257.06666666668"/>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71"/>
    <n v="-0.29000000000814907"/>
    <n v="0"/>
    <n v="-0.29000000000814907"/>
    <s v="  "/>
    <n v="21620.75"/>
    <n v="21620.75"/>
    <n v="21620.75"/>
    <n v="25262.75"/>
    <n v="21620.75"/>
    <n v="21620.75"/>
    <n v="21620.75"/>
    <n v="21620.75"/>
    <n v="21620.75"/>
    <n v="21620.75"/>
    <n v="21620.75"/>
    <n v="48126.75"/>
    <n v="289597"/>
    <n v="199472"/>
    <n v="11185.549999999997"/>
    <n v="7399.97"/>
    <n v="16129.190000000002"/>
    <n v="25262"/>
    <m/>
    <m/>
    <m/>
    <m/>
    <m/>
    <m/>
    <m/>
    <m/>
    <n v="59976.71"/>
    <n v="-10435.200000000003"/>
    <n v="-14220.779999999999"/>
    <n v="-5491.5599999999977"/>
    <n v="-0.75"/>
    <n v="-21620.75"/>
    <n v="-21620.75"/>
    <n v="-21620.75"/>
    <n v="-21620.75"/>
    <n v="-21620.75"/>
    <n v="-21620.75"/>
    <n v="-21620.75"/>
    <n v="-48126.75"/>
    <n v="-229620.29"/>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92275"/>
    <n v="-7725"/>
    <n v="0"/>
    <n v="-7725"/>
    <s v="check for contract copy"/>
    <n v="7600"/>
    <n v="7600"/>
    <n v="7600"/>
    <n v="7600"/>
    <n v="7600"/>
    <n v="7600"/>
    <n v="7600"/>
    <n v="7600"/>
    <n v="7600"/>
    <n v="7600"/>
    <n v="7600"/>
    <n v="7600"/>
    <n v="91200"/>
    <n v="60800"/>
    <n v="7600"/>
    <n v="7600"/>
    <n v="8675"/>
    <n v="7600"/>
    <n v="15340"/>
    <m/>
    <m/>
    <m/>
    <m/>
    <m/>
    <m/>
    <m/>
    <n v="46815"/>
    <n v="0"/>
    <n v="0"/>
    <n v="1075"/>
    <n v="0"/>
    <n v="7740"/>
    <n v="-7600"/>
    <n v="-7600"/>
    <n v="-7600"/>
    <n v="-7600"/>
    <n v="-7600"/>
    <n v="-7600"/>
    <n v="-7600"/>
    <n v="-443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37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500"/>
    <n v="39000"/>
    <n v="25000"/>
    <n v="1000"/>
    <n v="2500"/>
    <n v="10000"/>
    <m/>
    <m/>
    <m/>
    <m/>
    <m/>
    <m/>
    <m/>
    <m/>
    <m/>
    <n v="13500"/>
    <n v="-2500"/>
    <n v="-1000"/>
    <n v="6500"/>
    <n v="-3500"/>
    <n v="-3500"/>
    <n v="-3500"/>
    <n v="-3500"/>
    <n v="-3500"/>
    <n v="-3500"/>
    <n v="-3500"/>
    <n v="-3500"/>
    <n v="-500"/>
    <n v="-25500"/>
    <s v="This cost is not fixed and will be fluctuating per month"/>
    <n v="1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9095.56000000006"/>
    <n v="-10904.439999999944"/>
    <n v="0"/>
    <n v="-10904.439999999944"/>
    <s v="Network Managed Services (Network Operation Centre (NOC))"/>
    <n v="15000"/>
    <n v="15000"/>
    <n v="15000"/>
    <n v="15000"/>
    <n v="15000"/>
    <n v="15725"/>
    <n v="15725"/>
    <n v="15725"/>
    <n v="15725"/>
    <n v="15725"/>
    <n v="15725"/>
    <n v="15725"/>
    <n v="185075"/>
    <n v="125075"/>
    <n v="11005.14"/>
    <n v="11005.14"/>
    <n v="11005.14"/>
    <n v="11005.14"/>
    <m/>
    <m/>
    <m/>
    <m/>
    <m/>
    <m/>
    <m/>
    <m/>
    <n v="44020.56"/>
    <n v="-3994.8600000000006"/>
    <n v="-3994.8600000000006"/>
    <n v="-3994.8600000000006"/>
    <n v="-3994.8600000000006"/>
    <n v="-15000"/>
    <n v="-15725"/>
    <n v="-15725"/>
    <n v="-15725"/>
    <n v="-15725"/>
    <n v="-15725"/>
    <n v="-15725"/>
    <n v="-15725"/>
    <n v="-141054.44"/>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692.839999999997"/>
    <n v="0"/>
    <n v="378.83999999999651"/>
    <n v="378.83999999999651"/>
    <s v="  "/>
    <n v="2943"/>
    <n v="2943"/>
    <n v="2943"/>
    <n v="2943"/>
    <n v="2943"/>
    <n v="2943"/>
    <n v="2943"/>
    <n v="2943"/>
    <n v="2943"/>
    <n v="2943"/>
    <n v="2943"/>
    <n v="2941"/>
    <n v="35314"/>
    <n v="23542"/>
    <n v="2802.71"/>
    <n v="2802.71"/>
    <n v="2802.71"/>
    <n v="3742.71"/>
    <n v="2952.71"/>
    <m/>
    <m/>
    <m/>
    <m/>
    <m/>
    <m/>
    <m/>
    <n v="15103.55"/>
    <n v="-140.28999999999996"/>
    <n v="-140.28999999999996"/>
    <n v="-140.28999999999996"/>
    <n v="799.71"/>
    <n v="9.7100000000000364"/>
    <n v="-2943"/>
    <n v="-2943"/>
    <n v="-2943"/>
    <n v="-2943"/>
    <n v="-2943"/>
    <n v="-2943"/>
    <n v="-2941"/>
    <n v="-20210.45"/>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5036.403333333335"/>
    <n v="-402.59666666666453"/>
    <n v="0"/>
    <n v="-402.59666666666453"/>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6959.333333333332"/>
    <n v="2019.14"/>
    <n v="2019.24"/>
    <n v="2019.24"/>
    <n v="2019.45"/>
    <n v="2019.45"/>
    <m/>
    <m/>
    <m/>
    <m/>
    <m/>
    <m/>
    <m/>
    <n v="10096.52"/>
    <n v="-100.77666666666642"/>
    <n v="-100.67666666666651"/>
    <n v="-100.67666666666651"/>
    <n v="-100.46666666666647"/>
    <n v="-100.46666666666647"/>
    <n v="-2119.9166666666665"/>
    <n v="-2119.9166666666665"/>
    <n v="-2119.9166666666665"/>
    <n v="-2119.9166666666665"/>
    <n v="-2119.9166666666665"/>
    <n v="-2119.9166666666665"/>
    <n v="-2119.9166666666665"/>
    <n v="-15342.479999999996"/>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8"/>
    <n v="-1820.92"/>
    <n v="0"/>
    <n v="-1820.92"/>
    <s v="Subscription"/>
    <n v="1088.76"/>
    <n v="1088.76"/>
    <n v="1088.76"/>
    <n v="1088.76"/>
    <n v="1088.76"/>
    <n v="1088.76"/>
    <n v="1088.76"/>
    <n v="1088.76"/>
    <n v="1088.76"/>
    <n v="1088.76"/>
    <n v="1088.76"/>
    <n v="1088.76"/>
    <n v="13065.12"/>
    <n v="8710.08"/>
    <n v="1088.76"/>
    <n v="1088.74"/>
    <n v="1088.76"/>
    <n v="1088.74"/>
    <m/>
    <m/>
    <m/>
    <m/>
    <m/>
    <m/>
    <m/>
    <m/>
    <n v="4355"/>
    <n v="0"/>
    <n v="-1.999999999998181E-2"/>
    <n v="0"/>
    <n v="-1.999999999998181E-2"/>
    <n v="-1088.76"/>
    <n v="-1088.76"/>
    <n v="-1088.76"/>
    <n v="-1088.76"/>
    <n v="-1088.76"/>
    <n v="-1088.76"/>
    <n v="-1088.76"/>
    <n v="-1088.76"/>
    <n v="-8710.1200000000008"/>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359552"/>
    <n v="0"/>
    <n v="0"/>
    <n v="0"/>
    <s v="L2 SOW FPC"/>
    <n v="113296"/>
    <n v="113296"/>
    <n v="113296"/>
    <n v="113296"/>
    <n v="113296"/>
    <n v="113296"/>
    <n v="113296"/>
    <n v="113296"/>
    <n v="113296"/>
    <n v="113296"/>
    <n v="113296"/>
    <n v="113296"/>
    <n v="1359552"/>
    <n v="906368"/>
    <n v="113296"/>
    <n v="113296"/>
    <n v="113296"/>
    <n v="113296"/>
    <m/>
    <m/>
    <m/>
    <m/>
    <m/>
    <m/>
    <m/>
    <m/>
    <n v="453184"/>
    <n v="0"/>
    <n v="0"/>
    <n v="0"/>
    <n v="0"/>
    <n v="-113296"/>
    <n v="-113296"/>
    <n v="-113296"/>
    <n v="-113296"/>
    <n v="-113296"/>
    <n v="-113296"/>
    <n v="-113296"/>
    <n v="-113296"/>
    <n v="-906368"/>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4204"/>
    <n v="-4676"/>
    <n v="0"/>
    <n v="-4676"/>
    <s v="T&amp;M"/>
    <n v="18240"/>
    <n v="18240"/>
    <n v="18240"/>
    <n v="18240"/>
    <n v="18240"/>
    <n v="18240"/>
    <n v="18240"/>
    <n v="18240"/>
    <n v="18240"/>
    <n v="18240"/>
    <n v="18240"/>
    <n v="18240"/>
    <n v="218880"/>
    <n v="145920"/>
    <n v="16128"/>
    <n v="16464"/>
    <n v="16588"/>
    <n v="19104"/>
    <m/>
    <m/>
    <m/>
    <m/>
    <m/>
    <m/>
    <m/>
    <m/>
    <n v="68284"/>
    <n v="-2112"/>
    <n v="-1776"/>
    <n v="-1652"/>
    <n v="864"/>
    <n v="-18240"/>
    <n v="-18240"/>
    <n v="-18240"/>
    <n v="-18240"/>
    <n v="-18240"/>
    <n v="-18240"/>
    <n v="-18240"/>
    <n v="-18240"/>
    <n v="-150596"/>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95872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9760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324496"/>
    <n v="-180784"/>
    <n v="0"/>
    <n v="-180784"/>
    <s v="Support SOW + Desktop Support- T&amp;M, QA is not part of our budget"/>
    <n v="125440"/>
    <n v="125440"/>
    <n v="125440"/>
    <n v="125440"/>
    <n v="125440"/>
    <n v="104440"/>
    <n v="104440"/>
    <n v="104440"/>
    <n v="104440"/>
    <n v="104440"/>
    <n v="104440"/>
    <n v="104440"/>
    <n v="1358280"/>
    <n v="856520"/>
    <n v="108864"/>
    <n v="104184"/>
    <n v="129488"/>
    <m/>
    <m/>
    <m/>
    <m/>
    <m/>
    <m/>
    <m/>
    <m/>
    <m/>
    <n v="342536"/>
    <n v="-16576"/>
    <n v="-21256"/>
    <n v="4048"/>
    <n v="-125440"/>
    <n v="-125440"/>
    <n v="-104440"/>
    <n v="-104440"/>
    <n v="-104440"/>
    <n v="-104440"/>
    <n v="-104440"/>
    <n v="-104440"/>
    <n v="-104440"/>
    <n v="-1015744"/>
    <s v="Budget v/s Actuals, saving of $21K/m on Nilesh's exit"/>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9456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pending approval - $5950/mo"/>
    <n v="15000"/>
    <n v="15000"/>
    <n v="15000"/>
    <n v="15000"/>
    <n v="15000"/>
    <n v="5950"/>
    <n v="5950"/>
    <n v="5950"/>
    <n v="5950"/>
    <n v="5950"/>
    <n v="5950"/>
    <n v="5950"/>
    <n v="116650"/>
    <n v="56650"/>
    <n v="15000"/>
    <n v="15000"/>
    <n v="15000"/>
    <n v="15000"/>
    <n v="15000"/>
    <m/>
    <m/>
    <m/>
    <m/>
    <m/>
    <m/>
    <m/>
    <n v="75000"/>
    <n v="0"/>
    <n v="0"/>
    <n v="0"/>
    <n v="0"/>
    <n v="0"/>
    <n v="-5950"/>
    <n v="-5950"/>
    <n v="-5950"/>
    <n v="-5950"/>
    <n v="-5950"/>
    <n v="-5950"/>
    <n v="-5950"/>
    <n v="-4165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43800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15603.36"/>
    <n v="0"/>
    <n v="112403.35999999999"/>
    <n v="112403.35999999999"/>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68800"/>
    <n v="56960.56"/>
    <n v="89522.8"/>
    <n v="63360"/>
    <n v="36960"/>
    <m/>
    <m/>
    <m/>
    <m/>
    <m/>
    <m/>
    <m/>
    <m/>
    <n v="246803.36"/>
    <n v="23360.559999999998"/>
    <n v="55922.8"/>
    <n v="29760"/>
    <n v="3360"/>
    <n v="-33600"/>
    <n v="-33600"/>
    <n v="-33600"/>
    <n v="-33600"/>
    <n v="-33600"/>
    <n v="-33600"/>
    <n v="-33600"/>
    <n v="-33600"/>
    <n v="-156396.64000000001"/>
    <s v="Budget v/s Actuals, allocations are based on capacity planning forecast"/>
    <n v="246803.36"/>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9900"/>
    <n v="-2100"/>
    <n v="0"/>
    <n v="-210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68000"/>
    <n v="21000"/>
    <n v="19950"/>
    <n v="23100"/>
    <n v="17850"/>
    <m/>
    <m/>
    <m/>
    <m/>
    <m/>
    <m/>
    <m/>
    <m/>
    <n v="81900"/>
    <n v="0"/>
    <n v="-1050"/>
    <n v="2100"/>
    <n v="-3150"/>
    <n v="-21000"/>
    <n v="-21000"/>
    <n v="-21000"/>
    <n v="-21000"/>
    <n v="-21000"/>
    <n v="-21000"/>
    <n v="-21000"/>
    <n v="-21000"/>
    <n v="-17010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516400"/>
    <n v="-83600"/>
    <n v="0"/>
    <n v="-83600"/>
    <s v="T&amp;M - [KA - Feb 23] - Forcast updated from Feb to Dec, based on Raymond's exit. This T&amp;M forecast is adjusted in the new QA contract. Adjusted monthly rate starting Apr based on Shanky's exit"/>
    <n v="50000"/>
    <n v="24000"/>
    <n v="24000"/>
    <n v="24000"/>
    <n v="52800"/>
    <n v="52800"/>
    <n v="52800"/>
    <n v="52800"/>
    <n v="52800"/>
    <n v="52800"/>
    <n v="52800"/>
    <n v="52800"/>
    <n v="544400"/>
    <n v="422400"/>
    <n v="44800"/>
    <n v="22800"/>
    <n v="0"/>
    <n v="26400"/>
    <m/>
    <m/>
    <m/>
    <m/>
    <m/>
    <m/>
    <m/>
    <m/>
    <n v="94000"/>
    <n v="-5200"/>
    <n v="-1200"/>
    <n v="-24000"/>
    <n v="2400"/>
    <n v="-52800"/>
    <n v="-52800"/>
    <n v="-52800"/>
    <n v="-52800"/>
    <n v="-52800"/>
    <n v="-52800"/>
    <n v="-52800"/>
    <n v="-52800"/>
    <n v="-450400"/>
    <s v="Raymonds exit gave 26k T&amp;M oppurtunity since Feb but QA resources were hired at same cost, new UAT Lead to be hired from May at $28.8k permonth.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43520"/>
    <n v="11152"/>
    <n v="11296"/>
    <n v="13584"/>
    <n v="4624"/>
    <m/>
    <m/>
    <m/>
    <m/>
    <m/>
    <m/>
    <m/>
    <m/>
    <n v="40656"/>
    <n v="-2288"/>
    <n v="-2144"/>
    <n v="144"/>
    <n v="-816"/>
    <n v="-5440"/>
    <n v="-5440"/>
    <n v="-5440"/>
    <n v="-5440"/>
    <n v="-5440"/>
    <n v="-5440"/>
    <n v="-5440"/>
    <n v="-5440"/>
    <n v="-48624"/>
    <s v="Opp offset with 1Rivet risk (Swati replacinf Shanky) + Budget v/s Actuals"/>
    <n v="40656"/>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208501"/>
    <m/>
    <m/>
    <n v="1091543.6400000001"/>
    <n v="614280.59333333338"/>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670213.0399999996"/>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88180.94"/>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33333.33333333334"/>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66666.666666666672"/>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68202.60000000009"/>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5000.4"/>
    <n v="0"/>
    <n v="0.3999999999996362"/>
    <n v="0.3999999999996362"/>
    <s v="Monthly Incremental - Potential Opportunity-Monthly Incremental - Potential Opportunity"/>
    <n v="1250"/>
    <n v="1250"/>
    <n v="1250"/>
    <n v="1967"/>
    <n v="1967"/>
    <n v="1250"/>
    <n v="1250"/>
    <n v="1250"/>
    <n v="1250"/>
    <n v="1250"/>
    <n v="1250"/>
    <n v="2871"/>
    <n v="18055"/>
    <n v="12338"/>
    <n v="0"/>
    <n v="0"/>
    <n v="696.32"/>
    <n v="1966.08"/>
    <n v="1966.08"/>
    <m/>
    <m/>
    <m/>
    <m/>
    <m/>
    <m/>
    <m/>
    <n v="4628.4799999999996"/>
    <n v="-1250"/>
    <n v="-1250"/>
    <n v="-553.67999999999995"/>
    <n v="-0.92000000000007276"/>
    <n v="-0.92000000000007276"/>
    <n v="-1250"/>
    <n v="-1250"/>
    <n v="-1250"/>
    <n v="-1250"/>
    <n v="-1250"/>
    <n v="-1250"/>
    <n v="-2871"/>
    <n v="-13426.52"/>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77394.7100000009"/>
    <n v="-22605.289999999106"/>
    <n v="0"/>
    <n v="-22605.289999999106"/>
    <s v="3 YR $16MM Commitment;_x000a_Potential Incremental spend for Project Evolution-MS Cloud"/>
    <n v="625000"/>
    <n v="625000"/>
    <n v="625000"/>
    <n v="625000"/>
    <n v="625000"/>
    <n v="625000"/>
    <n v="625000"/>
    <n v="625000"/>
    <n v="625000"/>
    <n v="625000"/>
    <n v="625000"/>
    <n v="608224"/>
    <n v="7483224"/>
    <n v="4983224"/>
    <n v="660370.4"/>
    <n v="603859.57000000007"/>
    <n v="627545.69000000006"/>
    <n v="602395.04999999993"/>
    <n v="573.85"/>
    <m/>
    <m/>
    <m/>
    <m/>
    <m/>
    <m/>
    <m/>
    <n v="2494744.56"/>
    <n v="35370.400000000023"/>
    <n v="-21140.429999999935"/>
    <n v="2545.6900000000605"/>
    <n v="-22604.95000000007"/>
    <n v="-624426.15"/>
    <n v="-625000"/>
    <n v="-625000"/>
    <n v="-625000"/>
    <n v="-625000"/>
    <n v="-625000"/>
    <n v="-625000"/>
    <n v="-608224"/>
    <n v="-4988479.4399999995"/>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668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0544.812250000017"/>
    <n v="-6404.9107499999955"/>
    <n v="0"/>
    <n v="-6404.9107499999955"/>
    <s v="NCE M365 E5"/>
    <n v="840.88"/>
    <n v="1681.7600000000002"/>
    <n v="7245.8102500000014"/>
    <n v="7245.8102500000014"/>
    <n v="7245.8102500000014"/>
    <n v="7245.8102500000014"/>
    <n v="7245.8102500000014"/>
    <n v="7245.8102500000014"/>
    <n v="7245.8102500000014"/>
    <n v="7245.8102500000014"/>
    <n v="7245.8102500000014"/>
    <n v="19214.810250000002"/>
    <n v="86949.742500000022"/>
    <n v="69935.482000000018"/>
    <n v="840.88"/>
    <n v="1681.7600000000002"/>
    <n v="840.88000000000011"/>
    <m/>
    <m/>
    <m/>
    <m/>
    <m/>
    <m/>
    <m/>
    <m/>
    <m/>
    <n v="3363.5200000000004"/>
    <n v="0"/>
    <n v="0"/>
    <n v="-6404.9302500000013"/>
    <n v="-7245.8102500000014"/>
    <n v="-7245.8102500000014"/>
    <n v="-7245.8102500000014"/>
    <n v="-7245.8102500000014"/>
    <n v="-7245.8102500000014"/>
    <n v="-7245.8102500000014"/>
    <n v="-7245.8102500000014"/>
    <n v="-7245.8102500000014"/>
    <n v="-19214.810250000002"/>
    <n v="-83586.222500000018"/>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3000.37"/>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100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96543"/>
    <n v="0"/>
    <n v="0"/>
    <n v="0"/>
    <s v="Recon, this annual cost was projected at 96K but actuals cost was 101k since over threshold it is spread over 12 months as prepaid from May'26-Apr'26 in accounting records"/>
    <m/>
    <m/>
    <m/>
    <m/>
    <n v="96543"/>
    <m/>
    <m/>
    <m/>
    <m/>
    <m/>
    <m/>
    <m/>
    <n v="96543"/>
    <n v="96543"/>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26065"/>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440459.05"/>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3983.05"/>
    <n v="-3630.7500000000582"/>
    <n v="0"/>
    <n v="-3630.7500000000582"/>
    <s v="Paid as Prepaid in 2025; to be renewed in 2026-Paid as Prepaid in 2025; to be renewed in 2026"/>
    <n v="24908.333333333332"/>
    <n v="24908.333333333332"/>
    <n v="24908.333333333332"/>
    <n v="24908.333333333332"/>
    <n v="24908.333333333332"/>
    <n v="25634.483333333334"/>
    <n v="25634.483333333334"/>
    <n v="25634.483333333334"/>
    <n v="25634.483333333334"/>
    <n v="25634.483333333334"/>
    <n v="25634.483333333334"/>
    <n v="25634.483333333334"/>
    <n v="303983.05"/>
    <n v="204349.71666666667"/>
    <n v="24908.333333333332"/>
    <n v="24908.333333333332"/>
    <n v="24908.333333333332"/>
    <n v="24908.333333333332"/>
    <n v="24908.333333333332"/>
    <m/>
    <m/>
    <m/>
    <m/>
    <m/>
    <m/>
    <m/>
    <n v="124541.66666666666"/>
    <n v="0"/>
    <n v="0"/>
    <n v="0"/>
    <n v="0"/>
    <n v="0"/>
    <n v="-25634.483333333334"/>
    <n v="-25634.483333333334"/>
    <n v="-25634.483333333334"/>
    <n v="-25634.483333333334"/>
    <n v="-25634.483333333334"/>
    <n v="-25634.483333333334"/>
    <n v="-25634.483333333334"/>
    <n v="-179441.38333333333"/>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93796.97083333327"/>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m/>
    <m/>
    <m/>
    <m/>
    <m/>
    <m/>
    <m/>
    <m/>
    <n v="39306"/>
    <m/>
    <n v="39306"/>
    <n v="39306"/>
    <m/>
    <m/>
    <m/>
    <m/>
    <m/>
    <m/>
    <m/>
    <m/>
    <m/>
    <m/>
    <m/>
    <m/>
    <n v="0"/>
    <n v="0"/>
    <n v="0"/>
    <n v="0"/>
    <n v="0"/>
    <n v="0"/>
    <n v="0"/>
    <n v="0"/>
    <n v="0"/>
    <n v="0"/>
    <n v="0"/>
    <n v="-39306"/>
    <n v="0"/>
    <n v="-39306"/>
    <m/>
    <n v="0"/>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16550"/>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25.597999999998"/>
    <n v="-107.10000000000582"/>
    <n v="0"/>
    <n v="-107.10000000000582"/>
    <m/>
    <n v="200"/>
    <n v="200"/>
    <n v="200"/>
    <n v="200"/>
    <n v="200"/>
    <n v="200"/>
    <n v="200"/>
    <n v="200"/>
    <n v="200"/>
    <n v="200"/>
    <n v="200"/>
    <n v="68232.698000000004"/>
    <n v="70432.698000000004"/>
    <n v="69632.698000000004"/>
    <n v="161.13999999999999"/>
    <n v="161.13999999999999"/>
    <n v="185.31"/>
    <n v="185.31"/>
    <m/>
    <m/>
    <m/>
    <m/>
    <m/>
    <m/>
    <m/>
    <m/>
    <n v="692.9"/>
    <n v="-38.860000000000014"/>
    <n v="-38.860000000000014"/>
    <n v="-14.689999999999998"/>
    <n v="-14.689999999999998"/>
    <n v="-200"/>
    <n v="-200"/>
    <n v="-200"/>
    <n v="-200"/>
    <n v="-200"/>
    <n v="-200"/>
    <n v="-200"/>
    <n v="-68232.698000000004"/>
    <n v="-69739.79800000001"/>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8.63333333333"/>
    <n v="0"/>
    <n v="2.73333333330811"/>
    <n v="2.73333333330811"/>
    <s v="Software (Prepaid)"/>
    <n v="10832.650000000003"/>
    <n v="10832.650000000003"/>
    <n v="10832.650000000003"/>
    <n v="10832.650000000003"/>
    <n v="10832.650000000003"/>
    <n v="10832.650000000003"/>
    <n v="11375"/>
    <n v="11375"/>
    <n v="11375"/>
    <n v="11375"/>
    <n v="11375"/>
    <n v="11375"/>
    <n v="133245.90000000002"/>
    <n v="89915.3"/>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051.43"/>
    <n v="-237.32549999999901"/>
    <n v="0"/>
    <n v="-237.32549999999901"/>
    <s v="Sftwr- Potential Risk to look for"/>
    <n v="8984.74"/>
    <n v="2271.65"/>
    <n v="1000"/>
    <n v="1000"/>
    <n v="1000"/>
    <n v="1000"/>
    <n v="1000"/>
    <n v="2190.75"/>
    <n v="2190.75"/>
    <n v="2190.75"/>
    <n v="2190.75"/>
    <n v="1523.75"/>
    <n v="26543.14"/>
    <n v="13286.75"/>
    <n v="8984.74"/>
    <n v="2271.65"/>
    <n v="745.2"/>
    <n v="763.08999999999992"/>
    <m/>
    <m/>
    <m/>
    <m/>
    <m/>
    <m/>
    <m/>
    <m/>
    <n v="12764.68"/>
    <n v="0"/>
    <n v="0"/>
    <n v="-254.79999999999995"/>
    <n v="-236.91000000000008"/>
    <n v="-1000"/>
    <n v="-1000"/>
    <n v="-1000"/>
    <n v="-2190.75"/>
    <n v="-2190.75"/>
    <n v="-2190.75"/>
    <n v="-2190.75"/>
    <n v="-1523.75"/>
    <n v="-13778.46"/>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93122.666666666657"/>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42015.66750000001"/>
    <n v="-49630.33249999999"/>
    <n v="0"/>
    <n v="-49630.33249999999"/>
    <s v="Contract is Apr-Mar Budegetd 26 - 191K v/s Actual 172K"/>
    <m/>
    <m/>
    <m/>
    <n v="15970.5"/>
    <n v="15970.5"/>
    <n v="15970.5"/>
    <n v="15970.5"/>
    <n v="15970.5"/>
    <n v="15970.5"/>
    <n v="15970.5"/>
    <n v="15970.5"/>
    <n v="15970.5"/>
    <n v="143734.5"/>
    <n v="127764"/>
    <m/>
    <m/>
    <m/>
    <n v="14251.667500000001"/>
    <n v="14251.667500000001"/>
    <n v="14251.667500000001"/>
    <n v="14251.667500000001"/>
    <n v="14251.667500000001"/>
    <n v="14251.667500000001"/>
    <n v="14251.667500000001"/>
    <n v="14251.667500000001"/>
    <n v="14251.667500000001"/>
    <n v="128265.00749999999"/>
    <n v="0"/>
    <n v="0"/>
    <n v="0"/>
    <n v="-1718.8324999999986"/>
    <n v="-1718.8324999999986"/>
    <n v="-1718.8324999999986"/>
    <n v="-1718.8324999999986"/>
    <n v="-1718.8324999999986"/>
    <n v="-1718.8324999999986"/>
    <n v="-1718.8324999999986"/>
    <n v="-1718.8324999999986"/>
    <n v="-1718.8324999999986"/>
    <n v="-15469.492499999988"/>
    <m/>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79714.039999999994"/>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30144"/>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725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3"/>
    <n v="-1"/>
    <n v="0"/>
    <n v="-1"/>
    <s v="Errouneously paid by BDC CC -32K, Incremental spend 20K-LoungeLizard budget transferred to Equisolve"/>
    <n v="4702"/>
    <n v="1000"/>
    <n v="1000"/>
    <n v="1195"/>
    <n v="1000"/>
    <n v="1000"/>
    <n v="1000"/>
    <n v="1000"/>
    <n v="1000"/>
    <n v="1000"/>
    <n v="1000"/>
    <n v="34037"/>
    <n v="48934"/>
    <n v="41037"/>
    <n v="4704"/>
    <n v="999"/>
    <n v="999"/>
    <n v="1194"/>
    <n v="999"/>
    <m/>
    <m/>
    <m/>
    <m/>
    <m/>
    <m/>
    <m/>
    <n v="8895"/>
    <n v="2"/>
    <n v="-1"/>
    <n v="-1"/>
    <n v="-1"/>
    <n v="-1"/>
    <n v="-1000"/>
    <n v="-1000"/>
    <n v="-1000"/>
    <n v="-1000"/>
    <n v="-1000"/>
    <n v="-1000"/>
    <n v="-34037"/>
    <n v="-40039"/>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70140.2433333341"/>
    <n v="-129859.7566666659"/>
    <n v="0"/>
    <n v="-129859.7566666659"/>
    <s v="RISK AUM-Potential Dec. Opp"/>
    <n v="291666.66666666669"/>
    <n v="291666.66666666669"/>
    <n v="291666.66666666669"/>
    <n v="291666.66666666669"/>
    <n v="291666.66666666669"/>
    <n v="291666.66666666669"/>
    <n v="291666.66666666669"/>
    <n v="291666.66666666669"/>
    <n v="291666.66666666669"/>
    <n v="291666.66666666669"/>
    <n v="291666.66666666669"/>
    <n v="291666.66666666669"/>
    <n v="3499999.9999999995"/>
    <n v="2333333.3333333335"/>
    <n v="261174.96666666667"/>
    <n v="261174.96666666667"/>
    <n v="261174.96666666667"/>
    <n v="253282.01"/>
    <n v="253282.01"/>
    <n v="253282.01"/>
    <m/>
    <m/>
    <m/>
    <m/>
    <m/>
    <m/>
    <n v="1543370.93"/>
    <n v="-30491.700000000012"/>
    <n v="-30491.700000000012"/>
    <n v="-30491.700000000012"/>
    <n v="-38384.656666666677"/>
    <n v="-38384.656666666677"/>
    <n v="-38384.656666666677"/>
    <n v="-291666.66666666669"/>
    <n v="-291666.66666666669"/>
    <n v="-291666.66666666669"/>
    <n v="-291666.66666666669"/>
    <n v="-291666.66666666669"/>
    <n v="-291666.66666666669"/>
    <n v="-1956629.0700000003"/>
    <s v="WSO Web service + Orion CLO"/>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49358.66666666663"/>
    <n v="48333.333333333336"/>
    <n v="48333.333333333336"/>
    <n v="48333.333333333336"/>
    <n v="48333.333333333336"/>
    <n v="48333.333333333336"/>
    <m/>
    <m/>
    <m/>
    <m/>
    <m/>
    <m/>
    <m/>
    <n v="241666.66666666669"/>
    <n v="0"/>
    <n v="0"/>
    <n v="0"/>
    <n v="0"/>
    <n v="0"/>
    <n v="-57289.333333333336"/>
    <n v="-57289.333333333336"/>
    <n v="-57289.333333333336"/>
    <n v="-57289.333333333336"/>
    <n v="-57289.333333333336"/>
    <n v="-57289.333333333336"/>
    <n v="-57289.333333333336"/>
    <n v="-401025.33333333331"/>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176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32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923710"/>
    <n v="-17090"/>
    <n v="0"/>
    <n v="-17090"/>
    <s v="T&amp;M - Intellibus"/>
    <n v="156800"/>
    <n v="156800"/>
    <n v="156800"/>
    <n v="156800"/>
    <n v="156800"/>
    <n v="156800"/>
    <m/>
    <m/>
    <m/>
    <m/>
    <m/>
    <m/>
    <n v="940800"/>
    <n v="313600"/>
    <n v="153008"/>
    <n v="138848"/>
    <n v="154496"/>
    <n v="163758"/>
    <m/>
    <m/>
    <m/>
    <m/>
    <m/>
    <m/>
    <m/>
    <m/>
    <n v="610110"/>
    <n v="-3792"/>
    <n v="-17952"/>
    <n v="-2304"/>
    <n v="6958"/>
    <n v="-156800"/>
    <n v="-156800"/>
    <n v="0"/>
    <n v="0"/>
    <n v="0"/>
    <n v="0"/>
    <n v="0"/>
    <n v="0"/>
    <n v="-330690"/>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92117.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666666.6666666665"/>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m/>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0153.4033333333"/>
    <n v="0"/>
    <n v="26135.403333333321"/>
    <n v="26135.403333333321"/>
    <m/>
    <n v="103668.16666666667"/>
    <n v="103668.16666666667"/>
    <n v="103668.16666666667"/>
    <n v="103668.16666666667"/>
    <n v="103668.16666666667"/>
    <n v="103668.16666666667"/>
    <n v="103668.16666666667"/>
    <n v="103668.16666666667"/>
    <n v="103668.16666666667"/>
    <n v="103668.16666666667"/>
    <n v="103668.16666666667"/>
    <n v="103668.16666666667"/>
    <n v="1244018"/>
    <n v="829345.33333333326"/>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o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455823.33333333326"/>
    <n v="0"/>
    <n v="44275.833333333256"/>
    <n v="44275.833333333256"/>
    <s v="Year 1 of 3: 1/26/26 to 1/25/27 - Capitalizable"/>
    <n v="34295.625"/>
    <n v="34295.625"/>
    <n v="34295.625"/>
    <n v="34295.625"/>
    <n v="34295.625"/>
    <n v="34295.625"/>
    <n v="34295.625"/>
    <n v="34295.625"/>
    <n v="34295.625"/>
    <n v="34295.625"/>
    <n v="34295.625"/>
    <n v="34295.625"/>
    <n v="411547.5"/>
    <n v="274365"/>
    <n v="45364.583333333336"/>
    <n v="45364.583333333336"/>
    <n v="45364.583333333336"/>
    <n v="45364.583333333336"/>
    <n v="45364.583333333336"/>
    <n v="45364.583333333336"/>
    <n v="45364.583333333336"/>
    <n v="45364.583333333336"/>
    <n v="45364.583333333336"/>
    <n v="45364.583333333336"/>
    <n v="45364.583333333336"/>
    <n v="45364.583333333336"/>
    <n v="544374.99999999988"/>
    <n v="11068.958333333336"/>
    <n v="11068.958333333336"/>
    <n v="11068.958333333336"/>
    <n v="11068.958333333336"/>
    <n v="11068.958333333336"/>
    <n v="11068.958333333336"/>
    <n v="11068.958333333336"/>
    <n v="11068.958333333336"/>
    <n v="11068.958333333336"/>
    <n v="11068.958333333336"/>
    <n v="11068.958333333336"/>
    <n v="11068.958333333336"/>
    <n v="132827.50000000006"/>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4230"/>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07.88"/>
    <n v="0"/>
    <n v="77.880000000000109"/>
    <n v="77.880000000000109"/>
    <m/>
    <n v="353"/>
    <n v="353"/>
    <n v="353"/>
    <n v="353"/>
    <n v="353"/>
    <n v="353"/>
    <n v="353"/>
    <n v="353"/>
    <n v="353"/>
    <n v="353"/>
    <n v="353"/>
    <n v="347"/>
    <n v="4230"/>
    <n v="2818"/>
    <n v="370.83"/>
    <n v="375.95"/>
    <n v="371.55"/>
    <n v="371.55"/>
    <n v="514.15"/>
    <m/>
    <m/>
    <m/>
    <m/>
    <m/>
    <m/>
    <m/>
    <n v="2004.0299999999997"/>
    <n v="17.829999999999984"/>
    <n v="22.949999999999989"/>
    <n v="18.550000000000011"/>
    <n v="18.550000000000011"/>
    <n v="161.14999999999998"/>
    <n v="-353"/>
    <n v="-353"/>
    <n v="-353"/>
    <n v="-353"/>
    <n v="-353"/>
    <n v="-353"/>
    <n v="-347"/>
    <n v="-2225.9700000000003"/>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00.0167000000001"/>
    <n v="0"/>
    <n v="157.01670000000013"/>
    <n v="157.01670000000013"/>
    <s v="In CAD"/>
    <n v="587"/>
    <n v="587"/>
    <n v="587"/>
    <n v="587"/>
    <n v="587"/>
    <n v="587"/>
    <n v="587"/>
    <n v="587"/>
    <n v="587"/>
    <n v="587"/>
    <n v="587"/>
    <n v="586"/>
    <n v="7043"/>
    <n v="4695"/>
    <n v="620.09"/>
    <n v="628.66"/>
    <n v="627.61749999999995"/>
    <n v="628.64919999999995"/>
    <n v="859.75"/>
    <m/>
    <m/>
    <m/>
    <m/>
    <m/>
    <m/>
    <m/>
    <n v="3364.7666999999997"/>
    <n v="33.090000000000032"/>
    <n v="41.659999999999968"/>
    <n v="40.61749999999995"/>
    <n v="41.649199999999951"/>
    <n v="272.75"/>
    <n v="-587"/>
    <n v="-587"/>
    <n v="-587"/>
    <n v="-587"/>
    <n v="-587"/>
    <n v="-587"/>
    <n v="-586"/>
    <n v="-3678.2332999999999"/>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7017.74"/>
    <n v="0"/>
    <n v="4117.74"/>
    <n v="4117.74"/>
    <s v="  "/>
    <m/>
    <n v="17"/>
    <m/>
    <n v="2883"/>
    <m/>
    <m/>
    <m/>
    <m/>
    <m/>
    <m/>
    <m/>
    <m/>
    <n v="2900"/>
    <n v="0"/>
    <m/>
    <n v="16.739999999999998"/>
    <m/>
    <n v="7001"/>
    <m/>
    <m/>
    <m/>
    <m/>
    <m/>
    <m/>
    <m/>
    <m/>
    <n v="7017.74"/>
    <n v="0"/>
    <n v="-0.26000000000000156"/>
    <n v="0"/>
    <n v="4118"/>
    <n v="0"/>
    <n v="0"/>
    <n v="0"/>
    <n v="0"/>
    <n v="0"/>
    <n v="0"/>
    <n v="0"/>
    <n v="0"/>
    <n v="4117.74"/>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28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990.466666666667"/>
    <n v="-546.53333333333285"/>
    <n v="0"/>
    <n v="-546.53333333333285"/>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3024.666666666664"/>
    <n v="2741.45"/>
    <n v="2741.45"/>
    <n v="2741.45"/>
    <n v="2741.45"/>
    <m/>
    <m/>
    <m/>
    <m/>
    <m/>
    <m/>
    <m/>
    <m/>
    <n v="10965.8"/>
    <n v="-136.63333333333367"/>
    <n v="-136.63333333333367"/>
    <n v="-136.63333333333367"/>
    <n v="-136.63333333333367"/>
    <n v="-2878.0833333333335"/>
    <n v="-2878.0833333333335"/>
    <n v="-2878.0833333333335"/>
    <n v="-2878.0833333333335"/>
    <n v="-2878.0833333333335"/>
    <n v="-2878.0833333333335"/>
    <n v="-2878.0833333333335"/>
    <n v="-2878.0833333333335"/>
    <n v="-23571.200000000001"/>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21712.7533333333"/>
    <n v="-0.32166666677221656"/>
    <n v="0"/>
    <n v="-0.32166666677221656"/>
    <m/>
    <n v="30215.78"/>
    <n v="35893.14"/>
    <n v="35143.583333333336"/>
    <n v="35143.583333333336"/>
    <n v="35143.583333333336"/>
    <n v="35143.583333333336"/>
    <n v="35143.583333333336"/>
    <n v="35143.583333333336"/>
    <n v="35143.583333333336"/>
    <n v="35143.583333333336"/>
    <n v="35143.583333333336"/>
    <n v="39311.583333333299"/>
    <n v="421712.7533333333"/>
    <n v="285316.66666666669"/>
    <n v="30215.78"/>
    <n v="35893.14"/>
    <m/>
    <m/>
    <m/>
    <m/>
    <m/>
    <m/>
    <m/>
    <m/>
    <m/>
    <m/>
    <n v="66108.92"/>
    <n v="0"/>
    <n v="0"/>
    <n v="-35143.583333333336"/>
    <n v="-35143.583333333336"/>
    <n v="-35143.583333333336"/>
    <n v="-35143.583333333336"/>
    <n v="-35143.583333333336"/>
    <n v="-35143.583333333336"/>
    <n v="-35143.583333333336"/>
    <n v="-35143.583333333336"/>
    <n v="-35143.583333333336"/>
    <n v="-39311.583333333299"/>
    <n v="-355603.83333333331"/>
    <m/>
    <n v="66108.92"/>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3097.333333333336"/>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
    <m/>
    <m/>
    <m/>
    <m/>
    <m/>
    <m/>
    <m/>
    <m/>
    <m/>
    <m/>
    <m/>
    <m/>
    <n v="0"/>
    <n v="0"/>
    <n v="0"/>
    <n v="0"/>
    <n v="6769.5300000000007"/>
    <n v="8814.31"/>
    <n v="0"/>
    <n v="0"/>
    <n v="0"/>
    <n v="0"/>
    <n v="0"/>
    <n v="0"/>
    <n v="0"/>
    <n v="0"/>
    <n v="15583.84"/>
    <n v="0"/>
    <n v="0"/>
    <n v="6769.5300000000007"/>
    <n v="8814.31"/>
    <n v="0"/>
    <n v="0"/>
    <n v="0"/>
    <n v="0"/>
    <n v="0"/>
    <n v="0"/>
    <n v="0"/>
    <n v="0"/>
    <n v="15583.84"/>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95.86"/>
    <n v="0"/>
    <n v="95.86"/>
    <n v="95.86"/>
    <s v="Variable Monthly Usage"/>
    <m/>
    <m/>
    <m/>
    <m/>
    <m/>
    <m/>
    <m/>
    <m/>
    <m/>
    <m/>
    <m/>
    <m/>
    <n v="0"/>
    <n v="0"/>
    <n v="26.13"/>
    <n v="24.41"/>
    <n v="23.21"/>
    <n v="22.110000000000003"/>
    <m/>
    <m/>
    <m/>
    <m/>
    <m/>
    <m/>
    <m/>
    <m/>
    <n v="95.86"/>
    <n v="26.13"/>
    <n v="24.41"/>
    <n v="23.21"/>
    <n v="22.110000000000003"/>
    <n v="0"/>
    <n v="0"/>
    <n v="0"/>
    <n v="0"/>
    <n v="0"/>
    <n v="0"/>
    <n v="0"/>
    <n v="0"/>
    <n v="95.86"/>
    <s v="Hard Risk, unbudgeted"/>
    <n v="95.86"/>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s v="  "/>
    <m/>
    <m/>
    <n v="20397.5"/>
    <m/>
    <m/>
    <n v="20397.5"/>
    <m/>
    <m/>
    <n v="20397.5"/>
    <m/>
    <m/>
    <n v="20397.5"/>
    <n v="81590"/>
    <n v="61192.5"/>
    <m/>
    <m/>
    <n v="5114.71"/>
    <m/>
    <m/>
    <m/>
    <m/>
    <m/>
    <m/>
    <m/>
    <m/>
    <m/>
    <n v="5114.71"/>
    <n v="0"/>
    <n v="0"/>
    <n v="-15282.79"/>
    <n v="0"/>
    <n v="0"/>
    <n v="-20397.5"/>
    <n v="0"/>
    <n v="0"/>
    <n v="-20397.5"/>
    <n v="0"/>
    <n v="0"/>
    <n v="-20397.5"/>
    <n v="-76475.290000000008"/>
    <s v="Budget v/s Actuals"/>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1100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208333.33333333334"/>
    <n v="-41666.666666666657"/>
    <n v="0"/>
    <n v="-41666.666666666657"/>
    <s v="New 2026 BoW"/>
    <m/>
    <m/>
    <n v="20833.333333333332"/>
    <n v="20833.333333333332"/>
    <n v="20833.333333333332"/>
    <n v="20833.333333333332"/>
    <n v="20833.333333333332"/>
    <n v="20833.333333333332"/>
    <n v="20833.333333333332"/>
    <n v="20833.333333333332"/>
    <n v="20833.333333333332"/>
    <n v="20833.333333333332"/>
    <n v="208333.33333333334"/>
    <n v="166666.66666666666"/>
    <m/>
    <m/>
    <m/>
    <m/>
    <m/>
    <m/>
    <m/>
    <m/>
    <m/>
    <m/>
    <m/>
    <m/>
    <n v="0"/>
    <n v="0"/>
    <n v="0"/>
    <n v="-20833.333333333332"/>
    <n v="-20833.333333333332"/>
    <n v="-20833.333333333332"/>
    <n v="-20833.333333333332"/>
    <n v="-20833.333333333332"/>
    <n v="-20833.333333333332"/>
    <n v="-20833.333333333332"/>
    <n v="-20833.333333333332"/>
    <n v="-20833.333333333332"/>
    <n v="-20833.333333333332"/>
    <n v="-208333.33333333334"/>
    <s v="Unutilised funds, budgeted for new initiatives planned in 2026"/>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m/>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50000"/>
    <n v="0"/>
    <n v="0"/>
    <n v="0"/>
    <s v="New 2026 BoW (Capitalizable)"/>
    <m/>
    <m/>
    <m/>
    <m/>
    <m/>
    <n v="50000"/>
    <m/>
    <m/>
    <m/>
    <m/>
    <m/>
    <m/>
    <n v="50000"/>
    <n v="50000"/>
    <m/>
    <m/>
    <m/>
    <m/>
    <m/>
    <m/>
    <m/>
    <m/>
    <m/>
    <m/>
    <m/>
    <m/>
    <n v="0"/>
    <n v="0"/>
    <n v="0"/>
    <n v="0"/>
    <n v="0"/>
    <n v="0"/>
    <n v="-50000"/>
    <n v="0"/>
    <n v="0"/>
    <n v="0"/>
    <n v="0"/>
    <n v="0"/>
    <n v="0"/>
    <n v="-50000"/>
    <m/>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730000"/>
    <n v="600000"/>
    <n v="-130000"/>
    <n v="0"/>
    <n v="-130000"/>
    <s v="New 2026 BoW"/>
    <m/>
    <m/>
    <n v="100000"/>
    <n v="200000"/>
    <n v="200000"/>
    <n v="100000"/>
    <m/>
    <m/>
    <m/>
    <m/>
    <m/>
    <m/>
    <n v="600000"/>
    <n v="300000"/>
    <m/>
    <m/>
    <m/>
    <m/>
    <m/>
    <m/>
    <m/>
    <m/>
    <m/>
    <m/>
    <m/>
    <m/>
    <n v="0"/>
    <n v="0"/>
    <n v="0"/>
    <n v="-100000"/>
    <n v="-200000"/>
    <n v="-200000"/>
    <n v="-100000"/>
    <n v="0"/>
    <n v="0"/>
    <n v="0"/>
    <n v="0"/>
    <n v="0"/>
    <n v="0"/>
    <n v="-600000"/>
    <s v="Unutilised funds, budgeted for new initiatives planned in 2026"/>
    <n v="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New 2026 BoW"/>
    <m/>
    <n v="0"/>
    <n v="120000"/>
    <n v="120000"/>
    <n v="0"/>
    <n v="0"/>
    <n v="0"/>
    <s v="New 2026 BoW"/>
    <m/>
    <m/>
    <m/>
    <m/>
    <n v="40000"/>
    <n v="40000"/>
    <n v="40000"/>
    <m/>
    <m/>
    <m/>
    <m/>
    <m/>
    <n v="120000"/>
    <n v="12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420000"/>
    <n v="-80000"/>
    <n v="0"/>
    <n v="-80000"/>
    <s v="New 2026 BoW (Capitalizable)"/>
    <m/>
    <m/>
    <m/>
    <m/>
    <m/>
    <n v="60000"/>
    <n v="60000"/>
    <n v="60000"/>
    <n v="60000"/>
    <n v="60000"/>
    <n v="60000"/>
    <n v="60000"/>
    <n v="420000"/>
    <n v="420000"/>
    <m/>
    <m/>
    <m/>
    <m/>
    <m/>
    <m/>
    <m/>
    <m/>
    <m/>
    <m/>
    <m/>
    <m/>
    <n v="0"/>
    <n v="0"/>
    <n v="0"/>
    <n v="0"/>
    <n v="0"/>
    <n v="0"/>
    <n v="-60000"/>
    <n v="-60000"/>
    <n v="-60000"/>
    <n v="-60000"/>
    <n v="-60000"/>
    <n v="-60000"/>
    <n v="-60000"/>
    <n v="-420000"/>
    <s v="Unutilised funds, budgeted for new initiatives planned in 2026"/>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300000"/>
    <n v="-300000"/>
    <n v="0"/>
    <n v="-300000"/>
    <s v="New 2026 BoW (Capitalizable)"/>
    <m/>
    <m/>
    <m/>
    <m/>
    <m/>
    <m/>
    <n v="50000"/>
    <n v="50000"/>
    <n v="50000"/>
    <n v="50000"/>
    <n v="50000"/>
    <n v="50000"/>
    <n v="300000"/>
    <n v="300000"/>
    <m/>
    <m/>
    <m/>
    <m/>
    <m/>
    <m/>
    <m/>
    <m/>
    <m/>
    <m/>
    <m/>
    <m/>
    <n v="0"/>
    <n v="0"/>
    <n v="0"/>
    <n v="0"/>
    <n v="0"/>
    <n v="0"/>
    <n v="0"/>
    <n v="-50000"/>
    <n v="-50000"/>
    <n v="-50000"/>
    <n v="-50000"/>
    <n v="-50000"/>
    <n v="-50000"/>
    <n v="-300000"/>
    <s v="Unutilised funds, budgeted for new initiatives planned in 2026"/>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300000"/>
    <n v="-200000"/>
    <n v="0"/>
    <n v="-200000"/>
    <s v="New 2026 BoW"/>
    <m/>
    <m/>
    <m/>
    <m/>
    <m/>
    <m/>
    <n v="50000"/>
    <n v="50000"/>
    <n v="50000"/>
    <n v="50000"/>
    <n v="50000"/>
    <n v="50000"/>
    <n v="300000"/>
    <n v="300000"/>
    <m/>
    <m/>
    <m/>
    <m/>
    <m/>
    <m/>
    <m/>
    <m/>
    <m/>
    <m/>
    <m/>
    <m/>
    <n v="0"/>
    <n v="0"/>
    <n v="0"/>
    <n v="0"/>
    <n v="0"/>
    <n v="0"/>
    <n v="0"/>
    <n v="-50000"/>
    <n v="-50000"/>
    <n v="-50000"/>
    <n v="-50000"/>
    <n v="-50000"/>
    <n v="-50000"/>
    <n v="-300000"/>
    <s v="Unutilised funds, budgeted for new initiatives planned in 2026"/>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58056.52"/>
    <n v="29028.26"/>
    <n v="29028.26"/>
    <n v="29028.26"/>
    <n v="29028.26"/>
    <m/>
    <m/>
    <m/>
    <m/>
    <m/>
    <m/>
    <m/>
    <m/>
    <n v="116113.04"/>
    <n v="0"/>
    <n v="0"/>
    <n v="0"/>
    <n v="0"/>
    <n v="-29028.26"/>
    <n v="-29028.26"/>
    <n v="0"/>
    <n v="0"/>
    <n v="0"/>
    <n v="0"/>
    <n v="0"/>
    <n v="0"/>
    <n v="-58056.52"/>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m/>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250000"/>
    <n v="0"/>
    <n v="0"/>
    <n v="0"/>
    <s v="New 2026 BoW (Capitalizable)"/>
    <m/>
    <m/>
    <m/>
    <m/>
    <m/>
    <m/>
    <m/>
    <m/>
    <m/>
    <n v="250000"/>
    <m/>
    <m/>
    <n v="250000"/>
    <n v="250000"/>
    <m/>
    <m/>
    <m/>
    <m/>
    <m/>
    <m/>
    <m/>
    <m/>
    <m/>
    <m/>
    <m/>
    <m/>
    <n v="0"/>
    <n v="0"/>
    <n v="0"/>
    <n v="0"/>
    <n v="0"/>
    <n v="0"/>
    <n v="0"/>
    <n v="0"/>
    <n v="0"/>
    <n v="0"/>
    <n v="-250000"/>
    <n v="0"/>
    <n v="0"/>
    <n v="-250000"/>
    <s v="Unutilised funds, budgeted for new initiatives planned in 2026"/>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New 2026 BoW"/>
    <n v="52988.05"/>
    <n v="100000"/>
    <n v="100000"/>
    <n v="100000"/>
    <n v="0"/>
    <n v="0"/>
    <n v="0"/>
    <s v="New 2026 BoW"/>
    <m/>
    <m/>
    <m/>
    <m/>
    <m/>
    <m/>
    <m/>
    <m/>
    <m/>
    <m/>
    <n v="100000"/>
    <m/>
    <n v="100000"/>
    <n v="100000"/>
    <m/>
    <m/>
    <m/>
    <m/>
    <m/>
    <m/>
    <m/>
    <m/>
    <m/>
    <m/>
    <m/>
    <m/>
    <n v="0"/>
    <n v="0"/>
    <n v="0"/>
    <n v="0"/>
    <n v="0"/>
    <n v="0"/>
    <n v="0"/>
    <n v="0"/>
    <n v="0"/>
    <n v="0"/>
    <n v="0"/>
    <n v="-100000"/>
    <n v="0"/>
    <n v="-100000"/>
    <m/>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100000"/>
    <n v="0"/>
    <n v="0"/>
    <n v="0"/>
    <s v="New 2026 BoW (batch orchestraion work)"/>
    <m/>
    <m/>
    <m/>
    <m/>
    <m/>
    <m/>
    <m/>
    <m/>
    <m/>
    <m/>
    <m/>
    <n v="100000"/>
    <n v="100000"/>
    <n v="100000"/>
    <m/>
    <m/>
    <m/>
    <m/>
    <m/>
    <m/>
    <m/>
    <m/>
    <m/>
    <m/>
    <m/>
    <m/>
    <n v="0"/>
    <n v="0"/>
    <n v="0"/>
    <n v="0"/>
    <n v="0"/>
    <n v="0"/>
    <n v="0"/>
    <n v="0"/>
    <n v="0"/>
    <n v="0"/>
    <n v="0"/>
    <n v="0"/>
    <n v="-100000"/>
    <n v="-100000"/>
    <m/>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243114.68"/>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89552.24666666664"/>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940800"/>
    <n v="0"/>
    <n v="940800"/>
    <n v="940800"/>
    <s v="T&amp;M- H2-2026 Risk"/>
    <m/>
    <m/>
    <m/>
    <m/>
    <m/>
    <m/>
    <n v="156800"/>
    <n v="156800"/>
    <n v="156800"/>
    <n v="156800"/>
    <n v="156800"/>
    <n v="156800"/>
    <n v="940800"/>
    <n v="940800"/>
    <m/>
    <m/>
    <m/>
    <m/>
    <m/>
    <m/>
    <m/>
    <m/>
    <m/>
    <m/>
    <m/>
    <m/>
    <n v="0"/>
    <n v="0"/>
    <n v="0"/>
    <n v="0"/>
    <n v="0"/>
    <n v="0"/>
    <n v="0"/>
    <n v="-156800"/>
    <n v="-156800"/>
    <n v="-156800"/>
    <n v="-156800"/>
    <n v="-156800"/>
    <n v="-156800"/>
    <n v="-94080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528000"/>
    <n v="0"/>
    <n v="528000"/>
    <n v="528000"/>
    <s v="T&amp;M IVP Mgmt (TOM)- Rahul &amp; Vaibhav + 2 for H2-2026 - Risk"/>
    <m/>
    <m/>
    <m/>
    <m/>
    <m/>
    <m/>
    <n v="88000"/>
    <n v="88000"/>
    <n v="88000"/>
    <n v="88000"/>
    <n v="88000"/>
    <n v="88000"/>
    <n v="528000"/>
    <n v="528000"/>
    <m/>
    <m/>
    <m/>
    <m/>
    <m/>
    <m/>
    <m/>
    <m/>
    <m/>
    <m/>
    <m/>
    <m/>
    <n v="0"/>
    <n v="0"/>
    <n v="0"/>
    <n v="0"/>
    <n v="0"/>
    <n v="0"/>
    <n v="0"/>
    <n v="-88000"/>
    <n v="-88000"/>
    <n v="-88000"/>
    <n v="-88000"/>
    <n v="-88000"/>
    <n v="-88000"/>
    <n v="-528000"/>
    <s v="Contract expected to extend in second half of 2026, unbudgeted"/>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6016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2256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92000"/>
    <n v="0"/>
    <n v="92000"/>
    <n v="92000"/>
    <s v="This was not part of initial budget"/>
    <m/>
    <m/>
    <m/>
    <n v="92000"/>
    <m/>
    <m/>
    <m/>
    <m/>
    <m/>
    <m/>
    <m/>
    <m/>
    <n v="92000"/>
    <n v="0"/>
    <m/>
    <m/>
    <m/>
    <n v="92000"/>
    <m/>
    <m/>
    <m/>
    <m/>
    <m/>
    <m/>
    <m/>
    <m/>
    <n v="92000"/>
    <n v="0"/>
    <n v="0"/>
    <n v="0"/>
    <n v="0"/>
    <n v="0"/>
    <n v="0"/>
    <n v="0"/>
    <n v="0"/>
    <n v="0"/>
    <n v="0"/>
    <n v="0"/>
    <n v="0"/>
    <n v="0"/>
    <s v="Unbudgeted, New risk - CME Group SOFR License"/>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57"/>
    <n v="0"/>
    <n v="10392.66666666657"/>
    <n v="10392.66666666657"/>
    <s v="Renewed 6/1/25, anniversary date true-up-CRM (Prepaid)"/>
    <n v="30083.333333333332"/>
    <n v="30083.333333333332"/>
    <n v="30083.333333333332"/>
    <n v="30083.333333333332"/>
    <n v="30083.333333333332"/>
    <n v="31568"/>
    <n v="31568"/>
    <n v="31568"/>
    <n v="31568"/>
    <n v="31568"/>
    <n v="31568"/>
    <n v="31568"/>
    <n v="371392.66666666663"/>
    <n v="251059.33333333331"/>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214257.06666666668"/>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71"/>
    <n v="-0.29000000000814907"/>
    <n v="0"/>
    <n v="-0.29000000000814907"/>
    <s v="  "/>
    <n v="21620.75"/>
    <n v="21620.75"/>
    <n v="21620.75"/>
    <n v="25262.75"/>
    <n v="21620.75"/>
    <n v="21620.75"/>
    <n v="21620.75"/>
    <n v="21620.75"/>
    <n v="21620.75"/>
    <n v="21620.75"/>
    <n v="21620.75"/>
    <n v="48126.75"/>
    <n v="289597"/>
    <n v="199472"/>
    <n v="11185.549999999997"/>
    <n v="7399.97"/>
    <n v="16129.190000000002"/>
    <n v="25262"/>
    <m/>
    <m/>
    <m/>
    <m/>
    <m/>
    <m/>
    <m/>
    <m/>
    <n v="59976.71"/>
    <n v="-10435.200000000003"/>
    <n v="-14220.779999999999"/>
    <n v="-5491.5599999999977"/>
    <n v="-0.75"/>
    <n v="-21620.75"/>
    <n v="-21620.75"/>
    <n v="-21620.75"/>
    <n v="-21620.75"/>
    <n v="-21620.75"/>
    <n v="-21620.75"/>
    <n v="-21620.75"/>
    <n v="-48126.75"/>
    <n v="-229620.29"/>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92275"/>
    <n v="-7725"/>
    <n v="0"/>
    <n v="-7725"/>
    <s v="check for contract copy"/>
    <n v="7600"/>
    <n v="7600"/>
    <n v="7600"/>
    <n v="7600"/>
    <n v="7600"/>
    <n v="7600"/>
    <n v="7600"/>
    <n v="7600"/>
    <n v="7600"/>
    <n v="7600"/>
    <n v="7600"/>
    <n v="7600"/>
    <n v="91200"/>
    <n v="60800"/>
    <n v="7600"/>
    <n v="7600"/>
    <n v="8675"/>
    <n v="7600"/>
    <n v="15340"/>
    <m/>
    <m/>
    <m/>
    <m/>
    <m/>
    <m/>
    <m/>
    <n v="46815"/>
    <n v="0"/>
    <n v="0"/>
    <n v="1075"/>
    <n v="0"/>
    <n v="7740"/>
    <n v="-7600"/>
    <n v="-7600"/>
    <n v="-7600"/>
    <n v="-7600"/>
    <n v="-7600"/>
    <n v="-7600"/>
    <n v="-7600"/>
    <n v="-443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37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500"/>
    <n v="39000"/>
    <n v="25000"/>
    <n v="1000"/>
    <n v="2500"/>
    <n v="10000"/>
    <m/>
    <m/>
    <m/>
    <m/>
    <m/>
    <m/>
    <m/>
    <m/>
    <m/>
    <n v="13500"/>
    <n v="-2500"/>
    <n v="-1000"/>
    <n v="6500"/>
    <n v="-3500"/>
    <n v="-3500"/>
    <n v="-3500"/>
    <n v="-3500"/>
    <n v="-3500"/>
    <n v="-3500"/>
    <n v="-3500"/>
    <n v="-3500"/>
    <n v="-500"/>
    <n v="-25500"/>
    <s v="This cost is not fixed and will be fluctuating per month"/>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9095.56000000006"/>
    <n v="-10904.439999999944"/>
    <n v="0"/>
    <n v="-10904.439999999944"/>
    <s v="Network Managed Services (Network Operation Centre (NOC))"/>
    <n v="15000"/>
    <n v="15000"/>
    <n v="15000"/>
    <n v="15000"/>
    <n v="15000"/>
    <n v="15725"/>
    <n v="15725"/>
    <n v="15725"/>
    <n v="15725"/>
    <n v="15725"/>
    <n v="15725"/>
    <n v="15725"/>
    <n v="185075"/>
    <n v="125075"/>
    <n v="11005.14"/>
    <n v="11005.14"/>
    <n v="11005.14"/>
    <n v="11005.14"/>
    <m/>
    <m/>
    <m/>
    <m/>
    <m/>
    <m/>
    <m/>
    <m/>
    <n v="44020.56"/>
    <n v="-3994.8600000000006"/>
    <n v="-3994.8600000000006"/>
    <n v="-3994.8600000000006"/>
    <n v="-3994.8600000000006"/>
    <n v="-15000"/>
    <n v="-15725"/>
    <n v="-15725"/>
    <n v="-15725"/>
    <n v="-15725"/>
    <n v="-15725"/>
    <n v="-15725"/>
    <n v="-15725"/>
    <n v="-141054.44"/>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692.839999999997"/>
    <n v="0"/>
    <n v="378.83999999999651"/>
    <n v="378.83999999999651"/>
    <s v="  "/>
    <n v="2943"/>
    <n v="2943"/>
    <n v="2943"/>
    <n v="2943"/>
    <n v="2943"/>
    <n v="2943"/>
    <n v="2943"/>
    <n v="2943"/>
    <n v="2943"/>
    <n v="2943"/>
    <n v="2943"/>
    <n v="2941"/>
    <n v="35314"/>
    <n v="23542"/>
    <n v="2802.71"/>
    <n v="2802.71"/>
    <n v="2802.71"/>
    <n v="3742.71"/>
    <n v="2952.71"/>
    <m/>
    <m/>
    <m/>
    <m/>
    <m/>
    <m/>
    <m/>
    <n v="15103.55"/>
    <n v="-140.28999999999996"/>
    <n v="-140.28999999999996"/>
    <n v="-140.28999999999996"/>
    <n v="799.71"/>
    <n v="9.7100000000000364"/>
    <n v="-2943"/>
    <n v="-2943"/>
    <n v="-2943"/>
    <n v="-2943"/>
    <n v="-2943"/>
    <n v="-2943"/>
    <n v="-2941"/>
    <n v="-20210.45"/>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5036.403333333335"/>
    <n v="-402.59666666666453"/>
    <n v="0"/>
    <n v="-402.59666666666453"/>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6959.333333333332"/>
    <n v="2019.14"/>
    <n v="2019.24"/>
    <n v="2019.24"/>
    <n v="2019.45"/>
    <n v="2019.45"/>
    <m/>
    <m/>
    <m/>
    <m/>
    <m/>
    <m/>
    <m/>
    <n v="10096.52"/>
    <n v="-100.77666666666642"/>
    <n v="-100.67666666666651"/>
    <n v="-100.67666666666651"/>
    <n v="-100.46666666666647"/>
    <n v="-100.46666666666647"/>
    <n v="-2119.9166666666665"/>
    <n v="-2119.9166666666665"/>
    <n v="-2119.9166666666665"/>
    <n v="-2119.9166666666665"/>
    <n v="-2119.9166666666665"/>
    <n v="-2119.9166666666665"/>
    <n v="-2119.9166666666665"/>
    <n v="-15342.479999999996"/>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8"/>
    <n v="-1820.92"/>
    <n v="0"/>
    <n v="-1820.92"/>
    <s v="Subscription"/>
    <n v="1088.76"/>
    <n v="1088.76"/>
    <n v="1088.76"/>
    <n v="1088.76"/>
    <n v="1088.76"/>
    <n v="1088.76"/>
    <n v="1088.76"/>
    <n v="1088.76"/>
    <n v="1088.76"/>
    <n v="1088.76"/>
    <n v="1088.76"/>
    <n v="1088.76"/>
    <n v="13065.12"/>
    <n v="8710.08"/>
    <n v="1088.76"/>
    <n v="1088.74"/>
    <n v="1088.76"/>
    <n v="1088.74"/>
    <m/>
    <m/>
    <m/>
    <m/>
    <m/>
    <m/>
    <m/>
    <m/>
    <n v="4355"/>
    <n v="0"/>
    <n v="-1.999999999998181E-2"/>
    <n v="0"/>
    <n v="-1.999999999998181E-2"/>
    <n v="-1088.76"/>
    <n v="-1088.76"/>
    <n v="-1088.76"/>
    <n v="-1088.76"/>
    <n v="-1088.76"/>
    <n v="-1088.76"/>
    <n v="-1088.76"/>
    <n v="-1088.76"/>
    <n v="-8710.1200000000008"/>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359552"/>
    <n v="0"/>
    <n v="0"/>
    <n v="0"/>
    <s v="L2 SOW FPC"/>
    <n v="113296"/>
    <n v="113296"/>
    <n v="113296"/>
    <n v="113296"/>
    <n v="113296"/>
    <n v="113296"/>
    <n v="113296"/>
    <n v="113296"/>
    <n v="113296"/>
    <n v="113296"/>
    <n v="113296"/>
    <n v="113296"/>
    <n v="1359552"/>
    <n v="906368"/>
    <n v="113296"/>
    <n v="113296"/>
    <n v="113296"/>
    <n v="113296"/>
    <m/>
    <m/>
    <m/>
    <m/>
    <m/>
    <m/>
    <m/>
    <m/>
    <n v="453184"/>
    <n v="0"/>
    <n v="0"/>
    <n v="0"/>
    <n v="0"/>
    <n v="-113296"/>
    <n v="-113296"/>
    <n v="-113296"/>
    <n v="-113296"/>
    <n v="-113296"/>
    <n v="-113296"/>
    <n v="-113296"/>
    <n v="-113296"/>
    <n v="-906368"/>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4204"/>
    <n v="-4676"/>
    <n v="0"/>
    <n v="-4676"/>
    <s v="T&amp;M"/>
    <n v="18240"/>
    <n v="18240"/>
    <n v="18240"/>
    <n v="18240"/>
    <n v="18240"/>
    <n v="18240"/>
    <n v="18240"/>
    <n v="18240"/>
    <n v="18240"/>
    <n v="18240"/>
    <n v="18240"/>
    <n v="18240"/>
    <n v="218880"/>
    <n v="145920"/>
    <n v="16128"/>
    <n v="16464"/>
    <n v="16588"/>
    <n v="19104"/>
    <m/>
    <m/>
    <m/>
    <m/>
    <m/>
    <m/>
    <m/>
    <m/>
    <n v="68284"/>
    <n v="-2112"/>
    <n v="-1776"/>
    <n v="-1652"/>
    <n v="864"/>
    <n v="-18240"/>
    <n v="-18240"/>
    <n v="-18240"/>
    <n v="-18240"/>
    <n v="-18240"/>
    <n v="-18240"/>
    <n v="-18240"/>
    <n v="-18240"/>
    <n v="-150596"/>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95872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9760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324496"/>
    <n v="-180784"/>
    <n v="0"/>
    <n v="-180784"/>
    <s v="Support SOW + Desktop Support- T&amp;M, QA is not part of our budget"/>
    <n v="125440"/>
    <n v="125440"/>
    <n v="125440"/>
    <n v="125440"/>
    <n v="125440"/>
    <n v="104440"/>
    <n v="104440"/>
    <n v="104440"/>
    <n v="104440"/>
    <n v="104440"/>
    <n v="104440"/>
    <n v="104440"/>
    <n v="1358280"/>
    <n v="856520"/>
    <n v="108864"/>
    <n v="104184"/>
    <n v="129488"/>
    <m/>
    <m/>
    <m/>
    <m/>
    <m/>
    <m/>
    <m/>
    <m/>
    <m/>
    <n v="342536"/>
    <n v="-16576"/>
    <n v="-21256"/>
    <n v="4048"/>
    <n v="-125440"/>
    <n v="-125440"/>
    <n v="-104440"/>
    <n v="-104440"/>
    <n v="-104440"/>
    <n v="-104440"/>
    <n v="-104440"/>
    <n v="-104440"/>
    <n v="-104440"/>
    <n v="-1015744"/>
    <s v="Budget v/s Actuals, saving of $21K/m on Nilesh's exit"/>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9456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pending approval - $5950/mo"/>
    <n v="15000"/>
    <n v="15000"/>
    <n v="15000"/>
    <n v="15000"/>
    <n v="15000"/>
    <n v="5950"/>
    <n v="5950"/>
    <n v="5950"/>
    <n v="5950"/>
    <n v="5950"/>
    <n v="5950"/>
    <n v="5950"/>
    <n v="116650"/>
    <n v="56650"/>
    <n v="15000"/>
    <n v="15000"/>
    <n v="15000"/>
    <n v="15000"/>
    <n v="15000"/>
    <m/>
    <m/>
    <m/>
    <m/>
    <m/>
    <m/>
    <m/>
    <n v="75000"/>
    <n v="0"/>
    <n v="0"/>
    <n v="0"/>
    <n v="0"/>
    <n v="0"/>
    <n v="-5950"/>
    <n v="-5950"/>
    <n v="-5950"/>
    <n v="-5950"/>
    <n v="-5950"/>
    <n v="-5950"/>
    <n v="-5950"/>
    <n v="-4165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43800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15603.36"/>
    <n v="0"/>
    <n v="112403.35999999999"/>
    <n v="112403.35999999999"/>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68800"/>
    <n v="56960.56"/>
    <n v="89522.8"/>
    <n v="63360"/>
    <n v="36960"/>
    <m/>
    <m/>
    <m/>
    <m/>
    <m/>
    <m/>
    <m/>
    <m/>
    <n v="246803.36"/>
    <n v="23360.559999999998"/>
    <n v="55922.8"/>
    <n v="29760"/>
    <n v="3360"/>
    <n v="-33600"/>
    <n v="-33600"/>
    <n v="-33600"/>
    <n v="-33600"/>
    <n v="-33600"/>
    <n v="-33600"/>
    <n v="-33600"/>
    <n v="-33600"/>
    <n v="-156396.64000000001"/>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9900"/>
    <n v="-2100"/>
    <n v="0"/>
    <n v="-210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68000"/>
    <n v="21000"/>
    <n v="19950"/>
    <n v="23100"/>
    <n v="17850"/>
    <m/>
    <m/>
    <m/>
    <m/>
    <m/>
    <m/>
    <m/>
    <m/>
    <n v="81900"/>
    <n v="0"/>
    <n v="-1050"/>
    <n v="2100"/>
    <n v="-3150"/>
    <n v="-21000"/>
    <n v="-21000"/>
    <n v="-21000"/>
    <n v="-21000"/>
    <n v="-21000"/>
    <n v="-21000"/>
    <n v="-21000"/>
    <n v="-21000"/>
    <n v="-17010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516400"/>
    <n v="-83600"/>
    <n v="0"/>
    <n v="-83600"/>
    <s v="T&amp;M - [KA - Feb 23] - Forcast updated from Feb to Dec, based on Raymond's exit. This T&amp;M forecast is adjusted in the new QA contract. Adjusted monthly rate starting Apr based on Shanky's exit"/>
    <n v="50000"/>
    <n v="24000"/>
    <n v="24000"/>
    <n v="24000"/>
    <n v="52800"/>
    <n v="52800"/>
    <n v="52800"/>
    <n v="52800"/>
    <n v="52800"/>
    <n v="52800"/>
    <n v="52800"/>
    <n v="52800"/>
    <n v="544400"/>
    <n v="422400"/>
    <n v="44800"/>
    <n v="22800"/>
    <n v="0"/>
    <n v="26400"/>
    <m/>
    <m/>
    <m/>
    <m/>
    <m/>
    <m/>
    <m/>
    <m/>
    <n v="94000"/>
    <n v="-5200"/>
    <n v="-1200"/>
    <n v="-24000"/>
    <n v="2400"/>
    <n v="-52800"/>
    <n v="-52800"/>
    <n v="-52800"/>
    <n v="-52800"/>
    <n v="-52800"/>
    <n v="-52800"/>
    <n v="-52800"/>
    <n v="-52800"/>
    <n v="-450400"/>
    <s v="Raymonds exit gave 26k T&amp;M oppurtunity since Feb but QA resources were hired at same cost, new UAT Lead to be hired from May at $28.8k permonth.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43520"/>
    <n v="11152"/>
    <n v="11296"/>
    <n v="13584"/>
    <n v="4624"/>
    <m/>
    <m/>
    <m/>
    <m/>
    <m/>
    <m/>
    <m/>
    <m/>
    <n v="40656"/>
    <n v="-2288"/>
    <n v="-2144"/>
    <n v="144"/>
    <n v="-816"/>
    <n v="-5440"/>
    <n v="-5440"/>
    <n v="-5440"/>
    <n v="-5440"/>
    <n v="-5440"/>
    <n v="-5440"/>
    <n v="-5440"/>
    <n v="-5440"/>
    <n v="-48624"/>
    <s v="Opp offset with 1Rivet risk (Swati replacinf Shanky) + Budget v/s Actuals"/>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208501"/>
    <m/>
    <m/>
    <n v="1091543.6400000001"/>
    <n v="614280.59333333338"/>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670213.0399999996"/>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88180.94"/>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33333.33333333334"/>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66666.666666666672"/>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68202.60000000009"/>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5000.4"/>
    <n v="0"/>
    <n v="0.3999999999996362"/>
    <n v="0.3999999999996362"/>
    <s v="Monthly Incremental - Potential Opportunity-Monthly Incremental - Potential Opportunity"/>
    <n v="1250"/>
    <n v="1250"/>
    <n v="1250"/>
    <n v="1967"/>
    <n v="1967"/>
    <n v="1250"/>
    <n v="1250"/>
    <n v="1250"/>
    <n v="1250"/>
    <n v="1250"/>
    <n v="1250"/>
    <n v="2871"/>
    <n v="18055"/>
    <n v="12338"/>
    <n v="0"/>
    <n v="0"/>
    <n v="696.32"/>
    <n v="1966.08"/>
    <n v="1966.08"/>
    <m/>
    <m/>
    <m/>
    <m/>
    <m/>
    <m/>
    <m/>
    <n v="4628.4799999999996"/>
    <n v="-1250"/>
    <n v="-1250"/>
    <n v="-553.67999999999995"/>
    <n v="-0.92000000000007276"/>
    <n v="-0.92000000000007276"/>
    <n v="-1250"/>
    <n v="-1250"/>
    <n v="-1250"/>
    <n v="-1250"/>
    <n v="-1250"/>
    <n v="-1250"/>
    <n v="-2871"/>
    <n v="-13426.52"/>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77394.7100000009"/>
    <n v="-22605.289999999106"/>
    <n v="0"/>
    <n v="-22605.289999999106"/>
    <s v="3 YR $16MM Commitment;_x000a_Potential Incremental spend for Project Evolution-MS Cloud"/>
    <n v="625000"/>
    <n v="625000"/>
    <n v="625000"/>
    <n v="625000"/>
    <n v="625000"/>
    <n v="625000"/>
    <n v="625000"/>
    <n v="625000"/>
    <n v="625000"/>
    <n v="625000"/>
    <n v="625000"/>
    <n v="608224"/>
    <n v="7483224"/>
    <n v="4983224"/>
    <n v="660370.4"/>
    <n v="603859.57000000007"/>
    <n v="627545.69000000006"/>
    <n v="602395.04999999993"/>
    <n v="573.85"/>
    <m/>
    <m/>
    <m/>
    <m/>
    <m/>
    <m/>
    <m/>
    <n v="2494744.56"/>
    <n v="35370.400000000023"/>
    <n v="-21140.429999999935"/>
    <n v="2545.6900000000605"/>
    <n v="-22604.95000000007"/>
    <n v="-624426.15"/>
    <n v="-625000"/>
    <n v="-625000"/>
    <n v="-625000"/>
    <n v="-625000"/>
    <n v="-625000"/>
    <n v="-625000"/>
    <n v="-608224"/>
    <n v="-4988479.4399999995"/>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668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0544.812250000017"/>
    <n v="-6404.9107499999955"/>
    <n v="0"/>
    <n v="-6404.9107499999955"/>
    <s v="NCE M365 E5"/>
    <n v="840.88"/>
    <n v="1681.7600000000002"/>
    <n v="7245.8102500000014"/>
    <n v="7245.8102500000014"/>
    <n v="7245.8102500000014"/>
    <n v="7245.8102500000014"/>
    <n v="7245.8102500000014"/>
    <n v="7245.8102500000014"/>
    <n v="7245.8102500000014"/>
    <n v="7245.8102500000014"/>
    <n v="7245.8102500000014"/>
    <n v="19214.810250000002"/>
    <n v="86949.742500000022"/>
    <n v="69935.482000000018"/>
    <n v="840.88"/>
    <n v="1681.7600000000002"/>
    <n v="840.88000000000011"/>
    <m/>
    <m/>
    <m/>
    <m/>
    <m/>
    <m/>
    <m/>
    <m/>
    <m/>
    <n v="3363.5200000000004"/>
    <n v="0"/>
    <n v="0"/>
    <n v="-6404.9302500000013"/>
    <n v="-7245.8102500000014"/>
    <n v="-7245.8102500000014"/>
    <n v="-7245.8102500000014"/>
    <n v="-7245.8102500000014"/>
    <n v="-7245.8102500000014"/>
    <n v="-7245.8102500000014"/>
    <n v="-7245.8102500000014"/>
    <n v="-7245.8102500000014"/>
    <n v="-19214.810250000002"/>
    <n v="-83586.222500000018"/>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3000.37"/>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100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96543"/>
    <n v="0"/>
    <n v="0"/>
    <n v="0"/>
    <s v="Recon, this annual cost was projected at 96K but actuals cost was 101k since over threshold it is spread over 12 months as prepaid from May'26-Apr'26 in accounting records"/>
    <m/>
    <m/>
    <m/>
    <m/>
    <n v="96543"/>
    <m/>
    <m/>
    <m/>
    <m/>
    <m/>
    <m/>
    <m/>
    <n v="96543"/>
    <n v="96543"/>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26065"/>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440459.05"/>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3983.05"/>
    <n v="-3630.7500000000582"/>
    <n v="0"/>
    <n v="-3630.7500000000582"/>
    <s v="Paid as Prepaid in 2025; to be renewed in 2026-Paid as Prepaid in 2025; to be renewed in 2026"/>
    <n v="24908.333333333332"/>
    <n v="24908.333333333332"/>
    <n v="24908.333333333332"/>
    <n v="24908.333333333332"/>
    <n v="24908.333333333332"/>
    <n v="25634.483333333334"/>
    <n v="25634.483333333334"/>
    <n v="25634.483333333334"/>
    <n v="25634.483333333334"/>
    <n v="25634.483333333334"/>
    <n v="25634.483333333334"/>
    <n v="25634.483333333334"/>
    <n v="303983.05"/>
    <n v="204349.71666666667"/>
    <n v="24908.333333333332"/>
    <n v="24908.333333333332"/>
    <n v="24908.333333333332"/>
    <n v="24908.333333333332"/>
    <n v="24908.333333333332"/>
    <m/>
    <m/>
    <m/>
    <m/>
    <m/>
    <m/>
    <m/>
    <n v="124541.66666666666"/>
    <n v="0"/>
    <n v="0"/>
    <n v="0"/>
    <n v="0"/>
    <n v="0"/>
    <n v="-25634.483333333334"/>
    <n v="-25634.483333333334"/>
    <n v="-25634.483333333334"/>
    <n v="-25634.483333333334"/>
    <n v="-25634.483333333334"/>
    <n v="-25634.483333333334"/>
    <n v="-25634.483333333334"/>
    <n v="-179441.38333333333"/>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93796.97083333327"/>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m/>
    <m/>
    <m/>
    <m/>
    <m/>
    <m/>
    <m/>
    <m/>
    <n v="39306"/>
    <m/>
    <n v="39306"/>
    <n v="39306"/>
    <m/>
    <m/>
    <m/>
    <m/>
    <m/>
    <m/>
    <m/>
    <m/>
    <m/>
    <m/>
    <m/>
    <m/>
    <n v="0"/>
    <n v="0"/>
    <n v="0"/>
    <n v="0"/>
    <n v="0"/>
    <n v="0"/>
    <n v="0"/>
    <n v="0"/>
    <n v="0"/>
    <n v="0"/>
    <n v="0"/>
    <n v="-39306"/>
    <n v="0"/>
    <n v="-39306"/>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16550"/>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25.597999999998"/>
    <n v="-107.10000000000582"/>
    <n v="0"/>
    <n v="-107.10000000000582"/>
    <m/>
    <n v="200"/>
    <n v="200"/>
    <n v="200"/>
    <n v="200"/>
    <n v="200"/>
    <n v="200"/>
    <n v="200"/>
    <n v="200"/>
    <n v="200"/>
    <n v="200"/>
    <n v="200"/>
    <n v="68232.698000000004"/>
    <n v="70432.698000000004"/>
    <n v="69632.698000000004"/>
    <n v="161.13999999999999"/>
    <n v="161.13999999999999"/>
    <n v="185.31"/>
    <n v="185.31"/>
    <m/>
    <m/>
    <m/>
    <m/>
    <m/>
    <m/>
    <m/>
    <m/>
    <n v="692.9"/>
    <n v="-38.860000000000014"/>
    <n v="-38.860000000000014"/>
    <n v="-14.689999999999998"/>
    <n v="-14.689999999999998"/>
    <n v="-200"/>
    <n v="-200"/>
    <n v="-200"/>
    <n v="-200"/>
    <n v="-200"/>
    <n v="-200"/>
    <n v="-200"/>
    <n v="-68232.698000000004"/>
    <n v="-69739.79800000001"/>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8.63333333333"/>
    <n v="0"/>
    <n v="2.73333333330811"/>
    <n v="2.73333333330811"/>
    <s v="Software (Prepaid)"/>
    <n v="10832.650000000003"/>
    <n v="10832.650000000003"/>
    <n v="10832.650000000003"/>
    <n v="10832.650000000003"/>
    <n v="10832.650000000003"/>
    <n v="10832.650000000003"/>
    <n v="11375"/>
    <n v="11375"/>
    <n v="11375"/>
    <n v="11375"/>
    <n v="11375"/>
    <n v="11375"/>
    <n v="133245.90000000002"/>
    <n v="89915.3"/>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051.43"/>
    <n v="-237.32549999999901"/>
    <n v="0"/>
    <n v="-237.32549999999901"/>
    <s v="Sftwr- Potential Risk to look for"/>
    <n v="8984.74"/>
    <n v="2271.65"/>
    <n v="1000"/>
    <n v="1000"/>
    <n v="1000"/>
    <n v="1000"/>
    <n v="1000"/>
    <n v="2190.75"/>
    <n v="2190.75"/>
    <n v="2190.75"/>
    <n v="2190.75"/>
    <n v="1523.75"/>
    <n v="26543.14"/>
    <n v="13286.75"/>
    <n v="8984.74"/>
    <n v="2271.65"/>
    <n v="745.2"/>
    <n v="763.08999999999992"/>
    <m/>
    <m/>
    <m/>
    <m/>
    <m/>
    <m/>
    <m/>
    <m/>
    <n v="12764.68"/>
    <n v="0"/>
    <n v="0"/>
    <n v="-254.79999999999995"/>
    <n v="-236.91000000000008"/>
    <n v="-1000"/>
    <n v="-1000"/>
    <n v="-1000"/>
    <n v="-2190.75"/>
    <n v="-2190.75"/>
    <n v="-2190.75"/>
    <n v="-2190.75"/>
    <n v="-1523.75"/>
    <n v="-13778.46"/>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93122.666666666657"/>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42015.66750000001"/>
    <n v="-49630.33249999999"/>
    <n v="0"/>
    <n v="-49630.33249999999"/>
    <s v="Contract is Apr-Mar Budegetd 26 - 191K v/s Actual 172K"/>
    <m/>
    <m/>
    <m/>
    <n v="15970.5"/>
    <n v="15970.5"/>
    <n v="15970.5"/>
    <n v="15970.5"/>
    <n v="15970.5"/>
    <n v="15970.5"/>
    <n v="15970.5"/>
    <n v="15970.5"/>
    <n v="15970.5"/>
    <n v="143734.5"/>
    <n v="127764"/>
    <m/>
    <m/>
    <m/>
    <n v="14251.667500000001"/>
    <n v="14251.667500000001"/>
    <n v="14251.667500000001"/>
    <n v="14251.667500000001"/>
    <n v="14251.667500000001"/>
    <n v="14251.667500000001"/>
    <n v="14251.667500000001"/>
    <n v="14251.667500000001"/>
    <n v="14251.667500000001"/>
    <n v="128265.00749999999"/>
    <n v="0"/>
    <n v="0"/>
    <n v="0"/>
    <n v="-1718.8324999999986"/>
    <n v="-1718.8324999999986"/>
    <n v="-1718.8324999999986"/>
    <n v="-1718.8324999999986"/>
    <n v="-1718.8324999999986"/>
    <n v="-1718.8324999999986"/>
    <n v="-1718.8324999999986"/>
    <n v="-1718.8324999999986"/>
    <n v="-1718.8324999999986"/>
    <n v="-15469.492499999988"/>
    <m/>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79714.039999999994"/>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30144"/>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725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3"/>
    <n v="-1"/>
    <n v="0"/>
    <n v="-1"/>
    <s v="Errouneously paid by BDC CC -32K, Incremental spend 20K-LoungeLizard budget transferred to Equisolve"/>
    <n v="4702"/>
    <n v="1000"/>
    <n v="1000"/>
    <n v="1195"/>
    <n v="1000"/>
    <n v="1000"/>
    <n v="1000"/>
    <n v="1000"/>
    <n v="1000"/>
    <n v="1000"/>
    <n v="1000"/>
    <n v="34037"/>
    <n v="48934"/>
    <n v="41037"/>
    <n v="4704"/>
    <n v="999"/>
    <n v="999"/>
    <n v="1194"/>
    <n v="999"/>
    <m/>
    <m/>
    <m/>
    <m/>
    <m/>
    <m/>
    <m/>
    <n v="8895"/>
    <n v="2"/>
    <n v="-1"/>
    <n v="-1"/>
    <n v="-1"/>
    <n v="-1"/>
    <n v="-1000"/>
    <n v="-1000"/>
    <n v="-1000"/>
    <n v="-1000"/>
    <n v="-1000"/>
    <n v="-1000"/>
    <n v="-34037"/>
    <n v="-40039"/>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70140.2433333341"/>
    <n v="-129859.7566666659"/>
    <n v="0"/>
    <n v="-129859.7566666659"/>
    <s v="RISK AUM-Potential Dec. Opp"/>
    <n v="291666.66666666669"/>
    <n v="291666.66666666669"/>
    <n v="291666.66666666669"/>
    <n v="291666.66666666669"/>
    <n v="291666.66666666669"/>
    <n v="291666.66666666669"/>
    <n v="291666.66666666669"/>
    <n v="291666.66666666669"/>
    <n v="291666.66666666669"/>
    <n v="291666.66666666669"/>
    <n v="291666.66666666669"/>
    <n v="291666.66666666669"/>
    <n v="3499999.9999999995"/>
    <n v="2333333.3333333335"/>
    <n v="261174.96666666667"/>
    <n v="261174.96666666667"/>
    <n v="261174.96666666667"/>
    <n v="253282.01"/>
    <n v="253282.01"/>
    <n v="253282.01"/>
    <m/>
    <m/>
    <m/>
    <m/>
    <m/>
    <m/>
    <n v="1543370.93"/>
    <n v="-30491.700000000012"/>
    <n v="-30491.700000000012"/>
    <n v="-30491.700000000012"/>
    <n v="-38384.656666666677"/>
    <n v="-38384.656666666677"/>
    <n v="-38384.656666666677"/>
    <n v="-291666.66666666669"/>
    <n v="-291666.66666666669"/>
    <n v="-291666.66666666669"/>
    <n v="-291666.66666666669"/>
    <n v="-291666.66666666669"/>
    <n v="-291666.66666666669"/>
    <n v="-1956629.0700000003"/>
    <s v="WSO Web service + Orion CLO"/>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49358.66666666663"/>
    <n v="48333.333333333336"/>
    <n v="48333.333333333336"/>
    <n v="48333.333333333336"/>
    <n v="48333.333333333336"/>
    <n v="48333.333333333336"/>
    <m/>
    <m/>
    <m/>
    <m/>
    <m/>
    <m/>
    <m/>
    <n v="241666.66666666669"/>
    <n v="0"/>
    <n v="0"/>
    <n v="0"/>
    <n v="0"/>
    <n v="0"/>
    <n v="-57289.333333333336"/>
    <n v="-57289.333333333336"/>
    <n v="-57289.333333333336"/>
    <n v="-57289.333333333336"/>
    <n v="-57289.333333333336"/>
    <n v="-57289.333333333336"/>
    <n v="-57289.333333333336"/>
    <n v="-401025.33333333331"/>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176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32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923710"/>
    <n v="-17090"/>
    <n v="0"/>
    <n v="-17090"/>
    <s v="T&amp;M - Intellibus"/>
    <n v="156800"/>
    <n v="156800"/>
    <n v="156800"/>
    <n v="156800"/>
    <n v="156800"/>
    <n v="156800"/>
    <m/>
    <m/>
    <m/>
    <m/>
    <m/>
    <m/>
    <n v="940800"/>
    <n v="313600"/>
    <n v="153008"/>
    <n v="138848"/>
    <n v="154496"/>
    <n v="163758"/>
    <m/>
    <m/>
    <m/>
    <m/>
    <m/>
    <m/>
    <m/>
    <m/>
    <n v="610110"/>
    <n v="-3792"/>
    <n v="-17952"/>
    <n v="-2304"/>
    <n v="6958"/>
    <n v="-156800"/>
    <n v="-156800"/>
    <n v="0"/>
    <n v="0"/>
    <n v="0"/>
    <n v="0"/>
    <n v="0"/>
    <n v="0"/>
    <n v="-330690"/>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92117.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666666.6666666665"/>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m/>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0153.4033333333"/>
    <n v="0"/>
    <n v="26135.403333333321"/>
    <n v="26135.403333333321"/>
    <m/>
    <n v="103668.16666666667"/>
    <n v="103668.16666666667"/>
    <n v="103668.16666666667"/>
    <n v="103668.16666666667"/>
    <n v="103668.16666666667"/>
    <n v="103668.16666666667"/>
    <n v="103668.16666666667"/>
    <n v="103668.16666666667"/>
    <n v="103668.16666666667"/>
    <n v="103668.16666666667"/>
    <n v="103668.16666666667"/>
    <n v="103668.16666666667"/>
    <n v="1244018"/>
    <n v="829345.33333333326"/>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o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455823.33333333326"/>
    <n v="0"/>
    <n v="44275.833333333256"/>
    <n v="44275.833333333256"/>
    <s v="Year 1 of 3: 1/26/26 to 1/25/27 - Capitalizable"/>
    <n v="34295.625"/>
    <n v="34295.625"/>
    <n v="34295.625"/>
    <n v="34295.625"/>
    <n v="34295.625"/>
    <n v="34295.625"/>
    <n v="34295.625"/>
    <n v="34295.625"/>
    <n v="34295.625"/>
    <n v="34295.625"/>
    <n v="34295.625"/>
    <n v="34295.625"/>
    <n v="411547.5"/>
    <n v="274365"/>
    <n v="45364.583333333336"/>
    <n v="45364.583333333336"/>
    <n v="45364.583333333336"/>
    <n v="45364.583333333336"/>
    <n v="45364.583333333336"/>
    <n v="45364.583333333336"/>
    <n v="45364.583333333336"/>
    <n v="45364.583333333336"/>
    <n v="45364.583333333336"/>
    <n v="45364.583333333336"/>
    <n v="45364.583333333336"/>
    <n v="45364.583333333336"/>
    <n v="544374.99999999988"/>
    <n v="11068.958333333336"/>
    <n v="11068.958333333336"/>
    <n v="11068.958333333336"/>
    <n v="11068.958333333336"/>
    <n v="11068.958333333336"/>
    <n v="11068.958333333336"/>
    <n v="11068.958333333336"/>
    <n v="11068.958333333336"/>
    <n v="11068.958333333336"/>
    <n v="11068.958333333336"/>
    <n v="11068.958333333336"/>
    <n v="11068.958333333336"/>
    <n v="132827.50000000006"/>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4230"/>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07.88"/>
    <n v="0"/>
    <n v="77.880000000000109"/>
    <n v="77.880000000000109"/>
    <m/>
    <n v="353"/>
    <n v="353"/>
    <n v="353"/>
    <n v="353"/>
    <n v="353"/>
    <n v="353"/>
    <n v="353"/>
    <n v="353"/>
    <n v="353"/>
    <n v="353"/>
    <n v="353"/>
    <n v="347"/>
    <n v="4230"/>
    <n v="2818"/>
    <n v="370.83"/>
    <n v="375.95"/>
    <n v="371.55"/>
    <n v="371.55"/>
    <n v="514.15"/>
    <m/>
    <m/>
    <m/>
    <m/>
    <m/>
    <m/>
    <m/>
    <n v="2004.0299999999997"/>
    <n v="17.829999999999984"/>
    <n v="22.949999999999989"/>
    <n v="18.550000000000011"/>
    <n v="18.550000000000011"/>
    <n v="161.14999999999998"/>
    <n v="-353"/>
    <n v="-353"/>
    <n v="-353"/>
    <n v="-353"/>
    <n v="-353"/>
    <n v="-353"/>
    <n v="-347"/>
    <n v="-2225.9700000000003"/>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00.0167000000001"/>
    <n v="0"/>
    <n v="157.01670000000013"/>
    <n v="157.01670000000013"/>
    <s v="In CAD"/>
    <n v="587"/>
    <n v="587"/>
    <n v="587"/>
    <n v="587"/>
    <n v="587"/>
    <n v="587"/>
    <n v="587"/>
    <n v="587"/>
    <n v="587"/>
    <n v="587"/>
    <n v="587"/>
    <n v="586"/>
    <n v="7043"/>
    <n v="4695"/>
    <n v="620.09"/>
    <n v="628.66"/>
    <n v="627.61749999999995"/>
    <n v="628.64919999999995"/>
    <n v="859.75"/>
    <m/>
    <m/>
    <m/>
    <m/>
    <m/>
    <m/>
    <m/>
    <n v="3364.7666999999997"/>
    <n v="33.090000000000032"/>
    <n v="41.659999999999968"/>
    <n v="40.61749999999995"/>
    <n v="41.649199999999951"/>
    <n v="272.75"/>
    <n v="-587"/>
    <n v="-587"/>
    <n v="-587"/>
    <n v="-587"/>
    <n v="-587"/>
    <n v="-587"/>
    <n v="-586"/>
    <n v="-3678.2332999999999"/>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7017.74"/>
    <n v="0"/>
    <n v="4117.74"/>
    <n v="4117.74"/>
    <s v="  "/>
    <m/>
    <n v="17"/>
    <m/>
    <n v="2883"/>
    <m/>
    <m/>
    <m/>
    <m/>
    <m/>
    <m/>
    <m/>
    <m/>
    <n v="2900"/>
    <n v="0"/>
    <m/>
    <n v="16.739999999999998"/>
    <m/>
    <n v="7001"/>
    <m/>
    <m/>
    <m/>
    <m/>
    <m/>
    <m/>
    <m/>
    <m/>
    <n v="7017.74"/>
    <n v="0"/>
    <n v="-0.26000000000000156"/>
    <n v="0"/>
    <n v="4118"/>
    <n v="0"/>
    <n v="0"/>
    <n v="0"/>
    <n v="0"/>
    <n v="0"/>
    <n v="0"/>
    <n v="0"/>
    <n v="0"/>
    <n v="4117.74"/>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28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990.466666666667"/>
    <n v="-546.53333333333285"/>
    <n v="0"/>
    <n v="-546.53333333333285"/>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3024.666666666664"/>
    <n v="2741.45"/>
    <n v="2741.45"/>
    <n v="2741.45"/>
    <n v="2741.45"/>
    <m/>
    <m/>
    <m/>
    <m/>
    <m/>
    <m/>
    <m/>
    <m/>
    <n v="10965.8"/>
    <n v="-136.63333333333367"/>
    <n v="-136.63333333333367"/>
    <n v="-136.63333333333367"/>
    <n v="-136.63333333333367"/>
    <n v="-2878.0833333333335"/>
    <n v="-2878.0833333333335"/>
    <n v="-2878.0833333333335"/>
    <n v="-2878.0833333333335"/>
    <n v="-2878.0833333333335"/>
    <n v="-2878.0833333333335"/>
    <n v="-2878.0833333333335"/>
    <n v="-2878.0833333333335"/>
    <n v="-23571.200000000001"/>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21712.7533333333"/>
    <n v="-0.32166666677221656"/>
    <n v="0"/>
    <n v="-0.32166666677221656"/>
    <m/>
    <n v="30215.78"/>
    <n v="35893.14"/>
    <n v="35143.583333333336"/>
    <n v="35143.583333333336"/>
    <n v="35143.583333333336"/>
    <n v="35143.583333333336"/>
    <n v="35143.583333333336"/>
    <n v="35143.583333333336"/>
    <n v="35143.583333333336"/>
    <n v="35143.583333333336"/>
    <n v="35143.583333333336"/>
    <n v="39311.583333333299"/>
    <n v="421712.7533333333"/>
    <n v="285316.66666666669"/>
    <n v="30215.78"/>
    <n v="35893.14"/>
    <m/>
    <m/>
    <m/>
    <m/>
    <m/>
    <m/>
    <m/>
    <m/>
    <m/>
    <m/>
    <n v="66108.92"/>
    <n v="0"/>
    <n v="0"/>
    <n v="-35143.583333333336"/>
    <n v="-35143.583333333336"/>
    <n v="-35143.583333333336"/>
    <n v="-35143.583333333336"/>
    <n v="-35143.583333333336"/>
    <n v="-35143.583333333336"/>
    <n v="-35143.583333333336"/>
    <n v="-35143.583333333336"/>
    <n v="-35143.583333333336"/>
    <n v="-39311.583333333299"/>
    <n v="-355603.83333333331"/>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3097.333333333336"/>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
    <m/>
    <m/>
    <m/>
    <m/>
    <m/>
    <m/>
    <m/>
    <m/>
    <m/>
    <m/>
    <m/>
    <m/>
    <n v="0"/>
    <n v="0"/>
    <n v="0"/>
    <n v="0"/>
    <n v="6769.5300000000007"/>
    <n v="8814.31"/>
    <n v="0"/>
    <n v="0"/>
    <n v="0"/>
    <n v="0"/>
    <n v="0"/>
    <n v="0"/>
    <n v="0"/>
    <n v="0"/>
    <n v="15583.84"/>
    <n v="0"/>
    <n v="0"/>
    <n v="6769.5300000000007"/>
    <n v="8814.31"/>
    <n v="0"/>
    <n v="0"/>
    <n v="0"/>
    <n v="0"/>
    <n v="0"/>
    <n v="0"/>
    <n v="0"/>
    <n v="0"/>
    <n v="15583.84"/>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95.86"/>
    <n v="0"/>
    <n v="95.86"/>
    <n v="95.86"/>
    <s v="Variable Monthly Usage"/>
    <m/>
    <m/>
    <m/>
    <m/>
    <m/>
    <m/>
    <m/>
    <m/>
    <m/>
    <m/>
    <m/>
    <m/>
    <n v="0"/>
    <n v="0"/>
    <n v="26.13"/>
    <n v="24.41"/>
    <n v="23.21"/>
    <n v="22.110000000000003"/>
    <m/>
    <m/>
    <m/>
    <m/>
    <m/>
    <m/>
    <m/>
    <m/>
    <n v="95.86"/>
    <n v="26.13"/>
    <n v="24.41"/>
    <n v="23.21"/>
    <n v="22.110000000000003"/>
    <n v="0"/>
    <n v="0"/>
    <n v="0"/>
    <n v="0"/>
    <n v="0"/>
    <n v="0"/>
    <n v="0"/>
    <n v="0"/>
    <n v="95.86"/>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s v="  "/>
    <m/>
    <m/>
    <n v="20397.5"/>
    <m/>
    <m/>
    <n v="20397.5"/>
    <m/>
    <m/>
    <n v="20397.5"/>
    <m/>
    <m/>
    <n v="20397.5"/>
    <n v="81590"/>
    <n v="61192.5"/>
    <m/>
    <m/>
    <n v="5114.71"/>
    <m/>
    <m/>
    <m/>
    <m/>
    <m/>
    <m/>
    <m/>
    <m/>
    <m/>
    <n v="5114.71"/>
    <n v="0"/>
    <n v="0"/>
    <n v="-15282.79"/>
    <n v="0"/>
    <n v="0"/>
    <n v="-20397.5"/>
    <n v="0"/>
    <n v="0"/>
    <n v="-20397.5"/>
    <n v="0"/>
    <n v="0"/>
    <n v="-20397.5"/>
    <n v="-76475.290000000008"/>
    <s v="Budget v/s Actuals"/>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1100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208333.33333333334"/>
    <n v="-41666.666666666657"/>
    <n v="0"/>
    <n v="-41666.666666666657"/>
    <s v="New 2026 BoW"/>
    <m/>
    <m/>
    <n v="20833.333333333332"/>
    <n v="20833.333333333332"/>
    <n v="20833.333333333332"/>
    <n v="20833.333333333332"/>
    <n v="20833.333333333332"/>
    <n v="20833.333333333332"/>
    <n v="20833.333333333332"/>
    <n v="20833.333333333332"/>
    <n v="20833.333333333332"/>
    <n v="20833.333333333332"/>
    <n v="208333.33333333334"/>
    <n v="166666.66666666666"/>
    <m/>
    <m/>
    <m/>
    <m/>
    <m/>
    <m/>
    <m/>
    <m/>
    <m/>
    <m/>
    <m/>
    <m/>
    <n v="0"/>
    <n v="0"/>
    <n v="0"/>
    <n v="-20833.333333333332"/>
    <n v="-20833.333333333332"/>
    <n v="-20833.333333333332"/>
    <n v="-20833.333333333332"/>
    <n v="-20833.333333333332"/>
    <n v="-20833.333333333332"/>
    <n v="-20833.333333333332"/>
    <n v="-20833.333333333332"/>
    <n v="-20833.333333333332"/>
    <n v="-20833.333333333332"/>
    <n v="-208333.33333333334"/>
    <s v="Unutilised funds, budgeted for new initiatives planned in 2026"/>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m/>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50000"/>
    <n v="0"/>
    <n v="0"/>
    <n v="0"/>
    <s v="New 2026 BoW (Capitalizable)"/>
    <m/>
    <m/>
    <m/>
    <m/>
    <m/>
    <n v="50000"/>
    <m/>
    <m/>
    <m/>
    <m/>
    <m/>
    <m/>
    <n v="50000"/>
    <n v="50000"/>
    <m/>
    <m/>
    <m/>
    <m/>
    <m/>
    <m/>
    <m/>
    <m/>
    <m/>
    <m/>
    <m/>
    <m/>
    <n v="0"/>
    <n v="0"/>
    <n v="0"/>
    <n v="0"/>
    <n v="0"/>
    <n v="0"/>
    <n v="-50000"/>
    <n v="0"/>
    <n v="0"/>
    <n v="0"/>
    <n v="0"/>
    <n v="0"/>
    <n v="0"/>
    <n v="-50000"/>
    <m/>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730000"/>
    <n v="600000"/>
    <n v="-130000"/>
    <n v="0"/>
    <n v="-130000"/>
    <s v="New 2026 BoW"/>
    <m/>
    <m/>
    <n v="100000"/>
    <n v="200000"/>
    <n v="200000"/>
    <n v="100000"/>
    <m/>
    <m/>
    <m/>
    <m/>
    <m/>
    <m/>
    <n v="600000"/>
    <n v="300000"/>
    <m/>
    <m/>
    <m/>
    <m/>
    <m/>
    <m/>
    <m/>
    <m/>
    <m/>
    <m/>
    <m/>
    <m/>
    <n v="0"/>
    <n v="0"/>
    <n v="0"/>
    <n v="-100000"/>
    <n v="-200000"/>
    <n v="-200000"/>
    <n v="-100000"/>
    <n v="0"/>
    <n v="0"/>
    <n v="0"/>
    <n v="0"/>
    <n v="0"/>
    <n v="0"/>
    <n v="-600000"/>
    <s v="Unutilised funds, budgeted for new initiatives planned in 2026"/>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New 2026 BoW"/>
    <m/>
    <n v="0"/>
    <n v="120000"/>
    <n v="120000"/>
    <n v="0"/>
    <n v="0"/>
    <n v="0"/>
    <s v="New 2026 BoW"/>
    <m/>
    <m/>
    <m/>
    <m/>
    <n v="40000"/>
    <n v="40000"/>
    <n v="40000"/>
    <m/>
    <m/>
    <m/>
    <m/>
    <m/>
    <n v="120000"/>
    <n v="12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420000"/>
    <n v="-80000"/>
    <n v="0"/>
    <n v="-80000"/>
    <s v="New 2026 BoW (Capitalizable)"/>
    <m/>
    <m/>
    <m/>
    <m/>
    <m/>
    <n v="60000"/>
    <n v="60000"/>
    <n v="60000"/>
    <n v="60000"/>
    <n v="60000"/>
    <n v="60000"/>
    <n v="60000"/>
    <n v="420000"/>
    <n v="420000"/>
    <m/>
    <m/>
    <m/>
    <m/>
    <m/>
    <m/>
    <m/>
    <m/>
    <m/>
    <m/>
    <m/>
    <m/>
    <n v="0"/>
    <n v="0"/>
    <n v="0"/>
    <n v="0"/>
    <n v="0"/>
    <n v="0"/>
    <n v="-60000"/>
    <n v="-60000"/>
    <n v="-60000"/>
    <n v="-60000"/>
    <n v="-60000"/>
    <n v="-60000"/>
    <n v="-60000"/>
    <n v="-420000"/>
    <s v="Unutilised funds, budgeted for new initiatives planned in 2026"/>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300000"/>
    <n v="-300000"/>
    <n v="0"/>
    <n v="-300000"/>
    <s v="New 2026 BoW (Capitalizable)"/>
    <m/>
    <m/>
    <m/>
    <m/>
    <m/>
    <m/>
    <n v="50000"/>
    <n v="50000"/>
    <n v="50000"/>
    <n v="50000"/>
    <n v="50000"/>
    <n v="50000"/>
    <n v="300000"/>
    <n v="300000"/>
    <m/>
    <m/>
    <m/>
    <m/>
    <m/>
    <m/>
    <m/>
    <m/>
    <m/>
    <m/>
    <m/>
    <m/>
    <n v="0"/>
    <n v="0"/>
    <n v="0"/>
    <n v="0"/>
    <n v="0"/>
    <n v="0"/>
    <n v="0"/>
    <n v="-50000"/>
    <n v="-50000"/>
    <n v="-50000"/>
    <n v="-50000"/>
    <n v="-50000"/>
    <n v="-50000"/>
    <n v="-300000"/>
    <s v="Unutilised funds, budgeted for new initiatives planned in 2026"/>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300000"/>
    <n v="-200000"/>
    <n v="0"/>
    <n v="-200000"/>
    <s v="New 2026 BoW"/>
    <m/>
    <m/>
    <m/>
    <m/>
    <m/>
    <m/>
    <n v="50000"/>
    <n v="50000"/>
    <n v="50000"/>
    <n v="50000"/>
    <n v="50000"/>
    <n v="50000"/>
    <n v="300000"/>
    <n v="300000"/>
    <m/>
    <m/>
    <m/>
    <m/>
    <m/>
    <m/>
    <m/>
    <m/>
    <m/>
    <m/>
    <m/>
    <m/>
    <n v="0"/>
    <n v="0"/>
    <n v="0"/>
    <n v="0"/>
    <n v="0"/>
    <n v="0"/>
    <n v="0"/>
    <n v="-50000"/>
    <n v="-50000"/>
    <n v="-50000"/>
    <n v="-50000"/>
    <n v="-50000"/>
    <n v="-50000"/>
    <n v="-300000"/>
    <s v="Unutilised funds, budgeted for new initiatives planned in 2026"/>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58056.52"/>
    <n v="29028.26"/>
    <n v="29028.26"/>
    <n v="29028.26"/>
    <n v="29028.26"/>
    <m/>
    <m/>
    <m/>
    <m/>
    <m/>
    <m/>
    <m/>
    <m/>
    <n v="116113.04"/>
    <n v="0"/>
    <n v="0"/>
    <n v="0"/>
    <n v="0"/>
    <n v="-29028.26"/>
    <n v="-29028.26"/>
    <n v="0"/>
    <n v="0"/>
    <n v="0"/>
    <n v="0"/>
    <n v="0"/>
    <n v="0"/>
    <n v="-58056.52"/>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m/>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250000"/>
    <n v="0"/>
    <n v="0"/>
    <n v="0"/>
    <s v="New 2026 BoW (Capitalizable)"/>
    <m/>
    <m/>
    <m/>
    <m/>
    <m/>
    <m/>
    <m/>
    <m/>
    <m/>
    <n v="250000"/>
    <m/>
    <m/>
    <n v="250000"/>
    <n v="250000"/>
    <m/>
    <m/>
    <m/>
    <m/>
    <m/>
    <m/>
    <m/>
    <m/>
    <m/>
    <m/>
    <m/>
    <m/>
    <n v="0"/>
    <n v="0"/>
    <n v="0"/>
    <n v="0"/>
    <n v="0"/>
    <n v="0"/>
    <n v="0"/>
    <n v="0"/>
    <n v="0"/>
    <n v="0"/>
    <n v="-250000"/>
    <n v="0"/>
    <n v="0"/>
    <n v="-250000"/>
    <s v="Unutilised funds, budgeted for new initiatives planned in 2026"/>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New 2026 BoW"/>
    <n v="52988.05"/>
    <n v="100000"/>
    <n v="100000"/>
    <n v="100000"/>
    <n v="0"/>
    <n v="0"/>
    <n v="0"/>
    <s v="New 2026 BoW"/>
    <m/>
    <m/>
    <m/>
    <m/>
    <m/>
    <m/>
    <m/>
    <m/>
    <m/>
    <m/>
    <n v="100000"/>
    <m/>
    <n v="100000"/>
    <n v="100000"/>
    <m/>
    <m/>
    <m/>
    <m/>
    <m/>
    <m/>
    <m/>
    <m/>
    <m/>
    <m/>
    <m/>
    <m/>
    <n v="0"/>
    <n v="0"/>
    <n v="0"/>
    <n v="0"/>
    <n v="0"/>
    <n v="0"/>
    <n v="0"/>
    <n v="0"/>
    <n v="0"/>
    <n v="0"/>
    <n v="0"/>
    <n v="-100000"/>
    <n v="0"/>
    <n v="-100000"/>
    <m/>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100000"/>
    <n v="0"/>
    <n v="0"/>
    <n v="0"/>
    <s v="New 2026 BoW (batch orchestraion work)"/>
    <m/>
    <m/>
    <m/>
    <m/>
    <m/>
    <m/>
    <m/>
    <m/>
    <m/>
    <m/>
    <m/>
    <n v="100000"/>
    <n v="100000"/>
    <n v="100000"/>
    <m/>
    <m/>
    <m/>
    <m/>
    <m/>
    <m/>
    <m/>
    <m/>
    <m/>
    <m/>
    <m/>
    <m/>
    <n v="0"/>
    <n v="0"/>
    <n v="0"/>
    <n v="0"/>
    <n v="0"/>
    <n v="0"/>
    <n v="0"/>
    <n v="0"/>
    <n v="0"/>
    <n v="0"/>
    <n v="0"/>
    <n v="0"/>
    <n v="-100000"/>
    <n v="-100000"/>
    <m/>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243114.68"/>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89552.24666666664"/>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940800"/>
    <n v="0"/>
    <n v="940800"/>
    <n v="940800"/>
    <s v="T&amp;M- H2-2026 Risk"/>
    <m/>
    <m/>
    <m/>
    <m/>
    <m/>
    <m/>
    <n v="156800"/>
    <n v="156800"/>
    <n v="156800"/>
    <n v="156800"/>
    <n v="156800"/>
    <n v="156800"/>
    <n v="940800"/>
    <n v="940800"/>
    <m/>
    <m/>
    <m/>
    <m/>
    <m/>
    <m/>
    <m/>
    <m/>
    <m/>
    <m/>
    <m/>
    <m/>
    <n v="0"/>
    <n v="0"/>
    <n v="0"/>
    <n v="0"/>
    <n v="0"/>
    <n v="0"/>
    <n v="0"/>
    <n v="-156800"/>
    <n v="-156800"/>
    <n v="-156800"/>
    <n v="-156800"/>
    <n v="-156800"/>
    <n v="-156800"/>
    <n v="-94080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528000"/>
    <n v="0"/>
    <n v="528000"/>
    <n v="528000"/>
    <s v="T&amp;M IVP Mgmt (TOM)- Rahul &amp; Vaibhav + 2 for H2-2026 - Risk"/>
    <m/>
    <m/>
    <m/>
    <m/>
    <m/>
    <m/>
    <n v="88000"/>
    <n v="88000"/>
    <n v="88000"/>
    <n v="88000"/>
    <n v="88000"/>
    <n v="88000"/>
    <n v="528000"/>
    <n v="528000"/>
    <m/>
    <m/>
    <m/>
    <m/>
    <m/>
    <m/>
    <m/>
    <m/>
    <m/>
    <m/>
    <m/>
    <m/>
    <n v="0"/>
    <n v="0"/>
    <n v="0"/>
    <n v="0"/>
    <n v="0"/>
    <n v="0"/>
    <n v="0"/>
    <n v="-88000"/>
    <n v="-88000"/>
    <n v="-88000"/>
    <n v="-88000"/>
    <n v="-88000"/>
    <n v="-88000"/>
    <n v="-528000"/>
    <s v="Contract expected to extend in second half of 2026, unbudgeted"/>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6016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2256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92000"/>
    <n v="0"/>
    <n v="92000"/>
    <n v="92000"/>
    <s v="This was not part of initial budget"/>
    <m/>
    <m/>
    <m/>
    <n v="92000"/>
    <m/>
    <m/>
    <m/>
    <m/>
    <m/>
    <m/>
    <m/>
    <m/>
    <n v="92000"/>
    <n v="0"/>
    <m/>
    <m/>
    <m/>
    <n v="92000"/>
    <m/>
    <m/>
    <m/>
    <m/>
    <m/>
    <m/>
    <m/>
    <m/>
    <n v="92000"/>
    <n v="0"/>
    <n v="0"/>
    <n v="0"/>
    <n v="0"/>
    <n v="0"/>
    <n v="0"/>
    <n v="0"/>
    <n v="0"/>
    <n v="0"/>
    <n v="0"/>
    <n v="0"/>
    <n v="0"/>
    <n v="0"/>
    <s v="Unbudgeted, New risk - CME Group SOFR Licens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M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2">
    <i>
      <x/>
    </i>
    <i i="1">
      <x v="1"/>
    </i>
    <i i="2">
      <x v="2"/>
    </i>
    <i i="3">
      <x v="3"/>
    </i>
    <i i="4">
      <x v="4"/>
    </i>
    <i i="5">
      <x v="5"/>
    </i>
    <i i="6">
      <x v="6"/>
    </i>
    <i i="7">
      <x v="7"/>
    </i>
    <i i="8">
      <x v="8"/>
    </i>
    <i i="9">
      <x v="9"/>
    </i>
    <i i="10">
      <x v="10"/>
    </i>
    <i i="11">
      <x v="11"/>
    </i>
  </colItems>
  <dataFields count="12">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7">
      <pivotArea type="topRight" dataOnly="0" labelOnly="1" outline="0" offset="B1" fieldPosition="0"/>
    </format>
    <format dxfId="16">
      <pivotArea type="topRight" dataOnly="0" labelOnly="1" outline="0" offset="E1" fieldPosition="0"/>
    </format>
    <format dxfId="15">
      <pivotArea type="topRight" dataOnly="0" labelOnly="1" outline="0" offset="H1" fieldPosition="0"/>
    </format>
    <format dxfId="14">
      <pivotArea outline="0" collapsedLevelsAreSubtotals="1" fieldPosition="0"/>
    </format>
    <format dxfId="13">
      <pivotArea type="topRight" dataOnly="0" labelOnly="1" outline="0" offset="B1" fieldPosition="0"/>
    </format>
    <format dxfId="12">
      <pivotArea type="topRight" dataOnly="0" labelOnly="1" outline="0" offset="E1" fieldPosition="0"/>
    </format>
    <format dxfId="11">
      <pivotArea type="topRight" dataOnly="0" labelOnly="1" outline="0" offset="H1:J1" fieldPosition="0"/>
    </format>
    <format dxfId="10">
      <pivotArea dataOnly="0" labelOnly="1" outline="0" fieldPosition="0">
        <references count="1">
          <reference field="4294967294" count="3">
            <x v="7"/>
            <x v="8"/>
            <x v="9"/>
          </reference>
        </references>
      </pivotArea>
    </format>
    <format dxfId="9">
      <pivotArea type="topRight" dataOnly="0" labelOnly="1" outline="0" offset="G1" fieldPosition="0"/>
    </format>
    <format dxfId="8">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May-Dec FC" dataDxfId="46" dataCellStyle="Comma">
      <calculatedColumnFormula>SUM(AF2:AM2)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D34" sqref="D34"/>
    </sheetView>
  </sheetViews>
  <sheetFormatPr defaultRowHeight="14.4" x14ac:dyDescent="0.3"/>
  <cols>
    <col min="1" max="1" width="15.44140625" bestFit="1" customWidth="1"/>
    <col min="2" max="2" width="17.77734375" bestFit="1" customWidth="1"/>
    <col min="3" max="3" width="21.88671875" bestFit="1" customWidth="1"/>
    <col min="4" max="4" width="15.109375" bestFit="1" customWidth="1"/>
    <col min="5" max="5" width="14.44140625" bestFit="1" customWidth="1"/>
    <col min="6" max="6" width="21.77734375" bestFit="1" customWidth="1"/>
    <col min="7" max="7" width="6.109375" bestFit="1" customWidth="1"/>
    <col min="8" max="8" width="28.21875" bestFit="1" customWidth="1"/>
    <col min="10" max="10" width="25.6640625" bestFit="1" customWidth="1"/>
  </cols>
  <sheetData>
    <row r="1" spans="1:10" x14ac:dyDescent="0.3">
      <c r="A1" s="8" t="s">
        <v>42</v>
      </c>
      <c r="B1" t="s">
        <v>43</v>
      </c>
      <c r="C1" s="162" t="s">
        <v>562</v>
      </c>
      <c r="D1" s="162"/>
      <c r="E1" s="162"/>
      <c r="F1" s="162"/>
      <c r="G1" s="162"/>
      <c r="J1" s="19" t="s">
        <v>39</v>
      </c>
    </row>
    <row r="2" spans="1:10" x14ac:dyDescent="0.3">
      <c r="C2" s="162"/>
      <c r="D2" s="162"/>
      <c r="E2" s="162"/>
      <c r="F2" s="162"/>
      <c r="G2" s="162"/>
      <c r="J2" s="20">
        <v>44788398</v>
      </c>
    </row>
    <row r="3" spans="1:10" x14ac:dyDescent="0.3">
      <c r="A3" s="8" t="s">
        <v>88</v>
      </c>
      <c r="B3" s="16" t="s">
        <v>0</v>
      </c>
      <c r="C3" t="s">
        <v>849</v>
      </c>
      <c r="D3" s="16" t="s">
        <v>44</v>
      </c>
      <c r="E3" s="16" t="s">
        <v>45</v>
      </c>
      <c r="F3" s="16" t="s">
        <v>498</v>
      </c>
    </row>
    <row r="4" spans="1:10" x14ac:dyDescent="0.3">
      <c r="A4" s="9" t="s">
        <v>2</v>
      </c>
      <c r="B4" s="6">
        <v>4706896</v>
      </c>
      <c r="C4" s="6">
        <v>3473729.333333333</v>
      </c>
      <c r="D4" s="6">
        <v>0</v>
      </c>
      <c r="E4" s="6">
        <v>-1233166.6666666665</v>
      </c>
      <c r="F4" s="6">
        <v>-1233166.6666666665</v>
      </c>
      <c r="J4" s="45"/>
    </row>
    <row r="5" spans="1:10" x14ac:dyDescent="0.3">
      <c r="A5" s="9" t="s">
        <v>3</v>
      </c>
      <c r="B5" s="6">
        <v>116236</v>
      </c>
      <c r="C5" s="6">
        <v>182232.90333333335</v>
      </c>
      <c r="D5" s="6">
        <v>90583.84</v>
      </c>
      <c r="E5" s="6">
        <v>-24586.936666666657</v>
      </c>
      <c r="F5" s="6">
        <v>65996.90333333335</v>
      </c>
    </row>
    <row r="6" spans="1:10" x14ac:dyDescent="0.3">
      <c r="A6" s="9" t="s">
        <v>4</v>
      </c>
      <c r="B6" s="6">
        <v>8342615.0750000002</v>
      </c>
      <c r="C6" s="6">
        <v>8312602.3400333347</v>
      </c>
      <c r="D6" s="6">
        <v>6270.4467000000004</v>
      </c>
      <c r="E6" s="6">
        <v>-36283.18166666582</v>
      </c>
      <c r="F6" s="6">
        <v>-30012.734966665816</v>
      </c>
    </row>
    <row r="7" spans="1:10" x14ac:dyDescent="0.3">
      <c r="A7" s="9" t="s">
        <v>46</v>
      </c>
      <c r="B7" s="6">
        <v>6441440</v>
      </c>
      <c r="C7" s="6">
        <v>7947626.3599999994</v>
      </c>
      <c r="D7" s="6">
        <v>1964699.3599999999</v>
      </c>
      <c r="E7" s="6">
        <v>-458513</v>
      </c>
      <c r="F7" s="6">
        <v>1506186.3599999999</v>
      </c>
    </row>
    <row r="8" spans="1:10" x14ac:dyDescent="0.3">
      <c r="A8" s="9" t="s">
        <v>5</v>
      </c>
      <c r="B8" s="6">
        <v>2751491.34</v>
      </c>
      <c r="C8" s="6">
        <v>2897845.81</v>
      </c>
      <c r="D8" s="6">
        <v>247000</v>
      </c>
      <c r="E8" s="6">
        <v>-100645.53</v>
      </c>
      <c r="F8" s="6">
        <v>146354.47</v>
      </c>
    </row>
    <row r="9" spans="1:10" x14ac:dyDescent="0.3">
      <c r="A9" s="9" t="s">
        <v>6</v>
      </c>
      <c r="B9" s="6">
        <v>2031290</v>
      </c>
      <c r="C9" s="6">
        <v>2071480.8933333333</v>
      </c>
      <c r="D9" s="6">
        <v>42412.103333333318</v>
      </c>
      <c r="E9" s="6">
        <v>-2221.2100000000082</v>
      </c>
      <c r="F9" s="6">
        <v>40190.893333333312</v>
      </c>
    </row>
    <row r="10" spans="1:10" x14ac:dyDescent="0.3">
      <c r="A10" s="9" t="s">
        <v>7</v>
      </c>
      <c r="B10" s="6">
        <v>20398429.54115</v>
      </c>
      <c r="C10" s="6">
        <v>21309904.016750008</v>
      </c>
      <c r="D10" s="6">
        <v>1385907.0514999989</v>
      </c>
      <c r="E10" s="6">
        <v>-474432.57589999941</v>
      </c>
      <c r="F10" s="6">
        <v>911474.47559999977</v>
      </c>
    </row>
    <row r="11" spans="1:10" x14ac:dyDescent="0.3">
      <c r="A11" s="9" t="s">
        <v>8</v>
      </c>
      <c r="B11" s="6">
        <v>44788397.956149995</v>
      </c>
      <c r="C11" s="6">
        <v>46195421.656783342</v>
      </c>
      <c r="D11" s="6">
        <v>3736872.8015333321</v>
      </c>
      <c r="E11" s="6">
        <v>-2329849.1008999986</v>
      </c>
      <c r="F11" s="6">
        <v>1407023.700633334</v>
      </c>
    </row>
    <row r="12" spans="1:10" x14ac:dyDescent="0.3">
      <c r="G12" s="6"/>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7" hidden="1" x14ac:dyDescent="0.3">
      <c r="A17" s="9" t="s">
        <v>48</v>
      </c>
      <c r="B17" s="6">
        <v>1855856.5225</v>
      </c>
      <c r="C17" s="6">
        <v>-1384295.11965</v>
      </c>
      <c r="D17" s="6">
        <v>10007813.59715</v>
      </c>
    </row>
    <row r="18" spans="1:7" hidden="1" x14ac:dyDescent="0.3">
      <c r="A18" s="9" t="s">
        <v>49</v>
      </c>
      <c r="B18" s="6">
        <v>555224.8590333336</v>
      </c>
      <c r="C18" s="6">
        <v>-169231.67358333257</v>
      </c>
      <c r="D18" s="6">
        <v>14217853.790000001</v>
      </c>
    </row>
    <row r="19" spans="1:7" hidden="1" x14ac:dyDescent="0.3">
      <c r="A19" s="9" t="s">
        <v>50</v>
      </c>
      <c r="B19" s="6">
        <v>969037.8233333322</v>
      </c>
      <c r="C19" s="6">
        <v>-547505.70666666608</v>
      </c>
      <c r="D19" s="6">
        <v>13382868.5</v>
      </c>
    </row>
    <row r="20" spans="1:7" hidden="1" x14ac:dyDescent="0.3">
      <c r="A20" s="9" t="s">
        <v>51</v>
      </c>
      <c r="B20" s="6">
        <v>247000.3</v>
      </c>
      <c r="C20" s="6">
        <v>-125266.66666666666</v>
      </c>
      <c r="D20" s="6">
        <v>1522590.7</v>
      </c>
    </row>
    <row r="21" spans="1:7" hidden="1" x14ac:dyDescent="0.3">
      <c r="A21" s="9" t="s">
        <v>52</v>
      </c>
      <c r="B21" s="6">
        <v>2.73333333330811</v>
      </c>
      <c r="C21" s="6">
        <v>-16470.014999999999</v>
      </c>
      <c r="D21" s="6">
        <v>1785617.7549999999</v>
      </c>
    </row>
    <row r="22" spans="1:7" hidden="1" x14ac:dyDescent="0.3">
      <c r="A22" s="9" t="s">
        <v>53</v>
      </c>
      <c r="B22" s="6">
        <v>83615.16</v>
      </c>
      <c r="C22" s="6">
        <v>-87079.919333333266</v>
      </c>
      <c r="D22" s="6">
        <v>2627635.6140000001</v>
      </c>
    </row>
    <row r="23" spans="1:7" hidden="1" x14ac:dyDescent="0.3">
      <c r="A23" s="9" t="s">
        <v>423</v>
      </c>
      <c r="B23" s="6">
        <v>26135.403333333321</v>
      </c>
      <c r="C23" s="6">
        <v>0</v>
      </c>
      <c r="D23" s="6">
        <v>1244018</v>
      </c>
    </row>
    <row r="24" spans="1:7" hidden="1" x14ac:dyDescent="0.3">
      <c r="A24" s="9" t="s">
        <v>8</v>
      </c>
      <c r="B24" s="6">
        <v>3736872.8015333326</v>
      </c>
      <c r="C24" s="6">
        <v>-2329849.1008999986</v>
      </c>
      <c r="D24" s="6">
        <v>44788397.95615001</v>
      </c>
    </row>
    <row r="25" spans="1:7" x14ac:dyDescent="0.3">
      <c r="A25" s="104" t="s">
        <v>528</v>
      </c>
      <c r="B25" s="105">
        <f>B11/1000000</f>
        <v>44.788397956149993</v>
      </c>
      <c r="C25" s="106">
        <f t="shared" ref="C25:G25" si="0">C11/1000000</f>
        <v>46.195421656783346</v>
      </c>
      <c r="D25" s="106">
        <f t="shared" si="0"/>
        <v>3.7368728015333321</v>
      </c>
      <c r="E25" s="106">
        <f t="shared" si="0"/>
        <v>-2.3298491008999984</v>
      </c>
      <c r="F25" s="106">
        <f t="shared" si="0"/>
        <v>1.4070237006333339</v>
      </c>
      <c r="G25" s="105">
        <f t="shared" si="0"/>
        <v>0</v>
      </c>
    </row>
    <row r="26" spans="1:7" x14ac:dyDescent="0.3">
      <c r="B26" s="43"/>
      <c r="C26" s="43"/>
      <c r="D26" s="43"/>
      <c r="E26" s="43"/>
      <c r="F26" s="43"/>
    </row>
    <row r="27" spans="1:7" x14ac:dyDescent="0.3">
      <c r="A27" s="8" t="s">
        <v>42</v>
      </c>
      <c r="B27" t="s">
        <v>43</v>
      </c>
      <c r="C27" s="161" t="s">
        <v>563</v>
      </c>
      <c r="D27" s="161"/>
      <c r="E27" s="161"/>
      <c r="F27" s="161"/>
    </row>
    <row r="28" spans="1:7" x14ac:dyDescent="0.3">
      <c r="C28" s="161"/>
      <c r="D28" s="161"/>
      <c r="E28" s="161"/>
      <c r="F28" s="161"/>
    </row>
    <row r="29" spans="1:7" x14ac:dyDescent="0.3">
      <c r="C29" s="8" t="s">
        <v>505</v>
      </c>
    </row>
    <row r="30" spans="1:7" ht="28.8" x14ac:dyDescent="0.3">
      <c r="A30" s="107" t="s">
        <v>54</v>
      </c>
      <c r="B30" s="107" t="s">
        <v>47</v>
      </c>
      <c r="C30" s="108" t="s">
        <v>0</v>
      </c>
      <c r="D30" s="108" t="s">
        <v>561</v>
      </c>
      <c r="E30" s="109" t="s">
        <v>498</v>
      </c>
    </row>
    <row r="31" spans="1:7" x14ac:dyDescent="0.3">
      <c r="A31" t="s">
        <v>48</v>
      </c>
      <c r="C31" s="101">
        <v>10007813.59715</v>
      </c>
      <c r="D31" s="101">
        <v>4380243.1941666668</v>
      </c>
      <c r="E31" s="101">
        <v>471561.40284999995</v>
      </c>
    </row>
    <row r="32" spans="1:7" x14ac:dyDescent="0.3">
      <c r="A32" t="s">
        <v>49</v>
      </c>
      <c r="C32" s="101">
        <v>14217853.790000001</v>
      </c>
      <c r="D32" s="101">
        <v>4759776.5375333335</v>
      </c>
      <c r="E32" s="101">
        <v>385993.18545000104</v>
      </c>
    </row>
    <row r="33" spans="1:5" x14ac:dyDescent="0.3">
      <c r="A33" t="s">
        <v>50</v>
      </c>
      <c r="C33" s="101">
        <v>13382868.5</v>
      </c>
      <c r="D33" s="101">
        <v>9299132.8899999987</v>
      </c>
      <c r="E33" s="101">
        <v>421532.11666666606</v>
      </c>
    </row>
    <row r="34" spans="1:5" x14ac:dyDescent="0.3">
      <c r="A34" t="s">
        <v>51</v>
      </c>
      <c r="C34" s="101">
        <v>1522590.7</v>
      </c>
      <c r="D34" s="101">
        <v>380378.75</v>
      </c>
      <c r="E34" s="101">
        <v>121733.63333333333</v>
      </c>
    </row>
    <row r="35" spans="1:5" x14ac:dyDescent="0.3">
      <c r="A35" t="s">
        <v>52</v>
      </c>
      <c r="C35" s="101">
        <v>1785617.7549999999</v>
      </c>
      <c r="D35" s="101">
        <v>925338.64000000013</v>
      </c>
      <c r="E35" s="101">
        <v>-16467.281666666691</v>
      </c>
    </row>
    <row r="36" spans="1:5" x14ac:dyDescent="0.3">
      <c r="A36" t="s">
        <v>53</v>
      </c>
      <c r="C36" s="101">
        <v>2627635.6140000001</v>
      </c>
      <c r="D36" s="101">
        <v>869292.49000000011</v>
      </c>
      <c r="E36" s="101">
        <v>-3464.7593333332625</v>
      </c>
    </row>
    <row r="37" spans="1:5" x14ac:dyDescent="0.3">
      <c r="A37" t="s">
        <v>8</v>
      </c>
      <c r="C37" s="101">
        <v>43544379.95615001</v>
      </c>
      <c r="D37" s="101">
        <v>20614162.501699995</v>
      </c>
      <c r="E37" s="101">
        <v>1380888.2973000004</v>
      </c>
    </row>
  </sheetData>
  <mergeCells count="2">
    <mergeCell ref="C27:F28"/>
    <mergeCell ref="C1:G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topLeftCell="F1" zoomScaleNormal="100" workbookViewId="0">
      <selection activeCell="K2" sqref="K2"/>
    </sheetView>
  </sheetViews>
  <sheetFormatPr defaultRowHeight="14.4" outlineLevelRow="2" x14ac:dyDescent="0.3"/>
  <cols>
    <col min="1" max="1" width="16.88671875" bestFit="1" customWidth="1"/>
    <col min="2" max="2" width="20.6640625" bestFit="1" customWidth="1"/>
    <col min="3" max="3" width="35.88671875" hidden="1" customWidth="1"/>
    <col min="4" max="4" width="27.21875" customWidth="1"/>
    <col min="5" max="5" width="21.88671875" customWidth="1"/>
    <col min="6" max="6" width="22.109375" customWidth="1"/>
    <col min="7" max="7" width="26.21875" customWidth="1"/>
    <col min="8" max="8" width="23.6640625" customWidth="1"/>
    <col min="9" max="9" width="21.77734375" bestFit="1" customWidth="1"/>
    <col min="10" max="10" width="77.33203125" style="109" hidden="1" customWidth="1"/>
    <col min="11" max="11" width="97.6640625" style="109" customWidth="1"/>
    <col min="12" max="12" width="22.44140625" style="108" customWidth="1"/>
  </cols>
  <sheetData>
    <row r="1" spans="1:12" x14ac:dyDescent="0.3">
      <c r="A1" s="113" t="s">
        <v>568</v>
      </c>
      <c r="B1" s="113" t="s">
        <v>54</v>
      </c>
      <c r="C1" s="113" t="s">
        <v>569</v>
      </c>
      <c r="D1" s="113" t="s">
        <v>55</v>
      </c>
      <c r="E1" s="113" t="s">
        <v>97</v>
      </c>
      <c r="F1" s="113" t="s">
        <v>570</v>
      </c>
      <c r="G1" s="113" t="s">
        <v>571</v>
      </c>
      <c r="H1" s="113" t="s">
        <v>572</v>
      </c>
      <c r="I1" s="113" t="s">
        <v>480</v>
      </c>
      <c r="J1" s="114" t="s">
        <v>573</v>
      </c>
      <c r="K1" s="114" t="s">
        <v>574</v>
      </c>
      <c r="L1" s="114" t="s">
        <v>575</v>
      </c>
    </row>
    <row r="2" spans="1:12" ht="28.8" outlineLevel="2" x14ac:dyDescent="0.3">
      <c r="A2" s="115" t="s">
        <v>2</v>
      </c>
      <c r="B2" s="115" t="s">
        <v>48</v>
      </c>
      <c r="C2" s="115" t="s">
        <v>211</v>
      </c>
      <c r="D2" s="115" t="s">
        <v>181</v>
      </c>
      <c r="E2" s="116">
        <v>250000</v>
      </c>
      <c r="F2" s="116">
        <v>0</v>
      </c>
      <c r="G2" s="116">
        <v>0</v>
      </c>
      <c r="H2" s="116">
        <v>152500</v>
      </c>
      <c r="I2" s="116">
        <v>-97500</v>
      </c>
      <c r="J2" s="117" t="s">
        <v>576</v>
      </c>
      <c r="K2" s="117" t="s">
        <v>577</v>
      </c>
      <c r="L2" s="118" t="s">
        <v>158</v>
      </c>
    </row>
    <row r="3" spans="1:12" ht="72" outlineLevel="2" x14ac:dyDescent="0.3">
      <c r="A3" s="115" t="s">
        <v>2</v>
      </c>
      <c r="B3" s="115" t="s">
        <v>48</v>
      </c>
      <c r="C3" s="115" t="s">
        <v>211</v>
      </c>
      <c r="D3" s="115" t="s">
        <v>208</v>
      </c>
      <c r="E3" s="116">
        <v>2444000</v>
      </c>
      <c r="F3" s="116">
        <v>480000</v>
      </c>
      <c r="G3" s="116">
        <v>480000</v>
      </c>
      <c r="H3" s="116">
        <v>1080000</v>
      </c>
      <c r="I3" s="116">
        <v>-884000</v>
      </c>
      <c r="J3" s="117" t="s">
        <v>579</v>
      </c>
      <c r="K3" s="117" t="s">
        <v>580</v>
      </c>
      <c r="L3" s="118" t="s">
        <v>578</v>
      </c>
    </row>
    <row r="4" spans="1:12" ht="57.6" outlineLevel="1" x14ac:dyDescent="0.3">
      <c r="A4" s="119" t="s">
        <v>2</v>
      </c>
      <c r="B4" s="119" t="s">
        <v>499</v>
      </c>
      <c r="C4" s="115" t="s">
        <v>211</v>
      </c>
      <c r="D4" s="119"/>
      <c r="E4" s="120">
        <f>SUM(E2:E3)</f>
        <v>2694000</v>
      </c>
      <c r="F4" s="120">
        <f>SUM(F2:F3)</f>
        <v>480000</v>
      </c>
      <c r="G4" s="120">
        <f>SUM(G2:G3)</f>
        <v>480000</v>
      </c>
      <c r="H4" s="120">
        <f>SUM(H2:H3)</f>
        <v>1232500</v>
      </c>
      <c r="I4" s="120">
        <f>SUM(I2:I3)</f>
        <v>-981500</v>
      </c>
      <c r="J4" s="117" t="s">
        <v>581</v>
      </c>
      <c r="K4" s="117" t="s">
        <v>582</v>
      </c>
      <c r="L4" s="118" t="s">
        <v>578</v>
      </c>
    </row>
    <row r="5" spans="1:12" ht="28.8" outlineLevel="2" x14ac:dyDescent="0.3">
      <c r="A5" s="115" t="s">
        <v>2</v>
      </c>
      <c r="B5" s="115" t="s">
        <v>50</v>
      </c>
      <c r="C5" s="115" t="s">
        <v>583</v>
      </c>
      <c r="D5" s="115" t="s">
        <v>400</v>
      </c>
      <c r="E5" s="116">
        <v>250000</v>
      </c>
      <c r="F5" s="116">
        <v>0</v>
      </c>
      <c r="G5" s="116">
        <v>0</v>
      </c>
      <c r="H5" s="116">
        <v>250000</v>
      </c>
      <c r="I5" s="116">
        <v>0</v>
      </c>
      <c r="J5" s="121" t="s">
        <v>584</v>
      </c>
      <c r="K5" s="121" t="s">
        <v>585</v>
      </c>
      <c r="L5" s="122" t="s">
        <v>586</v>
      </c>
    </row>
    <row r="6" spans="1:12" ht="28.8" outlineLevel="2" x14ac:dyDescent="0.3">
      <c r="A6" s="115" t="s">
        <v>2</v>
      </c>
      <c r="B6" s="115" t="s">
        <v>50</v>
      </c>
      <c r="C6" s="115" t="s">
        <v>583</v>
      </c>
      <c r="D6" s="115" t="s">
        <v>56</v>
      </c>
      <c r="E6" s="116">
        <v>50000</v>
      </c>
      <c r="F6" s="116">
        <v>0</v>
      </c>
      <c r="G6" s="116">
        <v>0</v>
      </c>
      <c r="H6" s="116">
        <v>50000</v>
      </c>
      <c r="I6" s="116">
        <v>0</v>
      </c>
      <c r="J6" s="121" t="s">
        <v>587</v>
      </c>
      <c r="K6" s="121" t="s">
        <v>588</v>
      </c>
      <c r="L6" s="122" t="s">
        <v>586</v>
      </c>
    </row>
    <row r="7" spans="1:12" ht="28.8" outlineLevel="2" x14ac:dyDescent="0.3">
      <c r="A7" s="115" t="s">
        <v>2</v>
      </c>
      <c r="B7" s="115" t="s">
        <v>50</v>
      </c>
      <c r="C7" s="115" t="s">
        <v>583</v>
      </c>
      <c r="D7" s="115" t="s">
        <v>334</v>
      </c>
      <c r="E7" s="116">
        <v>1350000</v>
      </c>
      <c r="F7" s="116">
        <v>100000</v>
      </c>
      <c r="G7" s="116">
        <v>0</v>
      </c>
      <c r="H7" s="116">
        <v>1020000</v>
      </c>
      <c r="I7" s="116">
        <v>-330000</v>
      </c>
      <c r="J7" s="117" t="s">
        <v>589</v>
      </c>
      <c r="K7" s="117" t="s">
        <v>590</v>
      </c>
      <c r="L7" s="118" t="s">
        <v>578</v>
      </c>
    </row>
    <row r="8" spans="1:12" ht="28.8" outlineLevel="1" x14ac:dyDescent="0.3">
      <c r="A8" s="119" t="s">
        <v>2</v>
      </c>
      <c r="B8" s="119" t="s">
        <v>501</v>
      </c>
      <c r="C8" s="115" t="s">
        <v>583</v>
      </c>
      <c r="D8" s="119"/>
      <c r="E8" s="120">
        <f>SUM(E5:E7)</f>
        <v>1650000</v>
      </c>
      <c r="F8" s="120">
        <f>SUM(F5:F7)</f>
        <v>100000</v>
      </c>
      <c r="G8" s="120">
        <f>SUM(G5:G7)</f>
        <v>0</v>
      </c>
      <c r="H8" s="120">
        <f>SUM(H5:H7)</f>
        <v>1320000</v>
      </c>
      <c r="I8" s="120">
        <f>SUM(I5:I7)</f>
        <v>-330000</v>
      </c>
      <c r="J8" s="117" t="s">
        <v>591</v>
      </c>
      <c r="K8" s="117" t="s">
        <v>592</v>
      </c>
      <c r="L8" s="118" t="s">
        <v>578</v>
      </c>
    </row>
    <row r="9" spans="1:12" ht="28.8" outlineLevel="2" x14ac:dyDescent="0.3">
      <c r="A9" s="115" t="s">
        <v>2</v>
      </c>
      <c r="B9" s="115" t="s">
        <v>51</v>
      </c>
      <c r="C9" s="115" t="s">
        <v>168</v>
      </c>
      <c r="D9" s="115" t="s">
        <v>181</v>
      </c>
      <c r="E9" s="116">
        <v>250000</v>
      </c>
      <c r="F9" s="116">
        <v>20833.333333333299</v>
      </c>
      <c r="G9" s="116">
        <v>0</v>
      </c>
      <c r="H9" s="116">
        <v>208333.33333333299</v>
      </c>
      <c r="I9" s="116">
        <v>-41666.666666666701</v>
      </c>
      <c r="J9" s="117" t="s">
        <v>593</v>
      </c>
      <c r="K9" s="117" t="s">
        <v>594</v>
      </c>
      <c r="L9" s="118" t="s">
        <v>158</v>
      </c>
    </row>
    <row r="10" spans="1:12" ht="28.8" outlineLevel="1" x14ac:dyDescent="0.3">
      <c r="A10" s="119" t="s">
        <v>2</v>
      </c>
      <c r="B10" s="119" t="s">
        <v>502</v>
      </c>
      <c r="C10" s="115" t="s">
        <v>168</v>
      </c>
      <c r="D10" s="119"/>
      <c r="E10" s="120">
        <f>SUM(E9:E9)</f>
        <v>250000</v>
      </c>
      <c r="F10" s="120">
        <f>SUM(F9:F9)</f>
        <v>20833.333333333299</v>
      </c>
      <c r="G10" s="120">
        <f>SUM(G9:G9)</f>
        <v>0</v>
      </c>
      <c r="H10" s="120">
        <f>SUM(H9:H9)</f>
        <v>208333.33333333299</v>
      </c>
      <c r="I10" s="120">
        <f>SUM(I9:I9)</f>
        <v>-41666.666666666701</v>
      </c>
      <c r="J10" s="117" t="s">
        <v>595</v>
      </c>
      <c r="K10" s="117" t="s">
        <v>596</v>
      </c>
      <c r="L10" s="118" t="s">
        <v>578</v>
      </c>
    </row>
    <row r="11" spans="1:12" ht="28.8" outlineLevel="2" x14ac:dyDescent="0.3">
      <c r="A11" s="115" t="s">
        <v>2</v>
      </c>
      <c r="B11" s="115" t="s">
        <v>53</v>
      </c>
      <c r="C11" s="115" t="s">
        <v>597</v>
      </c>
      <c r="D11" s="115" t="s">
        <v>400</v>
      </c>
      <c r="E11" s="116">
        <v>12896</v>
      </c>
      <c r="F11" s="116">
        <v>0</v>
      </c>
      <c r="G11" s="116">
        <v>0</v>
      </c>
      <c r="H11" s="116">
        <v>12896</v>
      </c>
      <c r="I11" s="116">
        <v>0</v>
      </c>
      <c r="J11" s="121" t="s">
        <v>598</v>
      </c>
      <c r="K11" s="121" t="s">
        <v>599</v>
      </c>
      <c r="L11" s="122" t="s">
        <v>586</v>
      </c>
    </row>
    <row r="12" spans="1:12" ht="28.8" outlineLevel="2" x14ac:dyDescent="0.3">
      <c r="A12" s="115" t="s">
        <v>2</v>
      </c>
      <c r="B12" s="115" t="s">
        <v>53</v>
      </c>
      <c r="C12" s="115" t="s">
        <v>597</v>
      </c>
      <c r="D12" s="115" t="s">
        <v>181</v>
      </c>
      <c r="E12" s="116">
        <v>100000</v>
      </c>
      <c r="F12" s="116">
        <v>0</v>
      </c>
      <c r="G12" s="116">
        <v>0</v>
      </c>
      <c r="H12" s="116">
        <v>100000</v>
      </c>
      <c r="I12" s="116">
        <v>0</v>
      </c>
      <c r="J12" s="121" t="s">
        <v>600</v>
      </c>
      <c r="K12" s="121" t="s">
        <v>601</v>
      </c>
      <c r="L12" s="122" t="s">
        <v>586</v>
      </c>
    </row>
    <row r="13" spans="1:12" ht="28.8" outlineLevel="1" x14ac:dyDescent="0.3">
      <c r="A13" s="119" t="s">
        <v>2</v>
      </c>
      <c r="B13" s="119" t="s">
        <v>504</v>
      </c>
      <c r="C13" s="115" t="s">
        <v>597</v>
      </c>
      <c r="D13" s="119"/>
      <c r="E13" s="120">
        <f>SUM(E11:E12)</f>
        <v>112896</v>
      </c>
      <c r="F13" s="120">
        <f>SUM(F11:F12)</f>
        <v>0</v>
      </c>
      <c r="G13" s="120">
        <f>SUM(G11:G12)</f>
        <v>0</v>
      </c>
      <c r="H13" s="120">
        <f>SUM(H11:H12)</f>
        <v>112896</v>
      </c>
      <c r="I13" s="120">
        <f>SUM(I11:I12)</f>
        <v>0</v>
      </c>
      <c r="J13" s="121" t="s">
        <v>602</v>
      </c>
      <c r="K13" s="121" t="s">
        <v>603</v>
      </c>
      <c r="L13" s="122" t="s">
        <v>586</v>
      </c>
    </row>
    <row r="14" spans="1:12" ht="57.6" x14ac:dyDescent="0.3">
      <c r="A14" s="119" t="s">
        <v>604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605</v>
      </c>
      <c r="K14" s="117" t="s">
        <v>606</v>
      </c>
      <c r="L14" s="118" t="s">
        <v>578</v>
      </c>
    </row>
    <row r="15" spans="1:12" ht="28.8" outlineLevel="2" x14ac:dyDescent="0.3">
      <c r="A15" s="115" t="s">
        <v>3</v>
      </c>
      <c r="B15" s="115" t="s">
        <v>48</v>
      </c>
      <c r="C15" s="115" t="s">
        <v>211</v>
      </c>
      <c r="D15" s="115" t="s">
        <v>70</v>
      </c>
      <c r="E15" s="116">
        <v>81590</v>
      </c>
      <c r="F15" s="116">
        <v>20397.5</v>
      </c>
      <c r="G15" s="116">
        <v>5114.71</v>
      </c>
      <c r="H15" s="116">
        <v>76475.289999999994</v>
      </c>
      <c r="I15" s="116">
        <v>-15282.79</v>
      </c>
      <c r="J15" s="117" t="s">
        <v>607</v>
      </c>
      <c r="K15" s="117" t="s">
        <v>608</v>
      </c>
      <c r="L15" s="118" t="s">
        <v>578</v>
      </c>
    </row>
    <row r="16" spans="1:12" ht="28.8" outlineLevel="1" x14ac:dyDescent="0.3">
      <c r="A16" s="119" t="s">
        <v>3</v>
      </c>
      <c r="B16" s="119" t="s">
        <v>499</v>
      </c>
      <c r="C16" s="115" t="s">
        <v>211</v>
      </c>
      <c r="D16" s="119"/>
      <c r="E16" s="120">
        <f>SUM(E15:E15)</f>
        <v>81590</v>
      </c>
      <c r="F16" s="120">
        <f>SUM(F15:F15)</f>
        <v>20397.5</v>
      </c>
      <c r="G16" s="120">
        <f>SUM(G15:G15)</f>
        <v>5114.71</v>
      </c>
      <c r="H16" s="120">
        <f>SUM(H15:H15)</f>
        <v>76475.289999999994</v>
      </c>
      <c r="I16" s="120">
        <f>SUM(I15:I15)</f>
        <v>-15282.79</v>
      </c>
      <c r="J16" s="117" t="s">
        <v>609</v>
      </c>
      <c r="K16" s="117" t="s">
        <v>610</v>
      </c>
      <c r="L16" s="118" t="s">
        <v>578</v>
      </c>
    </row>
    <row r="17" spans="1:13" ht="43.2" outlineLevel="2" x14ac:dyDescent="0.3">
      <c r="A17" s="115" t="s">
        <v>3</v>
      </c>
      <c r="B17" s="115" t="s">
        <v>49</v>
      </c>
      <c r="C17" s="115" t="s">
        <v>104</v>
      </c>
      <c r="D17" s="115" t="s">
        <v>57</v>
      </c>
      <c r="E17" s="116">
        <v>34646</v>
      </c>
      <c r="F17" s="116">
        <v>8661.5</v>
      </c>
      <c r="G17" s="116">
        <v>1463.5</v>
      </c>
      <c r="H17" s="116">
        <v>108182.5</v>
      </c>
      <c r="I17" s="116">
        <v>67802</v>
      </c>
      <c r="J17" s="123" t="s">
        <v>611</v>
      </c>
      <c r="K17" s="123" t="s">
        <v>612</v>
      </c>
      <c r="L17" s="122" t="s">
        <v>41</v>
      </c>
      <c r="M17" s="124"/>
    </row>
    <row r="18" spans="1:13" ht="28.8" outlineLevel="2" x14ac:dyDescent="0.3">
      <c r="A18" s="115" t="s">
        <v>3</v>
      </c>
      <c r="B18" s="115" t="s">
        <v>49</v>
      </c>
      <c r="C18" s="115" t="s">
        <v>104</v>
      </c>
      <c r="D18" s="115" t="s">
        <v>70</v>
      </c>
      <c r="E18" s="116">
        <v>0</v>
      </c>
      <c r="F18" s="116">
        <v>0</v>
      </c>
      <c r="G18" s="116">
        <v>6769.53</v>
      </c>
      <c r="H18" s="116">
        <v>-6769.53</v>
      </c>
      <c r="I18" s="116">
        <v>6769.53</v>
      </c>
      <c r="J18" s="123" t="s">
        <v>613</v>
      </c>
      <c r="K18" s="123" t="s">
        <v>614</v>
      </c>
      <c r="L18" s="122" t="s">
        <v>41</v>
      </c>
    </row>
    <row r="19" spans="1:13" ht="57.6" outlineLevel="1" x14ac:dyDescent="0.3">
      <c r="A19" s="119" t="s">
        <v>3</v>
      </c>
      <c r="B19" s="119" t="s">
        <v>500</v>
      </c>
      <c r="C19" s="115" t="s">
        <v>104</v>
      </c>
      <c r="D19" s="119"/>
      <c r="E19" s="120">
        <f>SUM(E17:E18)</f>
        <v>34646</v>
      </c>
      <c r="F19" s="120">
        <f>SUM(F17:F18)</f>
        <v>8661.5</v>
      </c>
      <c r="G19" s="120">
        <f>SUM(G17:G18)</f>
        <v>8233.0299999999988</v>
      </c>
      <c r="H19" s="120">
        <f>SUM(H17:H18)</f>
        <v>101412.97</v>
      </c>
      <c r="I19" s="120">
        <f>SUM(I17:I18)</f>
        <v>74571.53</v>
      </c>
      <c r="J19" s="123" t="s">
        <v>615</v>
      </c>
      <c r="K19" s="123" t="s">
        <v>616</v>
      </c>
      <c r="L19" s="122" t="s">
        <v>41</v>
      </c>
    </row>
    <row r="20" spans="1:13" ht="57.6" x14ac:dyDescent="0.3">
      <c r="A20" s="119" t="s">
        <v>617</v>
      </c>
      <c r="B20" s="119"/>
      <c r="C20" s="119"/>
      <c r="D20" s="119"/>
      <c r="E20" s="120">
        <f>SUM(E16,E19)</f>
        <v>116236</v>
      </c>
      <c r="F20" s="120">
        <f>SUM(F16,F19)</f>
        <v>29059</v>
      </c>
      <c r="G20" s="120">
        <f>SUM(G16,G19)</f>
        <v>13347.739999999998</v>
      </c>
      <c r="H20" s="120">
        <f>SUM(H16,H19)</f>
        <v>177888.26</v>
      </c>
      <c r="I20" s="120">
        <f>SUM(I16,I19)</f>
        <v>59288.74</v>
      </c>
      <c r="J20" s="123" t="s">
        <v>618</v>
      </c>
      <c r="K20" s="123" t="s">
        <v>619</v>
      </c>
      <c r="L20" s="122" t="s">
        <v>41</v>
      </c>
    </row>
    <row r="21" spans="1:13" ht="28.8" outlineLevel="2" x14ac:dyDescent="0.3">
      <c r="A21" s="115" t="s">
        <v>4</v>
      </c>
      <c r="B21" s="115" t="s">
        <v>49</v>
      </c>
      <c r="C21" s="115" t="s">
        <v>104</v>
      </c>
      <c r="D21" s="115" t="s">
        <v>58</v>
      </c>
      <c r="E21" s="116">
        <v>36345</v>
      </c>
      <c r="F21" s="116">
        <v>9086.25</v>
      </c>
      <c r="G21" s="116">
        <v>0</v>
      </c>
      <c r="H21" s="116">
        <v>36345</v>
      </c>
      <c r="I21" s="116">
        <v>0</v>
      </c>
      <c r="J21" s="121" t="s">
        <v>620</v>
      </c>
      <c r="K21" s="121" t="s">
        <v>621</v>
      </c>
      <c r="L21" s="122" t="s">
        <v>586</v>
      </c>
    </row>
    <row r="22" spans="1:13" ht="28.8" outlineLevel="2" x14ac:dyDescent="0.3">
      <c r="A22" s="115" t="s">
        <v>4</v>
      </c>
      <c r="B22" s="115" t="s">
        <v>49</v>
      </c>
      <c r="C22" s="115" t="s">
        <v>104</v>
      </c>
      <c r="D22" s="115" t="s">
        <v>59</v>
      </c>
      <c r="E22" s="116">
        <v>4230</v>
      </c>
      <c r="F22" s="116">
        <v>1059</v>
      </c>
      <c r="G22" s="116">
        <v>1118.5354299999999</v>
      </c>
      <c r="H22" s="116">
        <v>3111.4645700000001</v>
      </c>
      <c r="I22" s="116">
        <v>59.535429999999899</v>
      </c>
      <c r="J22" s="125" t="s">
        <v>622</v>
      </c>
      <c r="K22" s="125" t="s">
        <v>623</v>
      </c>
      <c r="L22" s="122" t="s">
        <v>624</v>
      </c>
    </row>
    <row r="23" spans="1:13" ht="28.8" outlineLevel="2" x14ac:dyDescent="0.3">
      <c r="A23" s="115" t="s">
        <v>4</v>
      </c>
      <c r="B23" s="115" t="s">
        <v>49</v>
      </c>
      <c r="C23" s="115" t="s">
        <v>104</v>
      </c>
      <c r="D23" s="115" t="s">
        <v>60</v>
      </c>
      <c r="E23" s="116">
        <v>2863</v>
      </c>
      <c r="F23" s="116">
        <v>715.75</v>
      </c>
      <c r="G23" s="116">
        <v>0</v>
      </c>
      <c r="H23" s="116">
        <v>2863</v>
      </c>
      <c r="I23" s="116">
        <v>0</v>
      </c>
      <c r="J23" s="121" t="s">
        <v>625</v>
      </c>
      <c r="K23" s="121" t="s">
        <v>626</v>
      </c>
      <c r="L23" s="122" t="s">
        <v>586</v>
      </c>
    </row>
    <row r="24" spans="1:13" ht="43.2" outlineLevel="2" x14ac:dyDescent="0.3">
      <c r="A24" s="115" t="s">
        <v>4</v>
      </c>
      <c r="B24" s="115" t="s">
        <v>49</v>
      </c>
      <c r="C24" s="115" t="s">
        <v>104</v>
      </c>
      <c r="D24" s="115" t="s">
        <v>57</v>
      </c>
      <c r="E24" s="116">
        <v>180000</v>
      </c>
      <c r="F24" s="116">
        <v>45000</v>
      </c>
      <c r="G24" s="116">
        <v>33015.42</v>
      </c>
      <c r="H24" s="116">
        <v>146984.57999999999</v>
      </c>
      <c r="I24" s="116">
        <v>-11984.58</v>
      </c>
      <c r="J24" s="117" t="s">
        <v>627</v>
      </c>
      <c r="K24" s="117" t="s">
        <v>628</v>
      </c>
      <c r="L24" s="118" t="s">
        <v>578</v>
      </c>
    </row>
    <row r="25" spans="1:13" ht="28.8" outlineLevel="2" x14ac:dyDescent="0.3">
      <c r="A25" s="115" t="s">
        <v>4</v>
      </c>
      <c r="B25" s="115" t="s">
        <v>49</v>
      </c>
      <c r="C25" s="115" t="s">
        <v>104</v>
      </c>
      <c r="D25" s="115" t="s">
        <v>61</v>
      </c>
      <c r="E25" s="116">
        <v>1674</v>
      </c>
      <c r="F25" s="116">
        <v>0</v>
      </c>
      <c r="G25" s="116">
        <v>0</v>
      </c>
      <c r="H25" s="116">
        <v>0</v>
      </c>
      <c r="I25" s="116">
        <v>-1674</v>
      </c>
      <c r="J25" s="126" t="s">
        <v>629</v>
      </c>
      <c r="K25" s="126" t="s">
        <v>630</v>
      </c>
      <c r="L25" s="122" t="s">
        <v>158</v>
      </c>
    </row>
    <row r="26" spans="1:13" ht="28.8" outlineLevel="2" x14ac:dyDescent="0.3">
      <c r="A26" s="115" t="s">
        <v>4</v>
      </c>
      <c r="B26" s="115" t="s">
        <v>49</v>
      </c>
      <c r="C26" s="115" t="s">
        <v>104</v>
      </c>
      <c r="D26" s="115" t="s">
        <v>62</v>
      </c>
      <c r="E26" s="116">
        <v>7043</v>
      </c>
      <c r="F26" s="116">
        <v>1761</v>
      </c>
      <c r="G26" s="116">
        <v>1876.3675000000001</v>
      </c>
      <c r="H26" s="116">
        <v>5166.6324999999997</v>
      </c>
      <c r="I26" s="116">
        <v>115.36750000000001</v>
      </c>
      <c r="J26" s="125" t="s">
        <v>631</v>
      </c>
      <c r="K26" s="125" t="s">
        <v>632</v>
      </c>
      <c r="L26" s="122" t="s">
        <v>624</v>
      </c>
    </row>
    <row r="27" spans="1:13" ht="28.8" outlineLevel="2" x14ac:dyDescent="0.3">
      <c r="A27" s="115" t="s">
        <v>4</v>
      </c>
      <c r="B27" s="115" t="s">
        <v>49</v>
      </c>
      <c r="C27" s="115" t="s">
        <v>104</v>
      </c>
      <c r="D27" s="115" t="s">
        <v>63</v>
      </c>
      <c r="E27" s="116">
        <v>35314</v>
      </c>
      <c r="F27" s="116">
        <v>8829</v>
      </c>
      <c r="G27" s="116">
        <v>8408.1299999999992</v>
      </c>
      <c r="H27" s="116">
        <v>26905.87</v>
      </c>
      <c r="I27" s="116">
        <v>-420.87000000000302</v>
      </c>
      <c r="J27" s="117" t="s">
        <v>633</v>
      </c>
      <c r="K27" s="117" t="s">
        <v>634</v>
      </c>
      <c r="L27" s="118" t="s">
        <v>578</v>
      </c>
    </row>
    <row r="28" spans="1:13" ht="28.8" outlineLevel="2" x14ac:dyDescent="0.3">
      <c r="A28" s="115" t="s">
        <v>4</v>
      </c>
      <c r="B28" s="115" t="s">
        <v>49</v>
      </c>
      <c r="C28" s="115" t="s">
        <v>104</v>
      </c>
      <c r="D28" s="115" t="s">
        <v>64</v>
      </c>
      <c r="E28" s="116">
        <v>18865</v>
      </c>
      <c r="F28" s="116">
        <v>4535.8999999999996</v>
      </c>
      <c r="G28" s="116">
        <v>4859.2299999999996</v>
      </c>
      <c r="H28" s="116">
        <v>14005.67</v>
      </c>
      <c r="I28" s="116">
        <v>323.23000000000297</v>
      </c>
      <c r="J28" s="125" t="s">
        <v>635</v>
      </c>
      <c r="K28" s="125" t="s">
        <v>636</v>
      </c>
      <c r="L28" s="122" t="s">
        <v>624</v>
      </c>
    </row>
    <row r="29" spans="1:13" ht="28.8" outlineLevel="2" x14ac:dyDescent="0.3">
      <c r="A29" s="115" t="s">
        <v>4</v>
      </c>
      <c r="B29" s="115" t="s">
        <v>49</v>
      </c>
      <c r="C29" s="115" t="s">
        <v>104</v>
      </c>
      <c r="D29" s="115" t="s">
        <v>65</v>
      </c>
      <c r="E29" s="116">
        <v>25439</v>
      </c>
      <c r="F29" s="116">
        <v>6359.75</v>
      </c>
      <c r="G29" s="116">
        <v>6057.62</v>
      </c>
      <c r="H29" s="116">
        <v>19381.38</v>
      </c>
      <c r="I29" s="116">
        <v>-302.12999999999698</v>
      </c>
      <c r="J29" s="117" t="s">
        <v>637</v>
      </c>
      <c r="K29" s="117" t="s">
        <v>638</v>
      </c>
      <c r="L29" s="118" t="s">
        <v>578</v>
      </c>
    </row>
    <row r="30" spans="1:13" ht="28.8" outlineLevel="2" x14ac:dyDescent="0.3">
      <c r="A30" s="115" t="s">
        <v>4</v>
      </c>
      <c r="B30" s="115" t="s">
        <v>49</v>
      </c>
      <c r="C30" s="115" t="s">
        <v>104</v>
      </c>
      <c r="D30" s="115" t="s">
        <v>66</v>
      </c>
      <c r="E30" s="116">
        <v>34537</v>
      </c>
      <c r="F30" s="116">
        <v>8634.25</v>
      </c>
      <c r="G30" s="116">
        <v>8224.35</v>
      </c>
      <c r="H30" s="116">
        <v>26312.65</v>
      </c>
      <c r="I30" s="116">
        <v>-409.900000000001</v>
      </c>
      <c r="J30" s="117" t="s">
        <v>639</v>
      </c>
      <c r="K30" s="117" t="s">
        <v>640</v>
      </c>
      <c r="L30" s="118" t="s">
        <v>578</v>
      </c>
    </row>
    <row r="31" spans="1:13" ht="28.8" outlineLevel="2" x14ac:dyDescent="0.3">
      <c r="A31" s="115" t="s">
        <v>4</v>
      </c>
      <c r="B31" s="115" t="s">
        <v>49</v>
      </c>
      <c r="C31" s="115" t="s">
        <v>104</v>
      </c>
      <c r="D31" s="115" t="s">
        <v>67</v>
      </c>
      <c r="E31" s="116">
        <v>7500000</v>
      </c>
      <c r="F31" s="116">
        <v>1875000</v>
      </c>
      <c r="G31" s="116">
        <v>1891775.66</v>
      </c>
      <c r="H31" s="116">
        <v>5591448.3399999999</v>
      </c>
      <c r="I31" s="116">
        <v>-0.33999999891966598</v>
      </c>
      <c r="J31" s="121" t="s">
        <v>641</v>
      </c>
      <c r="K31" s="121" t="s">
        <v>642</v>
      </c>
      <c r="L31" s="122" t="s">
        <v>586</v>
      </c>
    </row>
    <row r="32" spans="1:13" ht="28.8" outlineLevel="2" x14ac:dyDescent="0.3">
      <c r="A32" s="115" t="s">
        <v>4</v>
      </c>
      <c r="B32" s="115" t="s">
        <v>49</v>
      </c>
      <c r="C32" s="115" t="s">
        <v>104</v>
      </c>
      <c r="D32" s="115" t="s">
        <v>68</v>
      </c>
      <c r="E32" s="116">
        <v>52500</v>
      </c>
      <c r="F32" s="116">
        <v>0</v>
      </c>
      <c r="G32" s="116">
        <v>0</v>
      </c>
      <c r="H32" s="116">
        <v>52500</v>
      </c>
      <c r="I32" s="116">
        <v>0</v>
      </c>
      <c r="J32" s="121" t="s">
        <v>643</v>
      </c>
      <c r="K32" s="121" t="s">
        <v>644</v>
      </c>
      <c r="L32" s="122" t="s">
        <v>586</v>
      </c>
    </row>
    <row r="33" spans="1:13" ht="28.8" outlineLevel="2" x14ac:dyDescent="0.3">
      <c r="A33" s="115" t="s">
        <v>4</v>
      </c>
      <c r="B33" s="115" t="s">
        <v>49</v>
      </c>
      <c r="C33" s="115" t="s">
        <v>104</v>
      </c>
      <c r="D33" s="115" t="s">
        <v>69</v>
      </c>
      <c r="E33" s="116">
        <v>3150</v>
      </c>
      <c r="F33" s="116">
        <v>3150</v>
      </c>
      <c r="G33" s="116">
        <v>3000</v>
      </c>
      <c r="H33" s="116">
        <v>150</v>
      </c>
      <c r="I33" s="116">
        <v>-150</v>
      </c>
      <c r="J33" s="117" t="s">
        <v>645</v>
      </c>
      <c r="K33" s="117" t="s">
        <v>646</v>
      </c>
      <c r="L33" s="118" t="s">
        <v>578</v>
      </c>
    </row>
    <row r="34" spans="1:13" ht="28.8" outlineLevel="2" x14ac:dyDescent="0.3">
      <c r="A34" s="115" t="s">
        <v>4</v>
      </c>
      <c r="B34" s="115" t="s">
        <v>49</v>
      </c>
      <c r="C34" s="115" t="s">
        <v>104</v>
      </c>
      <c r="D34" s="115" t="s">
        <v>70</v>
      </c>
      <c r="E34" s="116">
        <v>0</v>
      </c>
      <c r="F34" s="116">
        <v>0</v>
      </c>
      <c r="G34" s="116">
        <v>73.75</v>
      </c>
      <c r="H34" s="116">
        <v>-73.75</v>
      </c>
      <c r="I34" s="116">
        <v>73.75</v>
      </c>
      <c r="J34" s="125" t="s">
        <v>647</v>
      </c>
      <c r="K34" s="125" t="s">
        <v>648</v>
      </c>
      <c r="L34" s="122" t="s">
        <v>624</v>
      </c>
    </row>
    <row r="35" spans="1:13" ht="28.8" outlineLevel="2" x14ac:dyDescent="0.3">
      <c r="A35" s="115" t="s">
        <v>4</v>
      </c>
      <c r="B35" s="115" t="s">
        <v>49</v>
      </c>
      <c r="C35" s="115" t="s">
        <v>104</v>
      </c>
      <c r="D35" s="115" t="s">
        <v>71</v>
      </c>
      <c r="E35" s="116">
        <v>421713.07500000001</v>
      </c>
      <c r="F35" s="116">
        <v>101252.50333333301</v>
      </c>
      <c r="G35" s="116">
        <v>66108.92</v>
      </c>
      <c r="H35" s="116">
        <v>355603.83333333302</v>
      </c>
      <c r="I35" s="116">
        <v>-0.32166666671400901</v>
      </c>
      <c r="J35" s="121" t="s">
        <v>649</v>
      </c>
      <c r="K35" s="121" t="s">
        <v>650</v>
      </c>
      <c r="L35" s="122" t="s">
        <v>586</v>
      </c>
    </row>
    <row r="36" spans="1:13" ht="28.8" outlineLevel="2" x14ac:dyDescent="0.3">
      <c r="A36" s="115" t="s">
        <v>4</v>
      </c>
      <c r="B36" s="115" t="s">
        <v>49</v>
      </c>
      <c r="C36" s="115" t="s">
        <v>104</v>
      </c>
      <c r="D36" s="115" t="s">
        <v>72</v>
      </c>
      <c r="E36" s="116">
        <v>15750</v>
      </c>
      <c r="F36" s="116">
        <v>0</v>
      </c>
      <c r="G36" s="116">
        <v>0</v>
      </c>
      <c r="H36" s="116">
        <v>15750</v>
      </c>
      <c r="I36" s="116">
        <v>0</v>
      </c>
      <c r="J36" s="121" t="s">
        <v>651</v>
      </c>
      <c r="K36" s="121" t="s">
        <v>652</v>
      </c>
      <c r="L36" s="122" t="s">
        <v>586</v>
      </c>
    </row>
    <row r="37" spans="1:13" ht="28.8" outlineLevel="1" x14ac:dyDescent="0.3">
      <c r="A37" s="119" t="s">
        <v>4</v>
      </c>
      <c r="B37" s="119" t="s">
        <v>500</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653</v>
      </c>
      <c r="K37" s="117" t="s">
        <v>654</v>
      </c>
      <c r="L37" s="118" t="s">
        <v>578</v>
      </c>
    </row>
    <row r="38" spans="1:13" ht="28.8" outlineLevel="2" x14ac:dyDescent="0.3">
      <c r="A38" s="115" t="s">
        <v>4</v>
      </c>
      <c r="B38" s="115" t="s">
        <v>53</v>
      </c>
      <c r="C38" s="115" t="s">
        <v>597</v>
      </c>
      <c r="D38" s="115" t="s">
        <v>358</v>
      </c>
      <c r="E38" s="116">
        <v>292</v>
      </c>
      <c r="F38" s="116">
        <v>0</v>
      </c>
      <c r="G38" s="116">
        <v>0</v>
      </c>
      <c r="H38" s="116">
        <v>292</v>
      </c>
      <c r="I38" s="116">
        <v>0</v>
      </c>
      <c r="J38" s="121" t="s">
        <v>655</v>
      </c>
      <c r="K38" s="121" t="s">
        <v>656</v>
      </c>
      <c r="L38" s="122" t="s">
        <v>586</v>
      </c>
    </row>
    <row r="39" spans="1:13" ht="28.8" outlineLevel="2" x14ac:dyDescent="0.3">
      <c r="A39" s="115" t="s">
        <v>4</v>
      </c>
      <c r="B39" s="115" t="s">
        <v>53</v>
      </c>
      <c r="C39" s="115" t="s">
        <v>597</v>
      </c>
      <c r="D39" s="115" t="s">
        <v>360</v>
      </c>
      <c r="E39" s="116">
        <v>2900</v>
      </c>
      <c r="F39" s="116">
        <v>258.66666666666703</v>
      </c>
      <c r="G39" s="116">
        <v>16.739999999999998</v>
      </c>
      <c r="H39" s="116">
        <v>2882.9266666666699</v>
      </c>
      <c r="I39" s="116">
        <v>-0.59333333333370297</v>
      </c>
      <c r="J39" s="117" t="s">
        <v>657</v>
      </c>
      <c r="K39" s="117" t="s">
        <v>658</v>
      </c>
      <c r="L39" s="118" t="s">
        <v>578</v>
      </c>
    </row>
    <row r="40" spans="1:13" ht="28.8" outlineLevel="1" x14ac:dyDescent="0.3">
      <c r="A40" s="119" t="s">
        <v>4</v>
      </c>
      <c r="B40" s="119" t="s">
        <v>504</v>
      </c>
      <c r="C40" s="115" t="s">
        <v>597</v>
      </c>
      <c r="D40" s="119"/>
      <c r="E40" s="120">
        <f>SUM(E38:E39)</f>
        <v>3192</v>
      </c>
      <c r="F40" s="120">
        <f>SUM(F38:F39)</f>
        <v>258.66666666666703</v>
      </c>
      <c r="G40" s="120">
        <f>SUM(G38:G39)</f>
        <v>16.739999999999998</v>
      </c>
      <c r="H40" s="120">
        <f>SUM(H38:H39)</f>
        <v>3174.9266666666699</v>
      </c>
      <c r="I40" s="120">
        <f>SUM(I38:I39)</f>
        <v>-0.59333333333370297</v>
      </c>
      <c r="J40" s="117" t="s">
        <v>659</v>
      </c>
      <c r="K40" s="117" t="s">
        <v>660</v>
      </c>
      <c r="L40" s="118" t="s">
        <v>578</v>
      </c>
    </row>
    <row r="41" spans="1:13" ht="86.4" x14ac:dyDescent="0.3">
      <c r="A41" s="119" t="s">
        <v>661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662</v>
      </c>
      <c r="K41" s="117" t="s">
        <v>663</v>
      </c>
      <c r="L41" s="118" t="s">
        <v>578</v>
      </c>
    </row>
    <row r="42" spans="1:13" ht="57.6" outlineLevel="2" x14ac:dyDescent="0.3">
      <c r="A42" s="115" t="s">
        <v>46</v>
      </c>
      <c r="B42" s="115" t="s">
        <v>48</v>
      </c>
      <c r="C42" s="115" t="s">
        <v>211</v>
      </c>
      <c r="D42" s="115" t="s">
        <v>73</v>
      </c>
      <c r="E42" s="116">
        <v>1438080</v>
      </c>
      <c r="F42" s="116">
        <v>359520</v>
      </c>
      <c r="G42" s="116">
        <v>347743</v>
      </c>
      <c r="H42" s="116">
        <v>1090337</v>
      </c>
      <c r="I42" s="116">
        <v>-11777</v>
      </c>
      <c r="J42" s="117" t="s">
        <v>664</v>
      </c>
      <c r="K42" s="117" t="s">
        <v>665</v>
      </c>
      <c r="L42" s="118" t="s">
        <v>578</v>
      </c>
    </row>
    <row r="43" spans="1:13" ht="86.4" outlineLevel="2" x14ac:dyDescent="0.3">
      <c r="A43" s="115" t="s">
        <v>46</v>
      </c>
      <c r="B43" s="115" t="s">
        <v>48</v>
      </c>
      <c r="C43" s="115" t="s">
        <v>211</v>
      </c>
      <c r="D43" s="115" t="s">
        <v>181</v>
      </c>
      <c r="E43" s="116">
        <v>403200</v>
      </c>
      <c r="F43" s="116">
        <v>100800</v>
      </c>
      <c r="G43" s="116">
        <v>209843.36</v>
      </c>
      <c r="H43" s="116">
        <v>193356.64</v>
      </c>
      <c r="I43" s="116">
        <v>109043.36</v>
      </c>
      <c r="J43" s="123" t="s">
        <v>666</v>
      </c>
      <c r="K43" s="123" t="s">
        <v>667</v>
      </c>
      <c r="L43" s="122" t="s">
        <v>41</v>
      </c>
    </row>
    <row r="44" spans="1:13" ht="86.4" outlineLevel="2" x14ac:dyDescent="0.3">
      <c r="A44" s="115" t="s">
        <v>46</v>
      </c>
      <c r="B44" s="115" t="s">
        <v>48</v>
      </c>
      <c r="C44" s="115" t="s">
        <v>211</v>
      </c>
      <c r="D44" s="115" t="s">
        <v>208</v>
      </c>
      <c r="E44" s="116">
        <v>216000</v>
      </c>
      <c r="F44" s="116">
        <v>264000</v>
      </c>
      <c r="G44" s="116">
        <v>143200</v>
      </c>
      <c r="H44" s="116">
        <v>912800</v>
      </c>
      <c r="I44" s="116">
        <v>807200</v>
      </c>
      <c r="J44" s="125" t="s">
        <v>668</v>
      </c>
      <c r="K44" s="125" t="s">
        <v>669</v>
      </c>
      <c r="L44" s="122" t="s">
        <v>624</v>
      </c>
    </row>
    <row r="45" spans="1:13" ht="86.4" outlineLevel="2" x14ac:dyDescent="0.3">
      <c r="A45" s="115" t="s">
        <v>46</v>
      </c>
      <c r="B45" s="115" t="s">
        <v>48</v>
      </c>
      <c r="C45" s="115" t="s">
        <v>211</v>
      </c>
      <c r="D45" s="115" t="s">
        <v>342</v>
      </c>
      <c r="E45" s="116">
        <v>940800</v>
      </c>
      <c r="F45" s="116">
        <v>470400</v>
      </c>
      <c r="G45" s="116">
        <v>446352</v>
      </c>
      <c r="H45" s="116">
        <v>1435248</v>
      </c>
      <c r="I45" s="116">
        <v>916752</v>
      </c>
      <c r="J45" s="125" t="s">
        <v>670</v>
      </c>
      <c r="K45" s="125" t="s">
        <v>671</v>
      </c>
      <c r="L45" s="122" t="s">
        <v>624</v>
      </c>
    </row>
    <row r="46" spans="1:13" ht="144" outlineLevel="1" x14ac:dyDescent="0.3">
      <c r="A46" s="119" t="s">
        <v>46</v>
      </c>
      <c r="B46" s="119" t="s">
        <v>499</v>
      </c>
      <c r="C46" s="115" t="s">
        <v>211</v>
      </c>
      <c r="D46" s="119"/>
      <c r="E46" s="120">
        <f>SUM(E42:E45)</f>
        <v>2998080</v>
      </c>
      <c r="F46" s="120">
        <f>SUM(F42:F45)</f>
        <v>1194720</v>
      </c>
      <c r="G46" s="120">
        <f>SUM(G42:G45)</f>
        <v>1147138.3599999999</v>
      </c>
      <c r="H46" s="120">
        <f>SUM(H42:H45)</f>
        <v>3631741.64</v>
      </c>
      <c r="I46" s="120">
        <f>SUM(I42:I45)</f>
        <v>1821218.3599999999</v>
      </c>
      <c r="J46" s="125" t="s">
        <v>672</v>
      </c>
      <c r="K46" s="125" t="s">
        <v>673</v>
      </c>
      <c r="L46" s="122" t="s">
        <v>624</v>
      </c>
    </row>
    <row r="47" spans="1:13" ht="86.4" outlineLevel="2" x14ac:dyDescent="0.3">
      <c r="A47" s="115" t="s">
        <v>46</v>
      </c>
      <c r="B47" s="115" t="s">
        <v>49</v>
      </c>
      <c r="C47" s="115" t="s">
        <v>104</v>
      </c>
      <c r="D47" s="115" t="s">
        <v>73</v>
      </c>
      <c r="E47" s="116">
        <v>414080</v>
      </c>
      <c r="F47" s="116">
        <v>123200</v>
      </c>
      <c r="G47" s="116">
        <v>103682</v>
      </c>
      <c r="H47" s="116">
        <v>396638</v>
      </c>
      <c r="I47" s="116">
        <v>66722</v>
      </c>
      <c r="J47" s="123" t="s">
        <v>674</v>
      </c>
      <c r="K47" s="123" t="s">
        <v>675</v>
      </c>
      <c r="L47" s="122" t="s">
        <v>41</v>
      </c>
      <c r="M47" s="124"/>
    </row>
    <row r="48" spans="1:13" ht="72" outlineLevel="1" x14ac:dyDescent="0.3">
      <c r="A48" s="119" t="s">
        <v>46</v>
      </c>
      <c r="B48" s="119" t="s">
        <v>500</v>
      </c>
      <c r="C48" s="115" t="s">
        <v>104</v>
      </c>
      <c r="D48" s="119"/>
      <c r="E48" s="120">
        <f>SUM(E47:E47)</f>
        <v>414080</v>
      </c>
      <c r="F48" s="120">
        <f>SUM(F47:F47)</f>
        <v>123200</v>
      </c>
      <c r="G48" s="120">
        <f>SUM(G47:G47)</f>
        <v>103682</v>
      </c>
      <c r="H48" s="120">
        <f>SUM(H47:H47)</f>
        <v>396638</v>
      </c>
      <c r="I48" s="120">
        <f>SUM(I47:I47)</f>
        <v>66722</v>
      </c>
      <c r="J48" s="123" t="s">
        <v>676</v>
      </c>
      <c r="K48" s="125" t="s">
        <v>677</v>
      </c>
      <c r="L48" s="122" t="s">
        <v>41</v>
      </c>
    </row>
    <row r="49" spans="1:12" ht="43.2" outlineLevel="2" x14ac:dyDescent="0.3">
      <c r="A49" s="115" t="s">
        <v>46</v>
      </c>
      <c r="B49" s="115" t="s">
        <v>50</v>
      </c>
      <c r="C49" s="115" t="s">
        <v>583</v>
      </c>
      <c r="D49" s="115" t="s">
        <v>73</v>
      </c>
      <c r="E49" s="116">
        <v>1505280</v>
      </c>
      <c r="F49" s="116">
        <v>376320</v>
      </c>
      <c r="G49" s="116">
        <v>342536</v>
      </c>
      <c r="H49" s="116">
        <v>1162744</v>
      </c>
      <c r="I49" s="116">
        <v>-33784</v>
      </c>
      <c r="J49" s="117" t="s">
        <v>678</v>
      </c>
      <c r="K49" s="117" t="s">
        <v>679</v>
      </c>
      <c r="L49" s="118" t="s">
        <v>578</v>
      </c>
    </row>
    <row r="50" spans="1:12" ht="43.2" outlineLevel="2" x14ac:dyDescent="0.3">
      <c r="A50" s="115" t="s">
        <v>46</v>
      </c>
      <c r="B50" s="115" t="s">
        <v>50</v>
      </c>
      <c r="C50" s="115" t="s">
        <v>583</v>
      </c>
      <c r="D50" s="115" t="s">
        <v>181</v>
      </c>
      <c r="E50" s="116">
        <v>252000</v>
      </c>
      <c r="F50" s="116">
        <v>63000</v>
      </c>
      <c r="G50" s="116">
        <v>64050</v>
      </c>
      <c r="H50" s="116">
        <v>187950</v>
      </c>
      <c r="I50" s="116">
        <v>1050</v>
      </c>
      <c r="J50" s="125" t="s">
        <v>680</v>
      </c>
      <c r="K50" s="125" t="s">
        <v>681</v>
      </c>
      <c r="L50" s="122" t="s">
        <v>624</v>
      </c>
    </row>
    <row r="51" spans="1:12" ht="43.2" outlineLevel="1" x14ac:dyDescent="0.3">
      <c r="A51" s="119" t="s">
        <v>46</v>
      </c>
      <c r="B51" s="119" t="s">
        <v>501</v>
      </c>
      <c r="C51" s="115" t="s">
        <v>583</v>
      </c>
      <c r="D51" s="119"/>
      <c r="E51" s="120">
        <f>SUM(E49:E50)</f>
        <v>1757280</v>
      </c>
      <c r="F51" s="120">
        <f>SUM(F49:F50)</f>
        <v>439320</v>
      </c>
      <c r="G51" s="120">
        <f>SUM(G49:G50)</f>
        <v>406586</v>
      </c>
      <c r="H51" s="120">
        <f>SUM(H49:H50)</f>
        <v>1350694</v>
      </c>
      <c r="I51" s="120">
        <f>SUM(I49:I50)</f>
        <v>-32734</v>
      </c>
      <c r="J51" s="117" t="s">
        <v>682</v>
      </c>
      <c r="K51" s="117" t="s">
        <v>683</v>
      </c>
      <c r="L51" s="118" t="s">
        <v>578</v>
      </c>
    </row>
    <row r="52" spans="1:12" ht="172.8" outlineLevel="2" x14ac:dyDescent="0.3">
      <c r="A52" s="115" t="s">
        <v>46</v>
      </c>
      <c r="B52" s="115" t="s">
        <v>51</v>
      </c>
      <c r="C52" s="115" t="s">
        <v>168</v>
      </c>
      <c r="D52" s="115" t="s">
        <v>181</v>
      </c>
      <c r="E52" s="116">
        <v>600000</v>
      </c>
      <c r="F52" s="116">
        <v>98000</v>
      </c>
      <c r="G52" s="116">
        <v>67600</v>
      </c>
      <c r="H52" s="116">
        <v>476800</v>
      </c>
      <c r="I52" s="116">
        <v>-86000</v>
      </c>
      <c r="J52" s="117" t="s">
        <v>684</v>
      </c>
      <c r="K52" s="117" t="s">
        <v>685</v>
      </c>
      <c r="L52" s="118" t="s">
        <v>578</v>
      </c>
    </row>
    <row r="53" spans="1:12" ht="100.8" outlineLevel="1" x14ac:dyDescent="0.3">
      <c r="A53" s="119" t="s">
        <v>46</v>
      </c>
      <c r="B53" s="119" t="s">
        <v>502</v>
      </c>
      <c r="C53" s="115" t="s">
        <v>168</v>
      </c>
      <c r="D53" s="119"/>
      <c r="E53" s="120">
        <f>SUM(E52:E52)</f>
        <v>600000</v>
      </c>
      <c r="F53" s="120">
        <f>SUM(F52:F52)</f>
        <v>98000</v>
      </c>
      <c r="G53" s="120">
        <f>SUM(G52:G52)</f>
        <v>67600</v>
      </c>
      <c r="H53" s="120">
        <f>SUM(H52:H52)</f>
        <v>476800</v>
      </c>
      <c r="I53" s="120">
        <f>SUM(I52:I52)</f>
        <v>-86000</v>
      </c>
      <c r="J53" s="117" t="s">
        <v>686</v>
      </c>
      <c r="K53" s="117" t="s">
        <v>687</v>
      </c>
      <c r="L53" s="118" t="s">
        <v>578</v>
      </c>
    </row>
    <row r="54" spans="1:12" ht="72" outlineLevel="2" x14ac:dyDescent="0.3">
      <c r="A54" s="115" t="s">
        <v>46</v>
      </c>
      <c r="B54" s="115" t="s">
        <v>53</v>
      </c>
      <c r="C54" s="115" t="s">
        <v>597</v>
      </c>
      <c r="D54" s="115" t="s">
        <v>73</v>
      </c>
      <c r="E54" s="116">
        <v>291840</v>
      </c>
      <c r="F54" s="116">
        <v>76720</v>
      </c>
      <c r="G54" s="116">
        <v>75392</v>
      </c>
      <c r="H54" s="116">
        <v>287888</v>
      </c>
      <c r="I54" s="116">
        <v>73872</v>
      </c>
      <c r="J54" s="125" t="s">
        <v>688</v>
      </c>
      <c r="K54" s="125" t="s">
        <v>689</v>
      </c>
      <c r="L54" s="122" t="s">
        <v>624</v>
      </c>
    </row>
    <row r="55" spans="1:12" ht="57.6" outlineLevel="2" x14ac:dyDescent="0.3">
      <c r="A55" s="115" t="s">
        <v>46</v>
      </c>
      <c r="B55" s="115" t="s">
        <v>53</v>
      </c>
      <c r="C55" s="115" t="s">
        <v>597</v>
      </c>
      <c r="D55" s="115" t="s">
        <v>181</v>
      </c>
      <c r="E55" s="116">
        <v>161280</v>
      </c>
      <c r="F55" s="116">
        <v>40320</v>
      </c>
      <c r="G55" s="116">
        <v>36032</v>
      </c>
      <c r="H55" s="116">
        <v>53248</v>
      </c>
      <c r="I55" s="116">
        <v>-76288</v>
      </c>
      <c r="J55" s="117" t="s">
        <v>690</v>
      </c>
      <c r="K55" s="117" t="s">
        <v>691</v>
      </c>
      <c r="L55" s="118" t="s">
        <v>578</v>
      </c>
    </row>
    <row r="56" spans="1:12" ht="43.2" outlineLevel="2" x14ac:dyDescent="0.3">
      <c r="A56" s="115" t="s">
        <v>46</v>
      </c>
      <c r="B56" s="115" t="s">
        <v>53</v>
      </c>
      <c r="C56" s="115" t="s">
        <v>597</v>
      </c>
      <c r="D56" s="115" t="s">
        <v>185</v>
      </c>
      <c r="E56" s="116">
        <v>218880</v>
      </c>
      <c r="F56" s="116">
        <v>54720</v>
      </c>
      <c r="G56" s="116">
        <v>49180</v>
      </c>
      <c r="H56" s="116">
        <v>169700</v>
      </c>
      <c r="I56" s="116">
        <v>-5540</v>
      </c>
      <c r="J56" s="117" t="s">
        <v>692</v>
      </c>
      <c r="K56" s="117" t="s">
        <v>693</v>
      </c>
      <c r="L56" s="118" t="s">
        <v>578</v>
      </c>
    </row>
    <row r="57" spans="1:12" ht="57.6" outlineLevel="1" x14ac:dyDescent="0.3">
      <c r="A57" s="119" t="s">
        <v>46</v>
      </c>
      <c r="B57" s="119" t="s">
        <v>504</v>
      </c>
      <c r="C57" s="115" t="s">
        <v>597</v>
      </c>
      <c r="D57" s="119"/>
      <c r="E57" s="120">
        <f>SUM(E54:E56)</f>
        <v>672000</v>
      </c>
      <c r="F57" s="120">
        <f>SUM(F54:F56)</f>
        <v>171760</v>
      </c>
      <c r="G57" s="120">
        <f>SUM(G54:G56)</f>
        <v>160604</v>
      </c>
      <c r="H57" s="120">
        <f>SUM(H54:H56)</f>
        <v>510836</v>
      </c>
      <c r="I57" s="120">
        <f>SUM(I54:I56)</f>
        <v>-7956</v>
      </c>
      <c r="J57" s="117" t="s">
        <v>694</v>
      </c>
      <c r="K57" s="117" t="s">
        <v>695</v>
      </c>
      <c r="L57" s="118" t="s">
        <v>578</v>
      </c>
    </row>
    <row r="58" spans="1:12" ht="230.4" x14ac:dyDescent="0.3">
      <c r="A58" s="119" t="s">
        <v>696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697</v>
      </c>
      <c r="K58" s="123" t="s">
        <v>698</v>
      </c>
      <c r="L58" s="122" t="s">
        <v>41</v>
      </c>
    </row>
    <row r="59" spans="1:12" ht="28.8" outlineLevel="2" x14ac:dyDescent="0.3">
      <c r="A59" s="115" t="s">
        <v>5</v>
      </c>
      <c r="B59" s="115" t="s">
        <v>48</v>
      </c>
      <c r="C59" s="115" t="s">
        <v>211</v>
      </c>
      <c r="D59" s="115" t="s">
        <v>181</v>
      </c>
      <c r="E59" s="116">
        <v>1524552</v>
      </c>
      <c r="F59" s="116">
        <v>339888</v>
      </c>
      <c r="G59" s="116">
        <v>339888</v>
      </c>
      <c r="H59" s="116">
        <v>1184664</v>
      </c>
      <c r="I59" s="116">
        <v>0</v>
      </c>
      <c r="J59" s="121" t="s">
        <v>699</v>
      </c>
      <c r="K59" s="121" t="s">
        <v>700</v>
      </c>
      <c r="L59" s="122" t="s">
        <v>586</v>
      </c>
    </row>
    <row r="60" spans="1:12" ht="43.2" outlineLevel="2" x14ac:dyDescent="0.3">
      <c r="A60" s="115" t="s">
        <v>5</v>
      </c>
      <c r="B60" s="115" t="s">
        <v>48</v>
      </c>
      <c r="C60" s="115" t="s">
        <v>211</v>
      </c>
      <c r="D60" s="115" t="s">
        <v>208</v>
      </c>
      <c r="E60" s="116">
        <v>281039.34000000003</v>
      </c>
      <c r="F60" s="116">
        <v>66597</v>
      </c>
      <c r="G60" s="116">
        <v>66597</v>
      </c>
      <c r="H60" s="116">
        <v>193041</v>
      </c>
      <c r="I60" s="116">
        <v>-21401.34</v>
      </c>
      <c r="J60" s="117" t="s">
        <v>701</v>
      </c>
      <c r="K60" s="117" t="s">
        <v>702</v>
      </c>
      <c r="L60" s="118" t="s">
        <v>578</v>
      </c>
    </row>
    <row r="61" spans="1:12" ht="28.8" outlineLevel="2" x14ac:dyDescent="0.3">
      <c r="A61" s="115" t="s">
        <v>5</v>
      </c>
      <c r="B61" s="115" t="s">
        <v>48</v>
      </c>
      <c r="C61" s="115" t="s">
        <v>211</v>
      </c>
      <c r="D61" s="115" t="s">
        <v>191</v>
      </c>
      <c r="E61" s="116">
        <v>190000</v>
      </c>
      <c r="F61" s="116">
        <v>45000</v>
      </c>
      <c r="G61" s="116">
        <v>45000</v>
      </c>
      <c r="H61" s="116">
        <v>135000</v>
      </c>
      <c r="I61" s="116">
        <v>-10000</v>
      </c>
      <c r="J61" s="117" t="s">
        <v>703</v>
      </c>
      <c r="K61" s="117" t="s">
        <v>704</v>
      </c>
      <c r="L61" s="118" t="s">
        <v>578</v>
      </c>
    </row>
    <row r="62" spans="1:12" ht="72" outlineLevel="1" x14ac:dyDescent="0.3">
      <c r="A62" s="119" t="s">
        <v>5</v>
      </c>
      <c r="B62" s="119" t="s">
        <v>499</v>
      </c>
      <c r="C62" s="115" t="s">
        <v>211</v>
      </c>
      <c r="D62" s="119"/>
      <c r="E62" s="120">
        <f>SUM(E59:E61)</f>
        <v>1995591.34</v>
      </c>
      <c r="F62" s="120">
        <f>SUM(F59:F61)</f>
        <v>451485</v>
      </c>
      <c r="G62" s="120">
        <f>SUM(G59:G61)</f>
        <v>451485</v>
      </c>
      <c r="H62" s="120">
        <f>SUM(H59:H61)</f>
        <v>1512705</v>
      </c>
      <c r="I62" s="120">
        <f>SUM(I59:I61)</f>
        <v>-31401.34</v>
      </c>
      <c r="J62" s="117" t="s">
        <v>705</v>
      </c>
      <c r="K62" s="117" t="s">
        <v>706</v>
      </c>
      <c r="L62" s="118" t="s">
        <v>578</v>
      </c>
    </row>
    <row r="63" spans="1:12" ht="43.2" outlineLevel="2" x14ac:dyDescent="0.3">
      <c r="A63" s="115" t="s">
        <v>5</v>
      </c>
      <c r="B63" s="115" t="s">
        <v>49</v>
      </c>
      <c r="C63" s="115" t="s">
        <v>104</v>
      </c>
      <c r="D63" s="115" t="s">
        <v>74</v>
      </c>
      <c r="E63" s="116">
        <v>178500</v>
      </c>
      <c r="F63" s="116">
        <v>87084.78</v>
      </c>
      <c r="G63" s="116">
        <v>87084.78</v>
      </c>
      <c r="H63" s="116">
        <v>87084.78</v>
      </c>
      <c r="I63" s="116">
        <v>-4330.4399999999996</v>
      </c>
      <c r="J63" s="117" t="s">
        <v>707</v>
      </c>
      <c r="K63" s="117" t="s">
        <v>708</v>
      </c>
      <c r="L63" s="118" t="s">
        <v>578</v>
      </c>
    </row>
    <row r="64" spans="1:12" ht="28.8" outlineLevel="1" x14ac:dyDescent="0.3">
      <c r="A64" s="119" t="s">
        <v>5</v>
      </c>
      <c r="B64" s="119" t="s">
        <v>500</v>
      </c>
      <c r="C64" s="115" t="s">
        <v>104</v>
      </c>
      <c r="D64" s="119"/>
      <c r="E64" s="120">
        <f>SUM(E63:E63)</f>
        <v>178500</v>
      </c>
      <c r="F64" s="120">
        <f>SUM(F63:F63)</f>
        <v>87084.78</v>
      </c>
      <c r="G64" s="120">
        <f>SUM(G63:G63)</f>
        <v>87084.78</v>
      </c>
      <c r="H64" s="120">
        <f>SUM(H63:H63)</f>
        <v>87084.78</v>
      </c>
      <c r="I64" s="120">
        <f>SUM(I63:I63)</f>
        <v>-4330.4399999999996</v>
      </c>
      <c r="J64" s="117" t="s">
        <v>709</v>
      </c>
      <c r="K64" s="117" t="s">
        <v>710</v>
      </c>
      <c r="L64" s="118" t="s">
        <v>578</v>
      </c>
    </row>
    <row r="65" spans="1:12" ht="43.2" outlineLevel="2" x14ac:dyDescent="0.3">
      <c r="A65" s="115" t="s">
        <v>5</v>
      </c>
      <c r="B65" s="115" t="s">
        <v>50</v>
      </c>
      <c r="C65" s="115" t="s">
        <v>583</v>
      </c>
      <c r="D65" s="115" t="s">
        <v>121</v>
      </c>
      <c r="E65" s="116">
        <v>100000</v>
      </c>
      <c r="F65" s="116">
        <v>22800</v>
      </c>
      <c r="G65" s="116">
        <v>23875</v>
      </c>
      <c r="H65" s="116">
        <v>67325</v>
      </c>
      <c r="I65" s="116">
        <v>-7725</v>
      </c>
      <c r="J65" s="117" t="s">
        <v>711</v>
      </c>
      <c r="K65" s="117" t="s">
        <v>712</v>
      </c>
      <c r="L65" s="118" t="s">
        <v>578</v>
      </c>
    </row>
    <row r="66" spans="1:12" ht="28.8" outlineLevel="1" x14ac:dyDescent="0.3">
      <c r="A66" s="119" t="s">
        <v>5</v>
      </c>
      <c r="B66" s="119" t="s">
        <v>501</v>
      </c>
      <c r="C66" s="115" t="s">
        <v>583</v>
      </c>
      <c r="D66" s="119"/>
      <c r="E66" s="120">
        <f>SUM(E65:E65)</f>
        <v>100000</v>
      </c>
      <c r="F66" s="120">
        <f>SUM(F65:F65)</f>
        <v>22800</v>
      </c>
      <c r="G66" s="120">
        <f>SUM(G65:G65)</f>
        <v>23875</v>
      </c>
      <c r="H66" s="120">
        <f>SUM(H65:H65)</f>
        <v>67325</v>
      </c>
      <c r="I66" s="120">
        <f>SUM(I65:I65)</f>
        <v>-7725</v>
      </c>
      <c r="J66" s="117" t="s">
        <v>713</v>
      </c>
      <c r="K66" s="117" t="s">
        <v>714</v>
      </c>
      <c r="L66" s="118" t="s">
        <v>578</v>
      </c>
    </row>
    <row r="67" spans="1:12" ht="86.4" outlineLevel="2" x14ac:dyDescent="0.3">
      <c r="A67" s="115" t="s">
        <v>5</v>
      </c>
      <c r="B67" s="115" t="s">
        <v>51</v>
      </c>
      <c r="C67" s="115" t="s">
        <v>168</v>
      </c>
      <c r="D67" s="115" t="s">
        <v>181</v>
      </c>
      <c r="E67" s="116">
        <v>345000</v>
      </c>
      <c r="F67" s="116">
        <v>99250</v>
      </c>
      <c r="G67" s="116">
        <v>99250</v>
      </c>
      <c r="H67" s="116">
        <v>492750</v>
      </c>
      <c r="I67" s="116">
        <v>247000</v>
      </c>
      <c r="J67" s="125" t="s">
        <v>715</v>
      </c>
      <c r="K67" s="125" t="s">
        <v>716</v>
      </c>
      <c r="L67" s="122" t="s">
        <v>624</v>
      </c>
    </row>
    <row r="68" spans="1:12" ht="28.8" outlineLevel="2" x14ac:dyDescent="0.3">
      <c r="A68" s="115" t="s">
        <v>5</v>
      </c>
      <c r="B68" s="115" t="s">
        <v>51</v>
      </c>
      <c r="C68" s="115" t="s">
        <v>168</v>
      </c>
      <c r="D68" s="115" t="s">
        <v>208</v>
      </c>
      <c r="E68" s="116">
        <v>100000</v>
      </c>
      <c r="F68" s="116">
        <v>0</v>
      </c>
      <c r="G68" s="116">
        <v>0</v>
      </c>
      <c r="H68" s="116">
        <v>100000</v>
      </c>
      <c r="I68" s="116">
        <v>0</v>
      </c>
      <c r="J68" s="121" t="s">
        <v>717</v>
      </c>
      <c r="K68" s="121" t="s">
        <v>718</v>
      </c>
      <c r="L68" s="122" t="s">
        <v>586</v>
      </c>
    </row>
    <row r="69" spans="1:12" ht="57.6" outlineLevel="1" x14ac:dyDescent="0.3">
      <c r="A69" s="119" t="s">
        <v>5</v>
      </c>
      <c r="B69" s="119" t="s">
        <v>502</v>
      </c>
      <c r="C69" s="115" t="s">
        <v>168</v>
      </c>
      <c r="D69" s="119"/>
      <c r="E69" s="120">
        <f>SUM(E67:E68)</f>
        <v>445000</v>
      </c>
      <c r="F69" s="120">
        <f>SUM(F67:F68)</f>
        <v>99250</v>
      </c>
      <c r="G69" s="120">
        <f>SUM(G67:G68)</f>
        <v>99250</v>
      </c>
      <c r="H69" s="120">
        <f>SUM(H67:H68)</f>
        <v>592750</v>
      </c>
      <c r="I69" s="120">
        <f>SUM(I67:I68)</f>
        <v>247000</v>
      </c>
      <c r="J69" s="125" t="s">
        <v>719</v>
      </c>
      <c r="K69" s="125" t="s">
        <v>720</v>
      </c>
      <c r="L69" s="122" t="s">
        <v>624</v>
      </c>
    </row>
    <row r="70" spans="1:12" ht="28.8" outlineLevel="2" x14ac:dyDescent="0.3">
      <c r="A70" s="115" t="s">
        <v>5</v>
      </c>
      <c r="B70" s="115" t="s">
        <v>53</v>
      </c>
      <c r="C70" s="115" t="s">
        <v>597</v>
      </c>
      <c r="D70" s="115" t="s">
        <v>222</v>
      </c>
      <c r="E70" s="116">
        <v>32400</v>
      </c>
      <c r="F70" s="116">
        <v>32400</v>
      </c>
      <c r="G70" s="116">
        <v>32009.25</v>
      </c>
      <c r="H70" s="116">
        <v>390.75</v>
      </c>
      <c r="I70" s="116">
        <v>-390.75</v>
      </c>
      <c r="J70" s="117" t="s">
        <v>721</v>
      </c>
      <c r="K70" s="117" t="s">
        <v>722</v>
      </c>
      <c r="L70" s="118" t="s">
        <v>578</v>
      </c>
    </row>
    <row r="71" spans="1:12" ht="28.8" outlineLevel="1" x14ac:dyDescent="0.3">
      <c r="A71" s="119" t="s">
        <v>5</v>
      </c>
      <c r="B71" s="119" t="s">
        <v>504</v>
      </c>
      <c r="C71" s="115" t="s">
        <v>597</v>
      </c>
      <c r="D71" s="119"/>
      <c r="E71" s="120">
        <f>SUM(E70:E70)</f>
        <v>32400</v>
      </c>
      <c r="F71" s="120">
        <f>SUM(F70:F70)</f>
        <v>32400</v>
      </c>
      <c r="G71" s="120">
        <f>SUM(G70:G70)</f>
        <v>32009.25</v>
      </c>
      <c r="H71" s="120">
        <f>SUM(H70:H70)</f>
        <v>390.75</v>
      </c>
      <c r="I71" s="120">
        <f>SUM(I70:I70)</f>
        <v>-390.75</v>
      </c>
      <c r="J71" s="117" t="s">
        <v>723</v>
      </c>
      <c r="K71" s="117" t="s">
        <v>724</v>
      </c>
      <c r="L71" s="118" t="s">
        <v>578</v>
      </c>
    </row>
    <row r="72" spans="1:12" ht="72" x14ac:dyDescent="0.3">
      <c r="A72" s="119" t="s">
        <v>725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726</v>
      </c>
      <c r="K72" s="125" t="s">
        <v>727</v>
      </c>
      <c r="L72" s="122" t="s">
        <v>624</v>
      </c>
    </row>
    <row r="73" spans="1:12" ht="28.8" outlineLevel="2" x14ac:dyDescent="0.3">
      <c r="A73" s="115" t="s">
        <v>6</v>
      </c>
      <c r="B73" s="115" t="s">
        <v>50</v>
      </c>
      <c r="C73" s="115" t="s">
        <v>583</v>
      </c>
      <c r="D73" s="115" t="s">
        <v>368</v>
      </c>
      <c r="E73" s="116">
        <v>4409</v>
      </c>
      <c r="F73" s="116">
        <v>4409</v>
      </c>
      <c r="G73" s="116">
        <v>4982.8</v>
      </c>
      <c r="H73" s="116">
        <v>-573.79999999999995</v>
      </c>
      <c r="I73" s="116">
        <v>573.79999999999995</v>
      </c>
      <c r="J73" s="125" t="s">
        <v>728</v>
      </c>
      <c r="K73" s="125" t="s">
        <v>729</v>
      </c>
      <c r="L73" s="122" t="s">
        <v>624</v>
      </c>
    </row>
    <row r="74" spans="1:12" ht="28.8" outlineLevel="2" x14ac:dyDescent="0.3">
      <c r="A74" s="115" t="s">
        <v>6</v>
      </c>
      <c r="B74" s="115" t="s">
        <v>50</v>
      </c>
      <c r="C74" s="115" t="s">
        <v>583</v>
      </c>
      <c r="D74" s="115" t="s">
        <v>159</v>
      </c>
      <c r="E74" s="116">
        <v>14886</v>
      </c>
      <c r="F74" s="116">
        <v>3266.28</v>
      </c>
      <c r="G74" s="116">
        <v>3266.26</v>
      </c>
      <c r="H74" s="116">
        <v>9798.86</v>
      </c>
      <c r="I74" s="116">
        <v>-1820.9</v>
      </c>
      <c r="J74" s="117" t="s">
        <v>730</v>
      </c>
      <c r="K74" s="117" t="s">
        <v>731</v>
      </c>
      <c r="L74" s="118" t="s">
        <v>578</v>
      </c>
    </row>
    <row r="75" spans="1:12" ht="28.8" outlineLevel="2" x14ac:dyDescent="0.3">
      <c r="A75" s="115" t="s">
        <v>6</v>
      </c>
      <c r="B75" s="115" t="s">
        <v>50</v>
      </c>
      <c r="C75" s="115" t="s">
        <v>583</v>
      </c>
      <c r="D75" s="115" t="s">
        <v>133</v>
      </c>
      <c r="E75" s="116"/>
      <c r="F75" s="116">
        <v>0</v>
      </c>
      <c r="G75" s="116">
        <v>0</v>
      </c>
      <c r="H75" s="116">
        <v>41250</v>
      </c>
      <c r="I75" s="116">
        <v>41250</v>
      </c>
      <c r="J75" s="123" t="s">
        <v>732</v>
      </c>
      <c r="K75" s="123" t="s">
        <v>733</v>
      </c>
      <c r="L75" s="122" t="s">
        <v>41</v>
      </c>
    </row>
    <row r="76" spans="1:12" ht="28.8" outlineLevel="2" x14ac:dyDescent="0.3">
      <c r="A76" s="115" t="s">
        <v>6</v>
      </c>
      <c r="B76" s="115" t="s">
        <v>50</v>
      </c>
      <c r="C76" s="115" t="s">
        <v>583</v>
      </c>
      <c r="D76" s="115" t="s">
        <v>362</v>
      </c>
      <c r="E76" s="116">
        <v>8400</v>
      </c>
      <c r="F76" s="116">
        <v>8400</v>
      </c>
      <c r="G76" s="116">
        <v>8000</v>
      </c>
      <c r="H76" s="116">
        <v>400</v>
      </c>
      <c r="I76" s="116">
        <v>-400</v>
      </c>
      <c r="J76" s="117" t="s">
        <v>734</v>
      </c>
      <c r="K76" s="117" t="s">
        <v>735</v>
      </c>
      <c r="L76" s="118" t="s">
        <v>578</v>
      </c>
    </row>
    <row r="77" spans="1:12" ht="28.8" outlineLevel="2" x14ac:dyDescent="0.3">
      <c r="A77" s="115" t="s">
        <v>6</v>
      </c>
      <c r="B77" s="115" t="s">
        <v>50</v>
      </c>
      <c r="C77" s="115" t="s">
        <v>583</v>
      </c>
      <c r="D77" s="115" t="s">
        <v>371</v>
      </c>
      <c r="E77" s="116">
        <v>67470</v>
      </c>
      <c r="F77" s="116">
        <v>16878.150000000001</v>
      </c>
      <c r="G77" s="116">
        <v>16878.150000000001</v>
      </c>
      <c r="H77" s="116">
        <v>50589.5</v>
      </c>
      <c r="I77" s="116">
        <v>-2.3500000000058199</v>
      </c>
      <c r="J77" s="117" t="s">
        <v>736</v>
      </c>
      <c r="K77" s="117" t="s">
        <v>737</v>
      </c>
      <c r="L77" s="118" t="s">
        <v>578</v>
      </c>
    </row>
    <row r="78" spans="1:12" ht="28.8" outlineLevel="2" x14ac:dyDescent="0.3">
      <c r="A78" s="115" t="s">
        <v>6</v>
      </c>
      <c r="B78" s="115" t="s">
        <v>50</v>
      </c>
      <c r="C78" s="115" t="s">
        <v>583</v>
      </c>
      <c r="D78" s="115" t="s">
        <v>374</v>
      </c>
      <c r="E78" s="116">
        <v>25000</v>
      </c>
      <c r="F78" s="116">
        <v>0</v>
      </c>
      <c r="G78" s="116">
        <v>0</v>
      </c>
      <c r="H78" s="116">
        <v>25000</v>
      </c>
      <c r="I78" s="116">
        <v>0</v>
      </c>
      <c r="J78" s="121" t="s">
        <v>736</v>
      </c>
      <c r="K78" s="121" t="s">
        <v>737</v>
      </c>
      <c r="L78" s="122" t="s">
        <v>586</v>
      </c>
    </row>
    <row r="79" spans="1:12" ht="28.8" outlineLevel="2" x14ac:dyDescent="0.3">
      <c r="A79" s="115" t="s">
        <v>6</v>
      </c>
      <c r="B79" s="115" t="s">
        <v>50</v>
      </c>
      <c r="C79" s="115" t="s">
        <v>583</v>
      </c>
      <c r="D79" s="115" t="s">
        <v>490</v>
      </c>
      <c r="E79" s="116">
        <v>0</v>
      </c>
      <c r="F79" s="116">
        <v>0</v>
      </c>
      <c r="G79" s="116">
        <v>0</v>
      </c>
      <c r="H79" s="116">
        <v>15208</v>
      </c>
      <c r="I79" s="116">
        <v>15208</v>
      </c>
      <c r="J79" s="123" t="s">
        <v>738</v>
      </c>
      <c r="K79" s="123" t="s">
        <v>739</v>
      </c>
      <c r="L79" s="122" t="s">
        <v>41</v>
      </c>
    </row>
    <row r="80" spans="1:12" ht="28.8" outlineLevel="1" x14ac:dyDescent="0.3">
      <c r="A80" s="119" t="s">
        <v>6</v>
      </c>
      <c r="B80" s="119" t="s">
        <v>501</v>
      </c>
      <c r="C80" s="115" t="s">
        <v>583</v>
      </c>
      <c r="D80" s="119"/>
      <c r="E80" s="120">
        <f>SUM(E73:E79)</f>
        <v>120165</v>
      </c>
      <c r="F80" s="120">
        <f>SUM(F73:F79)</f>
        <v>32953.43</v>
      </c>
      <c r="G80" s="120">
        <f>SUM(G73:G79)</f>
        <v>33127.210000000006</v>
      </c>
      <c r="H80" s="120">
        <f>SUM(H73:H79)</f>
        <v>141672.56</v>
      </c>
      <c r="I80" s="120">
        <f>SUM(I73:I79)</f>
        <v>54808.549999999996</v>
      </c>
      <c r="J80" s="123" t="s">
        <v>740</v>
      </c>
      <c r="K80" s="123" t="s">
        <v>741</v>
      </c>
      <c r="L80" s="122" t="s">
        <v>41</v>
      </c>
    </row>
    <row r="81" spans="1:12" ht="28.8" outlineLevel="2" x14ac:dyDescent="0.3">
      <c r="A81" s="115" t="s">
        <v>6</v>
      </c>
      <c r="B81" s="115" t="s">
        <v>51</v>
      </c>
      <c r="C81" s="115" t="s">
        <v>168</v>
      </c>
      <c r="D81" s="115" t="s">
        <v>166</v>
      </c>
      <c r="E81" s="116">
        <v>12200</v>
      </c>
      <c r="F81" s="116">
        <v>0</v>
      </c>
      <c r="G81" s="116">
        <v>0</v>
      </c>
      <c r="H81" s="116">
        <v>12200</v>
      </c>
      <c r="I81" s="116">
        <v>0</v>
      </c>
      <c r="J81" s="121" t="s">
        <v>742</v>
      </c>
      <c r="K81" s="121" t="s">
        <v>743</v>
      </c>
      <c r="L81" s="122" t="s">
        <v>586</v>
      </c>
    </row>
    <row r="82" spans="1:12" ht="28.8" outlineLevel="1" x14ac:dyDescent="0.3">
      <c r="A82" s="119" t="s">
        <v>6</v>
      </c>
      <c r="B82" s="119" t="s">
        <v>502</v>
      </c>
      <c r="C82" s="115" t="s">
        <v>168</v>
      </c>
      <c r="D82" s="119"/>
      <c r="E82" s="120">
        <f>SUM(E81:E81)</f>
        <v>12200</v>
      </c>
      <c r="F82" s="120">
        <f>SUM(F81:F81)</f>
        <v>0</v>
      </c>
      <c r="G82" s="120">
        <f>SUM(G81:G81)</f>
        <v>0</v>
      </c>
      <c r="H82" s="120">
        <f>SUM(H81:H81)</f>
        <v>12200</v>
      </c>
      <c r="I82" s="120">
        <f>SUM(I81:I81)</f>
        <v>0</v>
      </c>
      <c r="J82" s="121" t="s">
        <v>744</v>
      </c>
      <c r="K82" s="121" t="s">
        <v>745</v>
      </c>
      <c r="L82" s="122" t="s">
        <v>586</v>
      </c>
    </row>
    <row r="83" spans="1:12" ht="28.8" outlineLevel="2" x14ac:dyDescent="0.3">
      <c r="A83" s="115" t="s">
        <v>6</v>
      </c>
      <c r="B83" s="115" t="s">
        <v>52</v>
      </c>
      <c r="C83" s="115" t="s">
        <v>746</v>
      </c>
      <c r="D83" s="115" t="s">
        <v>370</v>
      </c>
      <c r="E83" s="116">
        <v>359</v>
      </c>
      <c r="F83" s="116">
        <v>359</v>
      </c>
      <c r="G83" s="116">
        <v>0</v>
      </c>
      <c r="H83" s="116">
        <v>359</v>
      </c>
      <c r="I83" s="116">
        <v>0</v>
      </c>
      <c r="J83" s="121" t="s">
        <v>747</v>
      </c>
      <c r="K83" s="121" t="s">
        <v>748</v>
      </c>
      <c r="L83" s="122" t="s">
        <v>586</v>
      </c>
    </row>
    <row r="84" spans="1:12" ht="28.8" outlineLevel="1" x14ac:dyDescent="0.3">
      <c r="A84" s="119" t="s">
        <v>6</v>
      </c>
      <c r="B84" s="119" t="s">
        <v>503</v>
      </c>
      <c r="C84" s="115" t="s">
        <v>746</v>
      </c>
      <c r="D84" s="119"/>
      <c r="E84" s="120">
        <f>SUM(E83:E83)</f>
        <v>359</v>
      </c>
      <c r="F84" s="120">
        <f>SUM(F83:F83)</f>
        <v>359</v>
      </c>
      <c r="G84" s="120">
        <f>SUM(G83:G83)</f>
        <v>0</v>
      </c>
      <c r="H84" s="120">
        <f>SUM(H83:H83)</f>
        <v>359</v>
      </c>
      <c r="I84" s="120">
        <f>SUM(I83:I83)</f>
        <v>0</v>
      </c>
      <c r="J84" s="121" t="s">
        <v>744</v>
      </c>
      <c r="K84" s="121" t="s">
        <v>745</v>
      </c>
      <c r="L84" s="122" t="s">
        <v>586</v>
      </c>
    </row>
    <row r="85" spans="1:12" ht="28.8" outlineLevel="2" x14ac:dyDescent="0.3">
      <c r="A85" s="115" t="s">
        <v>6</v>
      </c>
      <c r="B85" s="115" t="s">
        <v>53</v>
      </c>
      <c r="C85" s="115" t="s">
        <v>597</v>
      </c>
      <c r="D85" s="115" t="s">
        <v>170</v>
      </c>
      <c r="E85" s="116">
        <v>236250</v>
      </c>
      <c r="F85" s="116">
        <v>0</v>
      </c>
      <c r="G85" s="116">
        <v>0</v>
      </c>
      <c r="H85" s="116">
        <v>236250</v>
      </c>
      <c r="I85" s="116">
        <v>0</v>
      </c>
      <c r="J85" s="121" t="s">
        <v>749</v>
      </c>
      <c r="K85" s="121" t="s">
        <v>750</v>
      </c>
      <c r="L85" s="122" t="s">
        <v>586</v>
      </c>
    </row>
    <row r="86" spans="1:12" ht="28.8" outlineLevel="2" x14ac:dyDescent="0.3">
      <c r="A86" s="115" t="s">
        <v>6</v>
      </c>
      <c r="B86" s="115" t="s">
        <v>53</v>
      </c>
      <c r="C86" s="115" t="s">
        <v>597</v>
      </c>
      <c r="D86" s="115" t="s">
        <v>176</v>
      </c>
      <c r="E86" s="116">
        <v>141750</v>
      </c>
      <c r="F86" s="116">
        <v>0</v>
      </c>
      <c r="G86" s="116">
        <v>0</v>
      </c>
      <c r="H86" s="116">
        <v>141750</v>
      </c>
      <c r="I86" s="116">
        <v>0</v>
      </c>
      <c r="J86" s="121" t="s">
        <v>749</v>
      </c>
      <c r="K86" s="121" t="s">
        <v>750</v>
      </c>
      <c r="L86" s="122" t="s">
        <v>586</v>
      </c>
    </row>
    <row r="87" spans="1:12" ht="28.8" outlineLevel="2" x14ac:dyDescent="0.3">
      <c r="A87" s="115" t="s">
        <v>6</v>
      </c>
      <c r="B87" s="115" t="s">
        <v>53</v>
      </c>
      <c r="C87" s="115" t="s">
        <v>597</v>
      </c>
      <c r="D87" s="115" t="s">
        <v>177</v>
      </c>
      <c r="E87" s="116">
        <v>17099</v>
      </c>
      <c r="F87" s="116">
        <v>0</v>
      </c>
      <c r="G87" s="116">
        <v>0</v>
      </c>
      <c r="H87" s="116">
        <v>17099</v>
      </c>
      <c r="I87" s="116">
        <v>0</v>
      </c>
      <c r="J87" s="121" t="s">
        <v>751</v>
      </c>
      <c r="K87" s="121" t="s">
        <v>752</v>
      </c>
      <c r="L87" s="122" t="s">
        <v>586</v>
      </c>
    </row>
    <row r="88" spans="1:12" ht="28.8" outlineLevel="2" x14ac:dyDescent="0.3">
      <c r="A88" s="115" t="s">
        <v>6</v>
      </c>
      <c r="B88" s="115" t="s">
        <v>53</v>
      </c>
      <c r="C88" s="115" t="s">
        <v>597</v>
      </c>
      <c r="D88" s="115" t="s">
        <v>112</v>
      </c>
      <c r="E88" s="116">
        <v>259449</v>
      </c>
      <c r="F88" s="116">
        <v>64862.25</v>
      </c>
      <c r="G88" s="116">
        <v>34714.71</v>
      </c>
      <c r="H88" s="116">
        <v>254882.29</v>
      </c>
      <c r="I88" s="116">
        <v>0.45999999999185098</v>
      </c>
      <c r="J88" s="121" t="s">
        <v>753</v>
      </c>
      <c r="K88" s="121" t="s">
        <v>754</v>
      </c>
      <c r="L88" s="122" t="s">
        <v>586</v>
      </c>
    </row>
    <row r="89" spans="1:12" ht="28.8" outlineLevel="1" x14ac:dyDescent="0.3">
      <c r="A89" s="119" t="s">
        <v>6</v>
      </c>
      <c r="B89" s="119" t="s">
        <v>504</v>
      </c>
      <c r="C89" s="115" t="s">
        <v>597</v>
      </c>
      <c r="D89" s="119"/>
      <c r="E89" s="120">
        <f>SUM(E85:E88)</f>
        <v>654548</v>
      </c>
      <c r="F89" s="120">
        <f>SUM(F85:F88)</f>
        <v>64862.25</v>
      </c>
      <c r="G89" s="120">
        <f>SUM(G85:G88)</f>
        <v>34714.71</v>
      </c>
      <c r="H89" s="120">
        <f>SUM(H85:H88)</f>
        <v>649981.29</v>
      </c>
      <c r="I89" s="120">
        <f>SUM(I85:I88)</f>
        <v>0.45999999999185098</v>
      </c>
      <c r="J89" s="121" t="s">
        <v>744</v>
      </c>
      <c r="K89" s="121" t="s">
        <v>745</v>
      </c>
      <c r="L89" s="122" t="s">
        <v>586</v>
      </c>
    </row>
    <row r="90" spans="1:12" ht="28.8" outlineLevel="2" x14ac:dyDescent="0.3">
      <c r="A90" s="115" t="s">
        <v>6</v>
      </c>
      <c r="B90" s="115" t="s">
        <v>423</v>
      </c>
      <c r="C90" s="115"/>
      <c r="D90" s="115" t="s">
        <v>422</v>
      </c>
      <c r="E90" s="116">
        <v>1244018</v>
      </c>
      <c r="F90" s="116">
        <v>311004.5</v>
      </c>
      <c r="G90" s="116">
        <v>330606.05249999999</v>
      </c>
      <c r="H90" s="116">
        <v>913411.94750000001</v>
      </c>
      <c r="I90" s="116">
        <v>19601.552500000002</v>
      </c>
      <c r="J90" s="125" t="s">
        <v>755</v>
      </c>
      <c r="K90" s="125" t="s">
        <v>756</v>
      </c>
      <c r="L90" s="122" t="s">
        <v>624</v>
      </c>
    </row>
    <row r="91" spans="1:12" ht="28.8" outlineLevel="1" x14ac:dyDescent="0.3">
      <c r="A91" s="119" t="s">
        <v>6</v>
      </c>
      <c r="B91" s="119" t="s">
        <v>757</v>
      </c>
      <c r="C91" s="119"/>
      <c r="D91" s="119"/>
      <c r="E91" s="120">
        <f>SUM(E90:E90)</f>
        <v>1244018</v>
      </c>
      <c r="F91" s="120">
        <f>SUM(F90:F90)</f>
        <v>311004.5</v>
      </c>
      <c r="G91" s="120">
        <f>SUM(G90:G90)</f>
        <v>330606.05249999999</v>
      </c>
      <c r="H91" s="120">
        <f>SUM(H90:H90)</f>
        <v>913411.94750000001</v>
      </c>
      <c r="I91" s="120">
        <f>SUM(I90:I90)</f>
        <v>19601.552500000002</v>
      </c>
      <c r="J91" s="125" t="s">
        <v>758</v>
      </c>
      <c r="K91" s="125" t="s">
        <v>759</v>
      </c>
      <c r="L91" s="122" t="s">
        <v>624</v>
      </c>
    </row>
    <row r="92" spans="1:12" ht="86.4" x14ac:dyDescent="0.3">
      <c r="A92" s="119" t="s">
        <v>760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761</v>
      </c>
      <c r="K92" s="123" t="s">
        <v>762</v>
      </c>
      <c r="L92" s="122" t="s">
        <v>41</v>
      </c>
    </row>
    <row r="93" spans="1:12" ht="57.6" outlineLevel="2" x14ac:dyDescent="0.3">
      <c r="A93" s="115" t="s">
        <v>7</v>
      </c>
      <c r="B93" s="115" t="s">
        <v>48</v>
      </c>
      <c r="C93" s="115" t="s">
        <v>211</v>
      </c>
      <c r="D93" s="115" t="s">
        <v>322</v>
      </c>
      <c r="E93" s="116">
        <v>191646</v>
      </c>
      <c r="F93" s="116">
        <v>0</v>
      </c>
      <c r="G93" s="116">
        <v>0</v>
      </c>
      <c r="H93" s="116">
        <v>143734.5</v>
      </c>
      <c r="I93" s="116">
        <v>-47911.5</v>
      </c>
      <c r="J93" s="117" t="s">
        <v>763</v>
      </c>
      <c r="K93" s="117" t="s">
        <v>764</v>
      </c>
      <c r="L93" s="118" t="s">
        <v>578</v>
      </c>
    </row>
    <row r="94" spans="1:12" ht="28.8" outlineLevel="2" x14ac:dyDescent="0.3">
      <c r="A94" s="115" t="s">
        <v>7</v>
      </c>
      <c r="B94" s="115" t="s">
        <v>48</v>
      </c>
      <c r="C94" s="115" t="s">
        <v>211</v>
      </c>
      <c r="D94" s="115" t="s">
        <v>234</v>
      </c>
      <c r="E94" s="116">
        <v>10080</v>
      </c>
      <c r="F94" s="116">
        <v>0</v>
      </c>
      <c r="G94" s="116">
        <v>0</v>
      </c>
      <c r="H94" s="116">
        <v>10080</v>
      </c>
      <c r="I94" s="116">
        <v>0</v>
      </c>
      <c r="J94" s="121" t="s">
        <v>765</v>
      </c>
      <c r="K94" s="121" t="s">
        <v>766</v>
      </c>
      <c r="L94" s="122" t="s">
        <v>586</v>
      </c>
    </row>
    <row r="95" spans="1:12" ht="28.8" outlineLevel="2" x14ac:dyDescent="0.3">
      <c r="A95" s="115" t="s">
        <v>7</v>
      </c>
      <c r="B95" s="115" t="s">
        <v>48</v>
      </c>
      <c r="C95" s="115" t="s">
        <v>211</v>
      </c>
      <c r="D95" s="115" t="s">
        <v>313</v>
      </c>
      <c r="E95" s="116">
        <v>139684</v>
      </c>
      <c r="F95" s="116">
        <v>34921</v>
      </c>
      <c r="G95" s="116">
        <v>34921</v>
      </c>
      <c r="H95" s="116">
        <v>104763</v>
      </c>
      <c r="I95" s="116">
        <v>-2.91038304567337E-11</v>
      </c>
      <c r="J95" s="121" t="s">
        <v>767</v>
      </c>
      <c r="K95" s="121" t="s">
        <v>768</v>
      </c>
      <c r="L95" s="122" t="s">
        <v>586</v>
      </c>
    </row>
    <row r="96" spans="1:12" ht="28.8" outlineLevel="2" x14ac:dyDescent="0.3">
      <c r="A96" s="115" t="s">
        <v>7</v>
      </c>
      <c r="B96" s="115" t="s">
        <v>48</v>
      </c>
      <c r="C96" s="115" t="s">
        <v>211</v>
      </c>
      <c r="D96" s="115" t="s">
        <v>181</v>
      </c>
      <c r="E96" s="116">
        <v>100844.1</v>
      </c>
      <c r="F96" s="116">
        <v>100844.1</v>
      </c>
      <c r="G96" s="116">
        <v>96041.64</v>
      </c>
      <c r="H96" s="116">
        <v>4802.46000000001</v>
      </c>
      <c r="I96" s="116">
        <v>-4802.46000000001</v>
      </c>
      <c r="J96" s="117" t="s">
        <v>769</v>
      </c>
      <c r="K96" s="117" t="s">
        <v>770</v>
      </c>
      <c r="L96" s="118" t="s">
        <v>578</v>
      </c>
    </row>
    <row r="97" spans="1:14" ht="28.8" outlineLevel="2" x14ac:dyDescent="0.3">
      <c r="A97" s="115" t="s">
        <v>7</v>
      </c>
      <c r="B97" s="115" t="s">
        <v>48</v>
      </c>
      <c r="C97" s="115" t="s">
        <v>211</v>
      </c>
      <c r="D97" s="115" t="s">
        <v>304</v>
      </c>
      <c r="E97" s="116">
        <v>117539.0055</v>
      </c>
      <c r="F97" s="116">
        <v>12256.39</v>
      </c>
      <c r="G97" s="116">
        <v>12001.59</v>
      </c>
      <c r="H97" s="116">
        <v>105791.55</v>
      </c>
      <c r="I97" s="116">
        <v>-0.66549999999915599</v>
      </c>
      <c r="J97" s="117" t="s">
        <v>657</v>
      </c>
      <c r="K97" s="117" t="s">
        <v>658</v>
      </c>
      <c r="L97" s="118" t="s">
        <v>578</v>
      </c>
    </row>
    <row r="98" spans="1:14" ht="72" outlineLevel="2" x14ac:dyDescent="0.3">
      <c r="A98" s="115" t="s">
        <v>7</v>
      </c>
      <c r="B98" s="115" t="s">
        <v>48</v>
      </c>
      <c r="C98" s="115" t="s">
        <v>211</v>
      </c>
      <c r="D98" s="115" t="s">
        <v>208</v>
      </c>
      <c r="E98" s="116">
        <v>1410968.58415</v>
      </c>
      <c r="F98" s="116">
        <v>340865.47</v>
      </c>
      <c r="G98" s="116">
        <v>340865.47</v>
      </c>
      <c r="H98" s="116">
        <v>854327.49250000005</v>
      </c>
      <c r="I98" s="116">
        <v>-215775.62164999999</v>
      </c>
      <c r="J98" s="117" t="s">
        <v>771</v>
      </c>
      <c r="K98" s="117" t="s">
        <v>772</v>
      </c>
      <c r="L98" s="118" t="s">
        <v>578</v>
      </c>
    </row>
    <row r="99" spans="1:14" ht="28.8" outlineLevel="2" x14ac:dyDescent="0.3">
      <c r="A99" s="115" t="s">
        <v>7</v>
      </c>
      <c r="B99" s="115" t="s">
        <v>48</v>
      </c>
      <c r="C99" s="115" t="s">
        <v>211</v>
      </c>
      <c r="D99" s="115" t="s">
        <v>278</v>
      </c>
      <c r="E99" s="116">
        <v>51930.15</v>
      </c>
      <c r="F99" s="116">
        <v>44460.15</v>
      </c>
      <c r="G99" s="116">
        <v>46713</v>
      </c>
      <c r="H99" s="116">
        <v>5217.1499999999996</v>
      </c>
      <c r="I99" s="116">
        <v>2252.85</v>
      </c>
      <c r="J99" s="125" t="s">
        <v>773</v>
      </c>
      <c r="K99" s="125" t="s">
        <v>774</v>
      </c>
      <c r="L99" s="122" t="s">
        <v>624</v>
      </c>
    </row>
    <row r="100" spans="1:14" ht="28.8" outlineLevel="2" x14ac:dyDescent="0.3">
      <c r="A100" s="115" t="s">
        <v>7</v>
      </c>
      <c r="B100" s="115" t="s">
        <v>48</v>
      </c>
      <c r="C100" s="115" t="s">
        <v>211</v>
      </c>
      <c r="D100" s="115" t="s">
        <v>70</v>
      </c>
      <c r="E100" s="116">
        <v>215860.41750000001</v>
      </c>
      <c r="F100" s="116">
        <v>957</v>
      </c>
      <c r="G100" s="116">
        <v>957.23</v>
      </c>
      <c r="H100" s="116">
        <v>214903.27</v>
      </c>
      <c r="I100" s="116">
        <v>0.3125</v>
      </c>
      <c r="J100" s="121" t="s">
        <v>657</v>
      </c>
      <c r="K100" s="121" t="s">
        <v>658</v>
      </c>
      <c r="L100" s="122" t="s">
        <v>586</v>
      </c>
    </row>
    <row r="101" spans="1:14" ht="100.8" outlineLevel="1" x14ac:dyDescent="0.3">
      <c r="A101" s="119" t="s">
        <v>7</v>
      </c>
      <c r="B101" s="119" t="s">
        <v>499</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775</v>
      </c>
      <c r="K101" s="117" t="s">
        <v>776</v>
      </c>
      <c r="L101" s="118" t="s">
        <v>578</v>
      </c>
    </row>
    <row r="102" spans="1:14" ht="28.8" outlineLevel="2" x14ac:dyDescent="0.3">
      <c r="A102" s="115" t="s">
        <v>7</v>
      </c>
      <c r="B102" s="115" t="s">
        <v>49</v>
      </c>
      <c r="C102" s="115" t="s">
        <v>104</v>
      </c>
      <c r="D102" s="115" t="s">
        <v>57</v>
      </c>
      <c r="E102" s="116">
        <v>1338002.922</v>
      </c>
      <c r="F102" s="116">
        <v>283776.67025000002</v>
      </c>
      <c r="G102" s="116">
        <v>4463.99</v>
      </c>
      <c r="H102" s="116">
        <v>1333539.0715000001</v>
      </c>
      <c r="I102" s="116">
        <v>-6404.7907500001202</v>
      </c>
      <c r="J102" s="117" t="s">
        <v>777</v>
      </c>
      <c r="K102" s="117" t="s">
        <v>778</v>
      </c>
      <c r="L102" s="118" t="s">
        <v>578</v>
      </c>
    </row>
    <row r="103" spans="1:14" ht="28.8" outlineLevel="2" x14ac:dyDescent="0.3">
      <c r="A103" s="115" t="s">
        <v>7</v>
      </c>
      <c r="B103" s="115" t="s">
        <v>49</v>
      </c>
      <c r="C103" s="115" t="s">
        <v>104</v>
      </c>
      <c r="D103" s="115" t="s">
        <v>75</v>
      </c>
      <c r="E103" s="116">
        <v>5250</v>
      </c>
      <c r="F103" s="116">
        <v>5250</v>
      </c>
      <c r="G103" s="116">
        <v>0</v>
      </c>
      <c r="H103" s="116">
        <v>5250</v>
      </c>
      <c r="I103" s="116">
        <v>0</v>
      </c>
      <c r="J103" s="121" t="s">
        <v>779</v>
      </c>
      <c r="K103" s="121" t="s">
        <v>780</v>
      </c>
      <c r="L103" s="122" t="s">
        <v>586</v>
      </c>
    </row>
    <row r="104" spans="1:14" ht="28.8" outlineLevel="2" x14ac:dyDescent="0.3">
      <c r="A104" s="115" t="s">
        <v>7</v>
      </c>
      <c r="B104" s="115" t="s">
        <v>49</v>
      </c>
      <c r="C104" s="115" t="s">
        <v>104</v>
      </c>
      <c r="D104" s="115" t="s">
        <v>76</v>
      </c>
      <c r="E104" s="116">
        <v>27790.5285</v>
      </c>
      <c r="F104" s="116">
        <v>0</v>
      </c>
      <c r="G104" s="116">
        <v>0</v>
      </c>
      <c r="H104" s="116">
        <v>27791</v>
      </c>
      <c r="I104" s="116">
        <v>0.47149999999783199</v>
      </c>
      <c r="J104" s="121" t="s">
        <v>657</v>
      </c>
      <c r="K104" s="121" t="s">
        <v>658</v>
      </c>
      <c r="L104" s="122" t="s">
        <v>586</v>
      </c>
    </row>
    <row r="105" spans="1:14" ht="28.8" outlineLevel="2" x14ac:dyDescent="0.3">
      <c r="A105" s="115" t="s">
        <v>7</v>
      </c>
      <c r="B105" s="115" t="s">
        <v>49</v>
      </c>
      <c r="C105" s="115" t="s">
        <v>104</v>
      </c>
      <c r="D105" s="115" t="s">
        <v>67</v>
      </c>
      <c r="E105" s="116">
        <v>3052298</v>
      </c>
      <c r="F105" s="116">
        <v>758846.25</v>
      </c>
      <c r="G105" s="116">
        <v>755792.57</v>
      </c>
      <c r="H105" s="116">
        <v>2299559.6466666702</v>
      </c>
      <c r="I105" s="116">
        <v>0.53666666693607101</v>
      </c>
      <c r="J105" s="117" t="s">
        <v>781</v>
      </c>
      <c r="K105" s="117" t="s">
        <v>782</v>
      </c>
      <c r="L105" s="118" t="s">
        <v>578</v>
      </c>
    </row>
    <row r="106" spans="1:14" ht="28.8" outlineLevel="2" x14ac:dyDescent="0.3">
      <c r="A106" s="115" t="s">
        <v>7</v>
      </c>
      <c r="B106" s="115" t="s">
        <v>49</v>
      </c>
      <c r="C106" s="115" t="s">
        <v>104</v>
      </c>
      <c r="D106" s="115" t="s">
        <v>77</v>
      </c>
      <c r="E106" s="116">
        <v>307613.8</v>
      </c>
      <c r="F106" s="116">
        <v>74725</v>
      </c>
      <c r="G106" s="116">
        <v>74725</v>
      </c>
      <c r="H106" s="116">
        <v>229258.05</v>
      </c>
      <c r="I106" s="116">
        <v>-3630.75000000006</v>
      </c>
      <c r="J106" s="117" t="s">
        <v>783</v>
      </c>
      <c r="K106" s="117" t="s">
        <v>784</v>
      </c>
      <c r="L106" s="118" t="s">
        <v>578</v>
      </c>
    </row>
    <row r="107" spans="1:14" ht="86.4" outlineLevel="2" x14ac:dyDescent="0.3">
      <c r="A107" s="115" t="s">
        <v>7</v>
      </c>
      <c r="B107" s="115" t="s">
        <v>49</v>
      </c>
      <c r="C107" s="115" t="s">
        <v>104</v>
      </c>
      <c r="D107" s="115" t="s">
        <v>74</v>
      </c>
      <c r="E107" s="116">
        <v>453011.9645</v>
      </c>
      <c r="F107" s="116">
        <v>160787.98749999999</v>
      </c>
      <c r="G107" s="116">
        <v>125912.9875</v>
      </c>
      <c r="H107" s="116">
        <v>399834.96666666702</v>
      </c>
      <c r="I107" s="116">
        <v>72735.989666666705</v>
      </c>
      <c r="J107" s="123" t="s">
        <v>785</v>
      </c>
      <c r="K107" s="123" t="s">
        <v>786</v>
      </c>
      <c r="L107" s="122" t="s">
        <v>41</v>
      </c>
      <c r="M107" s="124"/>
      <c r="N107" t="s">
        <v>787</v>
      </c>
    </row>
    <row r="108" spans="1:14" ht="28.8" outlineLevel="2" x14ac:dyDescent="0.3">
      <c r="A108" s="115" t="s">
        <v>7</v>
      </c>
      <c r="B108" s="115" t="s">
        <v>49</v>
      </c>
      <c r="C108" s="115" t="s">
        <v>104</v>
      </c>
      <c r="D108" s="115" t="s">
        <v>70</v>
      </c>
      <c r="E108" s="116"/>
      <c r="F108" s="116">
        <v>0</v>
      </c>
      <c r="G108" s="116">
        <v>0</v>
      </c>
      <c r="H108" s="116">
        <v>0</v>
      </c>
      <c r="I108" s="116">
        <v>0</v>
      </c>
      <c r="J108" s="121" t="s">
        <v>655</v>
      </c>
      <c r="K108" s="121" t="s">
        <v>656</v>
      </c>
      <c r="L108" s="122" t="s">
        <v>586</v>
      </c>
      <c r="N108" t="s">
        <v>788</v>
      </c>
    </row>
    <row r="109" spans="1:14" ht="28.8" outlineLevel="2" x14ac:dyDescent="0.3">
      <c r="A109" s="115" t="s">
        <v>7</v>
      </c>
      <c r="B109" s="115" t="s">
        <v>49</v>
      </c>
      <c r="C109" s="115" t="s">
        <v>104</v>
      </c>
      <c r="D109" s="115" t="s">
        <v>78</v>
      </c>
      <c r="E109" s="116">
        <v>5407.5</v>
      </c>
      <c r="F109" s="116">
        <v>0</v>
      </c>
      <c r="G109" s="116">
        <v>0</v>
      </c>
      <c r="H109" s="116">
        <v>5407.5</v>
      </c>
      <c r="I109" s="116">
        <v>0</v>
      </c>
      <c r="J109" s="121" t="s">
        <v>765</v>
      </c>
      <c r="K109" s="121" t="s">
        <v>766</v>
      </c>
      <c r="L109" s="122" t="s">
        <v>586</v>
      </c>
      <c r="N109" t="s">
        <v>789</v>
      </c>
    </row>
    <row r="110" spans="1:14" ht="28.8" outlineLevel="2" x14ac:dyDescent="0.3">
      <c r="A110" s="115" t="s">
        <v>7</v>
      </c>
      <c r="B110" s="115" t="s">
        <v>49</v>
      </c>
      <c r="C110" s="115" t="s">
        <v>104</v>
      </c>
      <c r="D110" s="115" t="s">
        <v>79</v>
      </c>
      <c r="E110" s="116">
        <v>61830</v>
      </c>
      <c r="F110" s="116">
        <v>0</v>
      </c>
      <c r="G110" s="116">
        <v>0</v>
      </c>
      <c r="H110" s="116">
        <v>61830</v>
      </c>
      <c r="I110" s="116">
        <v>0</v>
      </c>
      <c r="J110" s="121" t="s">
        <v>790</v>
      </c>
      <c r="K110" s="121" t="s">
        <v>791</v>
      </c>
      <c r="L110" s="122" t="s">
        <v>586</v>
      </c>
      <c r="N110" t="s">
        <v>792</v>
      </c>
    </row>
    <row r="111" spans="1:14" ht="28.8" outlineLevel="1" x14ac:dyDescent="0.3">
      <c r="A111" s="119" t="s">
        <v>7</v>
      </c>
      <c r="B111" s="119" t="s">
        <v>500</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793</v>
      </c>
      <c r="K111" s="123" t="s">
        <v>794</v>
      </c>
      <c r="L111" s="122" t="s">
        <v>41</v>
      </c>
    </row>
    <row r="112" spans="1:14" ht="28.8" outlineLevel="2" x14ac:dyDescent="0.3">
      <c r="A112" s="115" t="s">
        <v>7</v>
      </c>
      <c r="B112" s="115" t="s">
        <v>50</v>
      </c>
      <c r="C112" s="115" t="s">
        <v>583</v>
      </c>
      <c r="D112" s="115" t="s">
        <v>407</v>
      </c>
      <c r="E112" s="116">
        <v>1778445.9</v>
      </c>
      <c r="F112" s="116">
        <v>466168.005</v>
      </c>
      <c r="G112" s="116">
        <v>466168.005</v>
      </c>
      <c r="H112" s="116">
        <v>1398504.0149999999</v>
      </c>
      <c r="I112" s="116">
        <v>86226.119999999602</v>
      </c>
      <c r="J112" s="123" t="s">
        <v>795</v>
      </c>
      <c r="K112" s="123" t="s">
        <v>796</v>
      </c>
      <c r="L112" s="122" t="s">
        <v>41</v>
      </c>
      <c r="M112" s="124"/>
    </row>
    <row r="113" spans="1:13" ht="28.8" outlineLevel="2" x14ac:dyDescent="0.3">
      <c r="A113" s="115" t="s">
        <v>7</v>
      </c>
      <c r="B113" s="115" t="s">
        <v>50</v>
      </c>
      <c r="C113" s="115" t="s">
        <v>583</v>
      </c>
      <c r="D113" s="115" t="s">
        <v>419</v>
      </c>
      <c r="E113" s="116">
        <v>0</v>
      </c>
      <c r="F113" s="116">
        <v>0</v>
      </c>
      <c r="G113" s="116">
        <v>0</v>
      </c>
      <c r="H113" s="116">
        <v>92000</v>
      </c>
      <c r="I113" s="116">
        <v>92000</v>
      </c>
      <c r="J113" s="123" t="s">
        <v>797</v>
      </c>
      <c r="K113" s="123" t="s">
        <v>798</v>
      </c>
      <c r="L113" s="122" t="s">
        <v>41</v>
      </c>
      <c r="M113" s="124"/>
    </row>
    <row r="114" spans="1:13" ht="28.8" outlineLevel="2" x14ac:dyDescent="0.3">
      <c r="A114" s="115" t="s">
        <v>7</v>
      </c>
      <c r="B114" s="115" t="s">
        <v>50</v>
      </c>
      <c r="C114" s="115" t="s">
        <v>583</v>
      </c>
      <c r="D114" s="115" t="s">
        <v>56</v>
      </c>
      <c r="E114" s="116">
        <v>3617396</v>
      </c>
      <c r="F114" s="116">
        <v>1001329.89</v>
      </c>
      <c r="G114" s="116">
        <v>1069485.7</v>
      </c>
      <c r="H114" s="116">
        <v>2935833.86</v>
      </c>
      <c r="I114" s="116">
        <v>456079.36999999901</v>
      </c>
      <c r="J114" s="123" t="s">
        <v>799</v>
      </c>
      <c r="K114" s="123" t="s">
        <v>800</v>
      </c>
      <c r="L114" s="122" t="s">
        <v>41</v>
      </c>
      <c r="M114" s="124"/>
    </row>
    <row r="115" spans="1:13" ht="28.8" outlineLevel="2" x14ac:dyDescent="0.3">
      <c r="A115" s="115" t="s">
        <v>7</v>
      </c>
      <c r="B115" s="115" t="s">
        <v>50</v>
      </c>
      <c r="C115" s="115" t="s">
        <v>583</v>
      </c>
      <c r="D115" s="115" t="s">
        <v>133</v>
      </c>
      <c r="E115" s="116">
        <v>14700</v>
      </c>
      <c r="F115" s="116">
        <v>0</v>
      </c>
      <c r="G115" s="116">
        <v>0</v>
      </c>
      <c r="H115" s="116">
        <v>14700</v>
      </c>
      <c r="I115" s="116">
        <v>0</v>
      </c>
      <c r="J115" s="121" t="s">
        <v>765</v>
      </c>
      <c r="K115" s="121" t="s">
        <v>766</v>
      </c>
      <c r="L115" s="122" t="s">
        <v>586</v>
      </c>
    </row>
    <row r="116" spans="1:13" ht="28.8" outlineLevel="2" x14ac:dyDescent="0.3">
      <c r="A116" s="115" t="s">
        <v>7</v>
      </c>
      <c r="B116" s="115" t="s">
        <v>50</v>
      </c>
      <c r="C116" s="115" t="s">
        <v>583</v>
      </c>
      <c r="D116" s="115" t="s">
        <v>240</v>
      </c>
      <c r="E116" s="116">
        <v>12600</v>
      </c>
      <c r="F116" s="116">
        <v>12600</v>
      </c>
      <c r="G116" s="116">
        <v>12000</v>
      </c>
      <c r="H116" s="116">
        <v>600</v>
      </c>
      <c r="I116" s="116">
        <v>-600</v>
      </c>
      <c r="J116" s="117" t="s">
        <v>801</v>
      </c>
      <c r="K116" s="117" t="s">
        <v>802</v>
      </c>
      <c r="L116" s="118" t="s">
        <v>578</v>
      </c>
    </row>
    <row r="117" spans="1:13" ht="28.8" outlineLevel="2" x14ac:dyDescent="0.3">
      <c r="A117" s="115" t="s">
        <v>7</v>
      </c>
      <c r="B117" s="115" t="s">
        <v>50</v>
      </c>
      <c r="C117" s="115" t="s">
        <v>583</v>
      </c>
      <c r="D117" s="115" t="s">
        <v>208</v>
      </c>
      <c r="E117" s="116">
        <v>111003</v>
      </c>
      <c r="F117" s="116">
        <v>0</v>
      </c>
      <c r="G117" s="116">
        <v>0</v>
      </c>
      <c r="H117" s="116">
        <v>111003</v>
      </c>
      <c r="I117" s="116">
        <v>0</v>
      </c>
      <c r="J117" s="121" t="s">
        <v>765</v>
      </c>
      <c r="K117" s="121" t="s">
        <v>766</v>
      </c>
      <c r="L117" s="122" t="s">
        <v>586</v>
      </c>
    </row>
    <row r="118" spans="1:13" ht="28.8" outlineLevel="2" x14ac:dyDescent="0.3">
      <c r="A118" s="115" t="s">
        <v>7</v>
      </c>
      <c r="B118" s="115" t="s">
        <v>50</v>
      </c>
      <c r="C118" s="115" t="s">
        <v>583</v>
      </c>
      <c r="D118" s="115" t="s">
        <v>256</v>
      </c>
      <c r="E118" s="116">
        <v>2751</v>
      </c>
      <c r="F118" s="116">
        <v>1389</v>
      </c>
      <c r="G118" s="116">
        <v>1472.85</v>
      </c>
      <c r="H118" s="116">
        <v>1278.1500000000001</v>
      </c>
      <c r="I118" s="116">
        <v>83.849999999999696</v>
      </c>
      <c r="J118" s="117" t="s">
        <v>803</v>
      </c>
      <c r="K118" s="117" t="s">
        <v>804</v>
      </c>
      <c r="L118" s="118" t="s">
        <v>578</v>
      </c>
    </row>
    <row r="119" spans="1:13" ht="28.8" outlineLevel="2" x14ac:dyDescent="0.3">
      <c r="A119" s="115" t="s">
        <v>7</v>
      </c>
      <c r="B119" s="115" t="s">
        <v>50</v>
      </c>
      <c r="C119" s="115" t="s">
        <v>583</v>
      </c>
      <c r="D119" s="115" t="s">
        <v>334</v>
      </c>
      <c r="E119" s="116">
        <v>3500000</v>
      </c>
      <c r="F119" s="116">
        <v>634574.28</v>
      </c>
      <c r="G119" s="116">
        <v>634574.28</v>
      </c>
      <c r="H119" s="116">
        <v>3097913.69</v>
      </c>
      <c r="I119" s="116">
        <v>232487.97</v>
      </c>
      <c r="J119" s="125" t="s">
        <v>805</v>
      </c>
      <c r="K119" s="125" t="s">
        <v>806</v>
      </c>
      <c r="L119" s="122" t="s">
        <v>624</v>
      </c>
    </row>
    <row r="120" spans="1:13" ht="28.8" outlineLevel="2" x14ac:dyDescent="0.3">
      <c r="A120" s="115" t="s">
        <v>7</v>
      </c>
      <c r="B120" s="115" t="s">
        <v>50</v>
      </c>
      <c r="C120" s="115" t="s">
        <v>583</v>
      </c>
      <c r="D120" s="115" t="s">
        <v>410</v>
      </c>
      <c r="E120" s="116">
        <v>298544.40000000002</v>
      </c>
      <c r="F120" s="116">
        <v>71082.092499999999</v>
      </c>
      <c r="G120" s="116">
        <v>71082.092499999999</v>
      </c>
      <c r="H120" s="116">
        <v>213246.2775</v>
      </c>
      <c r="I120" s="116">
        <v>-14216.030000000101</v>
      </c>
      <c r="J120" s="117" t="s">
        <v>807</v>
      </c>
      <c r="K120" s="117" t="s">
        <v>808</v>
      </c>
      <c r="L120" s="118" t="s">
        <v>158</v>
      </c>
    </row>
    <row r="121" spans="1:13" ht="28.8" outlineLevel="2" x14ac:dyDescent="0.3">
      <c r="A121" s="115" t="s">
        <v>7</v>
      </c>
      <c r="B121" s="115" t="s">
        <v>50</v>
      </c>
      <c r="C121" s="115" t="s">
        <v>583</v>
      </c>
      <c r="D121" s="115" t="s">
        <v>272</v>
      </c>
      <c r="E121" s="116">
        <v>8435.7000000000007</v>
      </c>
      <c r="F121" s="116">
        <v>0</v>
      </c>
      <c r="G121" s="116">
        <v>0</v>
      </c>
      <c r="H121" s="116">
        <v>8436</v>
      </c>
      <c r="I121" s="116">
        <v>0.29999999999927202</v>
      </c>
      <c r="J121" s="121" t="s">
        <v>657</v>
      </c>
      <c r="K121" s="121" t="s">
        <v>658</v>
      </c>
      <c r="L121" s="122" t="s">
        <v>586</v>
      </c>
    </row>
    <row r="122" spans="1:13" ht="28.8" outlineLevel="2" x14ac:dyDescent="0.3">
      <c r="A122" s="115" t="s">
        <v>7</v>
      </c>
      <c r="B122" s="115" t="s">
        <v>50</v>
      </c>
      <c r="C122" s="115" t="s">
        <v>583</v>
      </c>
      <c r="D122" s="115" t="s">
        <v>353</v>
      </c>
      <c r="E122" s="116">
        <v>411547.5</v>
      </c>
      <c r="F122" s="116">
        <v>411547.5</v>
      </c>
      <c r="G122" s="116">
        <v>544375</v>
      </c>
      <c r="H122" s="116">
        <v>-132827.5</v>
      </c>
      <c r="I122" s="116">
        <v>132827.5</v>
      </c>
      <c r="J122" s="123" t="s">
        <v>809</v>
      </c>
      <c r="K122" s="123" t="s">
        <v>810</v>
      </c>
      <c r="L122" s="122" t="s">
        <v>41</v>
      </c>
    </row>
    <row r="123" spans="1:13" ht="72" outlineLevel="1" x14ac:dyDescent="0.3">
      <c r="A123" s="119" t="s">
        <v>7</v>
      </c>
      <c r="B123" s="119" t="s">
        <v>501</v>
      </c>
      <c r="C123" s="115" t="s">
        <v>583</v>
      </c>
      <c r="D123" s="119"/>
      <c r="E123" s="120">
        <f>SUM(E112:E122)</f>
        <v>9755423.5</v>
      </c>
      <c r="F123" s="120">
        <f>SUM(F112:F122)</f>
        <v>2598690.7674999996</v>
      </c>
      <c r="G123" s="120">
        <f>SUM(G112:G122)</f>
        <v>2799157.9274999998</v>
      </c>
      <c r="H123" s="120">
        <f>SUM(H112:H122)</f>
        <v>7740687.4924999997</v>
      </c>
      <c r="I123" s="120">
        <f>SUM(I112:I122)</f>
        <v>984889.07999999844</v>
      </c>
      <c r="J123" s="123" t="s">
        <v>811</v>
      </c>
      <c r="K123" s="123" t="s">
        <v>812</v>
      </c>
      <c r="L123" s="122" t="s">
        <v>41</v>
      </c>
    </row>
    <row r="124" spans="1:13" ht="28.8" outlineLevel="2" x14ac:dyDescent="0.3">
      <c r="A124" s="115" t="s">
        <v>7</v>
      </c>
      <c r="B124" s="115" t="s">
        <v>51</v>
      </c>
      <c r="C124" s="115" t="s">
        <v>168</v>
      </c>
      <c r="D124" s="115" t="s">
        <v>248</v>
      </c>
      <c r="E124" s="116">
        <v>1260</v>
      </c>
      <c r="F124" s="116">
        <v>1260</v>
      </c>
      <c r="G124" s="116">
        <v>1260</v>
      </c>
      <c r="H124" s="116">
        <v>0</v>
      </c>
      <c r="I124" s="116">
        <v>0</v>
      </c>
      <c r="J124" s="121" t="s">
        <v>813</v>
      </c>
      <c r="K124" s="121" t="s">
        <v>814</v>
      </c>
      <c r="L124" s="122" t="s">
        <v>586</v>
      </c>
    </row>
    <row r="125" spans="1:13" ht="28.8" outlineLevel="2" x14ac:dyDescent="0.3">
      <c r="A125" s="115" t="s">
        <v>7</v>
      </c>
      <c r="B125" s="115" t="s">
        <v>51</v>
      </c>
      <c r="C125" s="115" t="s">
        <v>168</v>
      </c>
      <c r="D125" s="115" t="s">
        <v>282</v>
      </c>
      <c r="E125" s="116">
        <v>39305.699999999997</v>
      </c>
      <c r="F125" s="116">
        <v>0</v>
      </c>
      <c r="G125" s="116">
        <v>0</v>
      </c>
      <c r="H125" s="116">
        <v>39306</v>
      </c>
      <c r="I125" s="116">
        <v>0.29999999999563398</v>
      </c>
      <c r="J125" s="121" t="s">
        <v>657</v>
      </c>
      <c r="K125" s="121" t="s">
        <v>658</v>
      </c>
      <c r="L125" s="122" t="s">
        <v>586</v>
      </c>
    </row>
    <row r="126" spans="1:13" ht="28.8" outlineLevel="2" x14ac:dyDescent="0.3">
      <c r="A126" s="115" t="s">
        <v>7</v>
      </c>
      <c r="B126" s="115" t="s">
        <v>51</v>
      </c>
      <c r="C126" s="115" t="s">
        <v>168</v>
      </c>
      <c r="D126" s="115" t="s">
        <v>284</v>
      </c>
      <c r="E126" s="116">
        <v>174825</v>
      </c>
      <c r="F126" s="116">
        <v>43706.25</v>
      </c>
      <c r="G126" s="116">
        <v>43706.25</v>
      </c>
      <c r="H126" s="116">
        <v>131118.75</v>
      </c>
      <c r="I126" s="116">
        <v>0</v>
      </c>
      <c r="J126" s="121" t="s">
        <v>765</v>
      </c>
      <c r="K126" s="121" t="s">
        <v>766</v>
      </c>
      <c r="L126" s="122" t="s">
        <v>586</v>
      </c>
    </row>
    <row r="127" spans="1:13" ht="28.8" outlineLevel="1" x14ac:dyDescent="0.3">
      <c r="A127" s="119" t="s">
        <v>7</v>
      </c>
      <c r="B127" s="119" t="s">
        <v>502</v>
      </c>
      <c r="C127" s="115" t="s">
        <v>168</v>
      </c>
      <c r="D127" s="119"/>
      <c r="E127" s="120">
        <f>SUM(E124:E126)</f>
        <v>215390.7</v>
      </c>
      <c r="F127" s="120">
        <f>SUM(F124:F126)</f>
        <v>44966.25</v>
      </c>
      <c r="G127" s="120">
        <f>SUM(G124:G126)</f>
        <v>44966.25</v>
      </c>
      <c r="H127" s="120">
        <f>SUM(H124:H126)</f>
        <v>170424.75</v>
      </c>
      <c r="I127" s="120">
        <f>SUM(I124:I126)</f>
        <v>0.29999999999563398</v>
      </c>
      <c r="J127" s="121" t="s">
        <v>815</v>
      </c>
      <c r="K127" s="121" t="s">
        <v>816</v>
      </c>
      <c r="L127" s="122" t="s">
        <v>586</v>
      </c>
    </row>
    <row r="128" spans="1:13" ht="28.8" outlineLevel="2" x14ac:dyDescent="0.3">
      <c r="A128" s="115" t="s">
        <v>7</v>
      </c>
      <c r="B128" s="115" t="s">
        <v>52</v>
      </c>
      <c r="C128" s="115" t="s">
        <v>746</v>
      </c>
      <c r="D128" s="115" t="s">
        <v>198</v>
      </c>
      <c r="E128" s="116">
        <v>1211114.9924999999</v>
      </c>
      <c r="F128" s="116">
        <v>335708</v>
      </c>
      <c r="G128" s="116">
        <v>337708.24</v>
      </c>
      <c r="H128" s="116">
        <v>873407.05500000005</v>
      </c>
      <c r="I128" s="116">
        <v>2000.5425000001101</v>
      </c>
      <c r="J128" s="125" t="s">
        <v>817</v>
      </c>
      <c r="K128" s="125" t="s">
        <v>818</v>
      </c>
      <c r="L128" s="122" t="s">
        <v>624</v>
      </c>
    </row>
    <row r="129" spans="1:12" ht="28.8" outlineLevel="2" x14ac:dyDescent="0.3">
      <c r="A129" s="115" t="s">
        <v>7</v>
      </c>
      <c r="B129" s="115" t="s">
        <v>52</v>
      </c>
      <c r="C129" s="115" t="s">
        <v>746</v>
      </c>
      <c r="D129" s="115" t="s">
        <v>236</v>
      </c>
      <c r="E129" s="116">
        <v>238897.86249999999</v>
      </c>
      <c r="F129" s="116">
        <v>0</v>
      </c>
      <c r="G129" s="116">
        <v>0</v>
      </c>
      <c r="H129" s="116">
        <v>232868.65</v>
      </c>
      <c r="I129" s="116">
        <v>-6029.2125000000196</v>
      </c>
      <c r="J129" s="117" t="s">
        <v>819</v>
      </c>
      <c r="K129" s="117" t="s">
        <v>820</v>
      </c>
      <c r="L129" s="118" t="s">
        <v>578</v>
      </c>
    </row>
    <row r="130" spans="1:12" ht="28.8" outlineLevel="2" x14ac:dyDescent="0.3">
      <c r="A130" s="115" t="s">
        <v>7</v>
      </c>
      <c r="B130" s="115" t="s">
        <v>52</v>
      </c>
      <c r="C130" s="115" t="s">
        <v>746</v>
      </c>
      <c r="D130" s="115" t="s">
        <v>381</v>
      </c>
      <c r="E130" s="116">
        <v>160000</v>
      </c>
      <c r="F130" s="116">
        <v>37500</v>
      </c>
      <c r="G130" s="116">
        <v>37500</v>
      </c>
      <c r="H130" s="116">
        <v>122500</v>
      </c>
      <c r="I130" s="116">
        <v>0</v>
      </c>
      <c r="J130" s="121" t="s">
        <v>765</v>
      </c>
      <c r="K130" s="121" t="s">
        <v>766</v>
      </c>
      <c r="L130" s="122" t="s">
        <v>586</v>
      </c>
    </row>
    <row r="131" spans="1:12" ht="28.8" outlineLevel="2" x14ac:dyDescent="0.3">
      <c r="A131" s="115" t="s">
        <v>7</v>
      </c>
      <c r="B131" s="115" t="s">
        <v>52</v>
      </c>
      <c r="C131" s="115" t="s">
        <v>746</v>
      </c>
      <c r="D131" s="115" t="s">
        <v>138</v>
      </c>
      <c r="E131" s="116">
        <v>175245.9</v>
      </c>
      <c r="F131" s="116">
        <v>42997.95</v>
      </c>
      <c r="G131" s="116">
        <v>46000</v>
      </c>
      <c r="H131" s="116">
        <v>126245.9</v>
      </c>
      <c r="I131" s="116">
        <v>2.0499999999883598</v>
      </c>
      <c r="J131" s="117" t="s">
        <v>821</v>
      </c>
      <c r="K131" s="117" t="s">
        <v>822</v>
      </c>
      <c r="L131" s="118" t="s">
        <v>578</v>
      </c>
    </row>
    <row r="132" spans="1:12" ht="28.8" outlineLevel="1" x14ac:dyDescent="0.3">
      <c r="A132" s="119" t="s">
        <v>7</v>
      </c>
      <c r="B132" s="119" t="s">
        <v>503</v>
      </c>
      <c r="C132" s="115" t="s">
        <v>746</v>
      </c>
      <c r="D132" s="119"/>
      <c r="E132" s="120">
        <f>SUM(E128:E131)</f>
        <v>1785258.7549999999</v>
      </c>
      <c r="F132" s="120">
        <f>SUM(F128:F131)</f>
        <v>416205.95</v>
      </c>
      <c r="G132" s="120">
        <f>SUM(G128:G131)</f>
        <v>421208.24</v>
      </c>
      <c r="H132" s="120">
        <f>SUM(H128:H131)</f>
        <v>1355021.605</v>
      </c>
      <c r="I132" s="120">
        <f>SUM(I128:I131)</f>
        <v>-4026.6199999999212</v>
      </c>
      <c r="J132" s="117" t="s">
        <v>823</v>
      </c>
      <c r="K132" s="117" t="s">
        <v>824</v>
      </c>
      <c r="L132" s="118" t="s">
        <v>578</v>
      </c>
    </row>
    <row r="133" spans="1:12" ht="28.8" outlineLevel="2" x14ac:dyDescent="0.3">
      <c r="A133" s="115" t="s">
        <v>7</v>
      </c>
      <c r="B133" s="115" t="s">
        <v>53</v>
      </c>
      <c r="C133" s="115" t="s">
        <v>597</v>
      </c>
      <c r="D133" s="115" t="s">
        <v>324</v>
      </c>
      <c r="E133" s="116">
        <v>50400</v>
      </c>
      <c r="F133" s="116">
        <v>0</v>
      </c>
      <c r="G133" s="116">
        <v>0</v>
      </c>
      <c r="H133" s="116">
        <v>50400</v>
      </c>
      <c r="I133" s="116">
        <v>0</v>
      </c>
      <c r="J133" s="121" t="s">
        <v>765</v>
      </c>
      <c r="K133" s="121" t="s">
        <v>766</v>
      </c>
      <c r="L133" s="122" t="s">
        <v>586</v>
      </c>
    </row>
    <row r="134" spans="1:12" ht="28.8" outlineLevel="2" x14ac:dyDescent="0.3">
      <c r="A134" s="115" t="s">
        <v>7</v>
      </c>
      <c r="B134" s="115" t="s">
        <v>53</v>
      </c>
      <c r="C134" s="115" t="s">
        <v>597</v>
      </c>
      <c r="D134" s="115" t="s">
        <v>222</v>
      </c>
      <c r="E134" s="116">
        <v>99225</v>
      </c>
      <c r="F134" s="116">
        <v>24300</v>
      </c>
      <c r="G134" s="116">
        <v>24300</v>
      </c>
      <c r="H134" s="116">
        <v>74925</v>
      </c>
      <c r="I134" s="116">
        <v>0</v>
      </c>
      <c r="J134" s="121" t="s">
        <v>765</v>
      </c>
      <c r="K134" s="121" t="s">
        <v>766</v>
      </c>
      <c r="L134" s="122" t="s">
        <v>586</v>
      </c>
    </row>
    <row r="135" spans="1:12" ht="28.8" outlineLevel="2" x14ac:dyDescent="0.3">
      <c r="A135" s="115" t="s">
        <v>7</v>
      </c>
      <c r="B135" s="115" t="s">
        <v>53</v>
      </c>
      <c r="C135" s="115" t="s">
        <v>597</v>
      </c>
      <c r="D135" s="115" t="s">
        <v>57</v>
      </c>
      <c r="E135" s="116">
        <v>2512</v>
      </c>
      <c r="F135" s="116">
        <v>0</v>
      </c>
      <c r="G135" s="116">
        <v>0</v>
      </c>
      <c r="H135" s="116">
        <v>2512</v>
      </c>
      <c r="I135" s="116">
        <v>0</v>
      </c>
      <c r="J135" s="121" t="s">
        <v>765</v>
      </c>
      <c r="K135" s="121" t="s">
        <v>766</v>
      </c>
      <c r="L135" s="122" t="s">
        <v>586</v>
      </c>
    </row>
    <row r="136" spans="1:12" ht="28.8" outlineLevel="2" x14ac:dyDescent="0.3">
      <c r="A136" s="115" t="s">
        <v>7</v>
      </c>
      <c r="B136" s="115" t="s">
        <v>53</v>
      </c>
      <c r="C136" s="115" t="s">
        <v>597</v>
      </c>
      <c r="D136" s="115" t="s">
        <v>308</v>
      </c>
      <c r="E136" s="116">
        <v>32760</v>
      </c>
      <c r="F136" s="116">
        <v>0</v>
      </c>
      <c r="G136" s="116">
        <v>0</v>
      </c>
      <c r="H136" s="116">
        <v>32760</v>
      </c>
      <c r="I136" s="116">
        <v>0</v>
      </c>
      <c r="J136" s="121" t="s">
        <v>765</v>
      </c>
      <c r="K136" s="121" t="s">
        <v>766</v>
      </c>
      <c r="L136" s="122" t="s">
        <v>586</v>
      </c>
    </row>
    <row r="137" spans="1:12" ht="28.8" outlineLevel="2" x14ac:dyDescent="0.3">
      <c r="A137" s="115" t="s">
        <v>7</v>
      </c>
      <c r="B137" s="115" t="s">
        <v>53</v>
      </c>
      <c r="C137" s="115" t="s">
        <v>597</v>
      </c>
      <c r="D137" s="115" t="s">
        <v>318</v>
      </c>
      <c r="E137" s="116">
        <v>3150</v>
      </c>
      <c r="F137" s="116">
        <v>0</v>
      </c>
      <c r="G137" s="116">
        <v>0</v>
      </c>
      <c r="H137" s="116">
        <v>3150</v>
      </c>
      <c r="I137" s="116">
        <v>0</v>
      </c>
      <c r="J137" s="121" t="s">
        <v>765</v>
      </c>
      <c r="K137" s="121" t="s">
        <v>766</v>
      </c>
      <c r="L137" s="122" t="s">
        <v>586</v>
      </c>
    </row>
    <row r="138" spans="1:12" ht="28.8" outlineLevel="2" x14ac:dyDescent="0.3">
      <c r="A138" s="115" t="s">
        <v>7</v>
      </c>
      <c r="B138" s="115" t="s">
        <v>53</v>
      </c>
      <c r="C138" s="115" t="s">
        <v>597</v>
      </c>
      <c r="D138" s="115" t="s">
        <v>333</v>
      </c>
      <c r="E138" s="116">
        <v>48934</v>
      </c>
      <c r="F138" s="116">
        <v>6702</v>
      </c>
      <c r="G138" s="116">
        <v>6702</v>
      </c>
      <c r="H138" s="116">
        <v>42232</v>
      </c>
      <c r="I138" s="116">
        <v>0</v>
      </c>
      <c r="J138" s="121" t="s">
        <v>765</v>
      </c>
      <c r="K138" s="121" t="s">
        <v>766</v>
      </c>
      <c r="L138" s="122" t="s">
        <v>586</v>
      </c>
    </row>
    <row r="139" spans="1:12" ht="28.8" outlineLevel="2" x14ac:dyDescent="0.3">
      <c r="A139" s="115" t="s">
        <v>7</v>
      </c>
      <c r="B139" s="115" t="s">
        <v>53</v>
      </c>
      <c r="C139" s="115" t="s">
        <v>597</v>
      </c>
      <c r="D139" s="115" t="s">
        <v>242</v>
      </c>
      <c r="E139" s="116">
        <v>90000</v>
      </c>
      <c r="F139" s="116">
        <v>0</v>
      </c>
      <c r="G139" s="116">
        <v>0</v>
      </c>
      <c r="H139" s="116">
        <v>90000</v>
      </c>
      <c r="I139" s="116">
        <v>0</v>
      </c>
      <c r="J139" s="121" t="s">
        <v>765</v>
      </c>
      <c r="K139" s="121" t="s">
        <v>766</v>
      </c>
      <c r="L139" s="122" t="s">
        <v>586</v>
      </c>
    </row>
    <row r="140" spans="1:12" ht="28.8" outlineLevel="2" x14ac:dyDescent="0.3">
      <c r="A140" s="115" t="s">
        <v>7</v>
      </c>
      <c r="B140" s="115" t="s">
        <v>53</v>
      </c>
      <c r="C140" s="115" t="s">
        <v>597</v>
      </c>
      <c r="D140" s="115" t="s">
        <v>320</v>
      </c>
      <c r="E140" s="116">
        <v>2594.5500000000002</v>
      </c>
      <c r="F140" s="116">
        <v>0</v>
      </c>
      <c r="G140" s="116">
        <v>0</v>
      </c>
      <c r="H140" s="116">
        <v>2595</v>
      </c>
      <c r="I140" s="116">
        <v>0.44999999999981799</v>
      </c>
      <c r="J140" s="121" t="s">
        <v>657</v>
      </c>
      <c r="K140" s="121" t="s">
        <v>658</v>
      </c>
      <c r="L140" s="122" t="s">
        <v>586</v>
      </c>
    </row>
    <row r="141" spans="1:12" ht="28.8" outlineLevel="2" x14ac:dyDescent="0.3">
      <c r="A141" s="115" t="s">
        <v>7</v>
      </c>
      <c r="B141" s="115" t="s">
        <v>53</v>
      </c>
      <c r="C141" s="115" t="s">
        <v>597</v>
      </c>
      <c r="D141" s="115" t="s">
        <v>402</v>
      </c>
      <c r="E141" s="116">
        <v>100000</v>
      </c>
      <c r="F141" s="116">
        <v>0</v>
      </c>
      <c r="G141" s="116">
        <v>0</v>
      </c>
      <c r="H141" s="116">
        <v>100000</v>
      </c>
      <c r="I141" s="116">
        <v>0</v>
      </c>
      <c r="J141" s="121" t="s">
        <v>765</v>
      </c>
      <c r="K141" s="121" t="s">
        <v>766</v>
      </c>
      <c r="L141" s="122" t="s">
        <v>586</v>
      </c>
    </row>
    <row r="142" spans="1:12" ht="28.8" outlineLevel="2" x14ac:dyDescent="0.3">
      <c r="A142" s="115" t="s">
        <v>7</v>
      </c>
      <c r="B142" s="115" t="s">
        <v>53</v>
      </c>
      <c r="C142" s="115" t="s">
        <v>597</v>
      </c>
      <c r="D142" s="115" t="s">
        <v>276</v>
      </c>
      <c r="E142" s="116">
        <v>72888.816000000006</v>
      </c>
      <c r="F142" s="116">
        <v>72888.816000000006</v>
      </c>
      <c r="G142" s="116">
        <v>69417.919999999998</v>
      </c>
      <c r="H142" s="116">
        <v>3470.8960000000102</v>
      </c>
      <c r="I142" s="116">
        <v>-3470.8960000000102</v>
      </c>
      <c r="J142" s="117" t="s">
        <v>825</v>
      </c>
      <c r="K142" s="117" t="s">
        <v>826</v>
      </c>
      <c r="L142" s="118" t="s">
        <v>578</v>
      </c>
    </row>
    <row r="143" spans="1:12" ht="28.8" outlineLevel="2" x14ac:dyDescent="0.3">
      <c r="A143" s="115" t="s">
        <v>7</v>
      </c>
      <c r="B143" s="115" t="s">
        <v>53</v>
      </c>
      <c r="C143" s="115" t="s">
        <v>597</v>
      </c>
      <c r="D143" s="115" t="s">
        <v>347</v>
      </c>
      <c r="E143" s="116">
        <v>139031.20000000001</v>
      </c>
      <c r="F143" s="116">
        <v>34188</v>
      </c>
      <c r="G143" s="116">
        <v>34188</v>
      </c>
      <c r="H143" s="116">
        <v>103513.66666666701</v>
      </c>
      <c r="I143" s="116">
        <v>-1329.5333333333299</v>
      </c>
      <c r="J143" s="117" t="s">
        <v>827</v>
      </c>
      <c r="K143" s="117" t="s">
        <v>828</v>
      </c>
      <c r="L143" s="118" t="s">
        <v>578</v>
      </c>
    </row>
    <row r="144" spans="1:12" ht="28.8" outlineLevel="2" x14ac:dyDescent="0.3">
      <c r="A144" s="115" t="s">
        <v>7</v>
      </c>
      <c r="B144" s="115" t="s">
        <v>53</v>
      </c>
      <c r="C144" s="115" t="s">
        <v>597</v>
      </c>
      <c r="D144" s="115" t="s">
        <v>298</v>
      </c>
      <c r="E144" s="116">
        <v>70432.698000000004</v>
      </c>
      <c r="F144" s="116">
        <v>600</v>
      </c>
      <c r="G144" s="116">
        <v>507.59</v>
      </c>
      <c r="H144" s="116">
        <v>69925.107999999993</v>
      </c>
      <c r="I144" s="116">
        <v>-92.410000000003507</v>
      </c>
      <c r="J144" s="117" t="s">
        <v>803</v>
      </c>
      <c r="K144" s="117" t="s">
        <v>804</v>
      </c>
      <c r="L144" s="118" t="s">
        <v>578</v>
      </c>
    </row>
    <row r="145" spans="1:12" ht="28.8" outlineLevel="2" x14ac:dyDescent="0.3">
      <c r="A145" s="115" t="s">
        <v>7</v>
      </c>
      <c r="B145" s="115" t="s">
        <v>53</v>
      </c>
      <c r="C145" s="115" t="s">
        <v>597</v>
      </c>
      <c r="D145" s="115" t="s">
        <v>215</v>
      </c>
      <c r="E145" s="116">
        <v>440671.35</v>
      </c>
      <c r="F145" s="116">
        <v>36234.199999999997</v>
      </c>
      <c r="G145" s="116">
        <v>36234.199999999997</v>
      </c>
      <c r="H145" s="116">
        <v>404436.8</v>
      </c>
      <c r="I145" s="116">
        <v>-0.34999999997671699</v>
      </c>
      <c r="J145" s="121" t="s">
        <v>657</v>
      </c>
      <c r="K145" s="121" t="s">
        <v>658</v>
      </c>
      <c r="L145" s="122" t="s">
        <v>586</v>
      </c>
    </row>
    <row r="146" spans="1:12" ht="28.8" outlineLevel="1" x14ac:dyDescent="0.3">
      <c r="A146" s="119" t="s">
        <v>7</v>
      </c>
      <c r="B146" s="119" t="s">
        <v>504</v>
      </c>
      <c r="C146" s="115" t="s">
        <v>597</v>
      </c>
      <c r="D146" s="119"/>
      <c r="E146" s="120">
        <f>SUM(E133:E145)</f>
        <v>1152599.6140000001</v>
      </c>
      <c r="F146" s="120">
        <f>SUM(F133:F145)</f>
        <v>174913.016</v>
      </c>
      <c r="G146" s="120">
        <f>SUM(G133:G145)</f>
        <v>171349.70999999996</v>
      </c>
      <c r="H146" s="120">
        <f>SUM(H133:H145)</f>
        <v>979920.47066666698</v>
      </c>
      <c r="I146" s="120">
        <f>SUM(I133:I145)</f>
        <v>-4892.7393333333202</v>
      </c>
      <c r="J146" s="117" t="s">
        <v>829</v>
      </c>
      <c r="K146" s="117" t="s">
        <v>830</v>
      </c>
      <c r="L146" s="118" t="s">
        <v>578</v>
      </c>
    </row>
    <row r="147" spans="1:12" ht="72" x14ac:dyDescent="0.3">
      <c r="A147" s="119" t="s">
        <v>831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832</v>
      </c>
      <c r="K147" s="123" t="s">
        <v>833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M15"/>
  <sheetViews>
    <sheetView workbookViewId="0">
      <pane xSplit="1" ySplit="2" topLeftCell="B3" activePane="bottomRight" state="frozen"/>
      <selection pane="topRight" activeCell="B1" sqref="B1"/>
      <selection pane="bottomLeft" activeCell="A3" sqref="A3"/>
      <selection pane="bottomRight" activeCell="F7" sqref="F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s>
  <sheetData>
    <row r="1" spans="1:13" x14ac:dyDescent="0.3">
      <c r="B1" s="8" t="s">
        <v>505</v>
      </c>
    </row>
    <row r="2" spans="1:13" x14ac:dyDescent="0.3">
      <c r="A2" s="8" t="s">
        <v>54</v>
      </c>
      <c r="B2" t="s">
        <v>506</v>
      </c>
      <c r="C2" t="s">
        <v>507</v>
      </c>
      <c r="D2" t="s">
        <v>525</v>
      </c>
      <c r="E2" t="s">
        <v>508</v>
      </c>
      <c r="F2" t="s">
        <v>509</v>
      </c>
      <c r="G2" t="s">
        <v>526</v>
      </c>
      <c r="H2" t="s">
        <v>510</v>
      </c>
      <c r="I2" t="s">
        <v>511</v>
      </c>
      <c r="J2" t="s">
        <v>527</v>
      </c>
      <c r="K2" t="s">
        <v>850</v>
      </c>
      <c r="L2" t="s">
        <v>851</v>
      </c>
      <c r="M2" t="s">
        <v>852</v>
      </c>
    </row>
    <row r="3" spans="1:13" x14ac:dyDescent="0.3">
      <c r="A3" t="s">
        <v>48</v>
      </c>
      <c r="B3" s="102">
        <v>858455.56333333324</v>
      </c>
      <c r="C3" s="102">
        <v>858344.35333333327</v>
      </c>
      <c r="D3" s="102">
        <v>-111.21000000000276</v>
      </c>
      <c r="E3" s="102">
        <v>929854.57333333325</v>
      </c>
      <c r="F3" s="102">
        <v>932993.91333333333</v>
      </c>
      <c r="G3" s="102">
        <v>3139.3399999999965</v>
      </c>
      <c r="H3" s="102">
        <v>892596.47333333339</v>
      </c>
      <c r="I3" s="102">
        <v>911099.73333333328</v>
      </c>
      <c r="J3" s="102">
        <v>18503.259999999995</v>
      </c>
      <c r="K3" s="102">
        <v>843709.32333333325</v>
      </c>
      <c r="L3" s="102">
        <v>726231.58083333331</v>
      </c>
      <c r="M3" s="102">
        <v>-117477.74250000001</v>
      </c>
    </row>
    <row r="4" spans="1:13" x14ac:dyDescent="0.3">
      <c r="A4" t="s">
        <v>49</v>
      </c>
      <c r="B4" s="102">
        <v>1074720.8158333334</v>
      </c>
      <c r="C4" s="102">
        <v>1094660.7091666665</v>
      </c>
      <c r="D4" s="102">
        <v>19939.893333333359</v>
      </c>
      <c r="E4" s="102">
        <v>1084523.1558333335</v>
      </c>
      <c r="F4" s="102">
        <v>1042923.5591666667</v>
      </c>
      <c r="G4" s="102">
        <v>-41599.596666666599</v>
      </c>
      <c r="H4" s="102">
        <v>1135563.8694166664</v>
      </c>
      <c r="I4" s="102">
        <v>1056711.2466666668</v>
      </c>
      <c r="J4" s="102">
        <v>-78852.622749999937</v>
      </c>
      <c r="K4" s="102">
        <v>1116657.6494166667</v>
      </c>
      <c r="L4" s="102">
        <v>983916.60836666671</v>
      </c>
      <c r="M4" s="102">
        <v>-132741.04105000006</v>
      </c>
    </row>
    <row r="5" spans="1:13" x14ac:dyDescent="0.3">
      <c r="A5" t="s">
        <v>50</v>
      </c>
      <c r="B5" s="102">
        <v>1023638.1975</v>
      </c>
      <c r="C5" s="102">
        <v>1055969.0658333334</v>
      </c>
      <c r="D5" s="102">
        <v>32330.868333333321</v>
      </c>
      <c r="E5" s="102">
        <v>1007940.0475</v>
      </c>
      <c r="F5" s="102">
        <v>965695.13583333336</v>
      </c>
      <c r="G5" s="102">
        <v>-42244.911666666674</v>
      </c>
      <c r="H5" s="102">
        <v>1093951.0474999999</v>
      </c>
      <c r="I5" s="102">
        <v>981751.3058333334</v>
      </c>
      <c r="J5" s="102">
        <v>-112199.74166666667</v>
      </c>
      <c r="K5" s="102">
        <v>1573836.2974999999</v>
      </c>
      <c r="L5" s="102">
        <v>1204325.7291666667</v>
      </c>
      <c r="M5" s="102">
        <v>-369510.56833333336</v>
      </c>
    </row>
    <row r="6" spans="1:13" x14ac:dyDescent="0.3">
      <c r="A6" t="s">
        <v>51</v>
      </c>
      <c r="B6" s="102">
        <v>94578.75</v>
      </c>
      <c r="C6" s="102">
        <v>89378.75</v>
      </c>
      <c r="D6" s="102">
        <v>-5200</v>
      </c>
      <c r="E6" s="102">
        <v>67318.75</v>
      </c>
      <c r="F6" s="102">
        <v>66118.75</v>
      </c>
      <c r="G6" s="102">
        <v>-1200</v>
      </c>
      <c r="H6" s="102">
        <v>101152.08333333333</v>
      </c>
      <c r="I6" s="102">
        <v>56318.75</v>
      </c>
      <c r="J6" s="102">
        <v>-44833.333333333328</v>
      </c>
      <c r="K6" s="102">
        <v>114152.08333333333</v>
      </c>
      <c r="L6" s="102">
        <v>95718.75</v>
      </c>
      <c r="M6" s="102">
        <v>-18433.333333333332</v>
      </c>
    </row>
    <row r="7" spans="1:13" x14ac:dyDescent="0.3">
      <c r="A7" t="s">
        <v>52</v>
      </c>
      <c r="B7" s="102">
        <v>154283.63833333334</v>
      </c>
      <c r="C7" s="102">
        <v>148008.06666666665</v>
      </c>
      <c r="D7" s="102">
        <v>-6275.5716666666685</v>
      </c>
      <c r="E7" s="102">
        <v>129590.65833333335</v>
      </c>
      <c r="F7" s="102">
        <v>121927.08666666667</v>
      </c>
      <c r="G7" s="102">
        <v>-7663.5716666666685</v>
      </c>
      <c r="H7" s="102">
        <v>155095.65833333335</v>
      </c>
      <c r="I7" s="102">
        <v>151273.08666666667</v>
      </c>
      <c r="J7" s="102">
        <v>-3822.5716666666685</v>
      </c>
      <c r="K7" s="102">
        <v>418708.36166666669</v>
      </c>
      <c r="L7" s="102">
        <v>172376.14</v>
      </c>
      <c r="M7" s="102">
        <v>-246332.22166666668</v>
      </c>
    </row>
    <row r="8" spans="1:13" x14ac:dyDescent="0.3">
      <c r="A8" t="s">
        <v>53</v>
      </c>
      <c r="B8" s="102">
        <v>134418.75</v>
      </c>
      <c r="C8" s="102">
        <v>119155.93999999999</v>
      </c>
      <c r="D8" s="102">
        <v>-15262.810000000003</v>
      </c>
      <c r="E8" s="102">
        <v>98333.75</v>
      </c>
      <c r="F8" s="102">
        <v>80152.850000000006</v>
      </c>
      <c r="G8" s="102">
        <v>-18180.899999999998</v>
      </c>
      <c r="H8" s="102">
        <v>211199.766</v>
      </c>
      <c r="I8" s="102">
        <v>199385.62</v>
      </c>
      <c r="J8" s="102">
        <v>-11814.146000000004</v>
      </c>
      <c r="K8" s="102">
        <v>143302.95000000001</v>
      </c>
      <c r="L8" s="102">
        <v>121237.48000000001</v>
      </c>
      <c r="M8" s="102">
        <v>-22065.469999999998</v>
      </c>
    </row>
    <row r="9" spans="1:13" x14ac:dyDescent="0.3">
      <c r="A9" t="s">
        <v>8</v>
      </c>
      <c r="B9" s="102">
        <v>3340095.7149999999</v>
      </c>
      <c r="C9" s="102">
        <v>3365516.8849999993</v>
      </c>
      <c r="D9" s="102">
        <v>25421.170000000006</v>
      </c>
      <c r="E9" s="102">
        <v>3317560.9350000001</v>
      </c>
      <c r="F9" s="102">
        <v>3209811.2950000004</v>
      </c>
      <c r="G9" s="102">
        <v>-107749.63999999994</v>
      </c>
      <c r="H9" s="102">
        <v>3589558.8979166662</v>
      </c>
      <c r="I9" s="102">
        <v>3356539.7425000006</v>
      </c>
      <c r="J9" s="102">
        <v>-233019.15541666659</v>
      </c>
      <c r="K9" s="102">
        <v>4210366.6652500005</v>
      </c>
      <c r="L9" s="102">
        <v>3303806.288366667</v>
      </c>
      <c r="M9" s="102">
        <v>-906560.37688333343</v>
      </c>
    </row>
    <row r="12" spans="1:13" ht="15" thickBot="1" x14ac:dyDescent="0.35"/>
    <row r="13" spans="1:13" ht="14.4" customHeight="1" x14ac:dyDescent="0.3">
      <c r="F13" s="163">
        <f>(GETPIVOTDATA("Sum of Jan Opp/Risk",$A$1)+GETPIVOTDATA("Sum of Feb Opp./Risk",$A$1)+GETPIVOTDATA("Sum of Mar Opp./Risk",$A$1)+GETPIVOTDATA("Sum of Apr Opp./Risk",$A$1))/1000000</f>
        <v>-1.2219080022999997</v>
      </c>
      <c r="G13" s="166" t="s">
        <v>560</v>
      </c>
      <c r="H13" s="167"/>
      <c r="I13" s="167"/>
      <c r="J13" s="168"/>
    </row>
    <row r="14" spans="1:13" x14ac:dyDescent="0.3">
      <c r="F14" s="164"/>
      <c r="G14" s="169"/>
      <c r="H14" s="170"/>
      <c r="I14" s="170"/>
      <c r="J14" s="171"/>
    </row>
    <row r="15" spans="1:13" ht="15" thickBot="1" x14ac:dyDescent="0.35">
      <c r="F15" s="165"/>
      <c r="G15" s="172"/>
      <c r="H15" s="173"/>
      <c r="I15" s="173"/>
      <c r="J15" s="174"/>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4" x14ac:dyDescent="0.3"/>
  <cols>
    <col min="1" max="1" width="42.77734375" bestFit="1" customWidth="1"/>
    <col min="2" max="2" width="24.109375" bestFit="1" customWidth="1"/>
    <col min="3" max="3" width="23.88671875" bestFit="1" customWidth="1"/>
    <col min="4" max="4" width="17" bestFit="1" customWidth="1"/>
    <col min="5" max="6" width="20.109375" bestFit="1" customWidth="1"/>
    <col min="7" max="7" width="10.109375" bestFit="1" customWidth="1"/>
    <col min="8" max="8" width="9.21875" bestFit="1" customWidth="1"/>
  </cols>
  <sheetData>
    <row r="2" spans="1:4" x14ac:dyDescent="0.3">
      <c r="A2" s="8" t="s">
        <v>42</v>
      </c>
      <c r="B2" t="s">
        <v>493</v>
      </c>
    </row>
    <row r="4" spans="1:4" x14ac:dyDescent="0.3">
      <c r="A4" s="8" t="s">
        <v>55</v>
      </c>
      <c r="B4" t="s">
        <v>0</v>
      </c>
      <c r="C4" t="s">
        <v>45</v>
      </c>
    </row>
    <row r="5" spans="1:4" hidden="1" x14ac:dyDescent="0.3">
      <c r="A5" t="s">
        <v>400</v>
      </c>
      <c r="B5" s="6">
        <v>262896</v>
      </c>
      <c r="C5" s="6">
        <v>0</v>
      </c>
    </row>
    <row r="6" spans="1:4" hidden="1" x14ac:dyDescent="0.3">
      <c r="A6" t="s">
        <v>322</v>
      </c>
      <c r="B6" s="6">
        <v>191646</v>
      </c>
      <c r="C6" s="6">
        <v>-49630.33249999999</v>
      </c>
    </row>
    <row r="7" spans="1:4" hidden="1" x14ac:dyDescent="0.3">
      <c r="A7" t="s">
        <v>407</v>
      </c>
      <c r="B7" s="6">
        <v>1778445.9000000001</v>
      </c>
      <c r="C7" s="6">
        <v>0</v>
      </c>
    </row>
    <row r="8" spans="1:4" hidden="1" x14ac:dyDescent="0.3">
      <c r="A8" t="s">
        <v>358</v>
      </c>
      <c r="B8" s="6">
        <v>292</v>
      </c>
      <c r="C8" s="6">
        <v>0</v>
      </c>
    </row>
    <row r="9" spans="1:4" hidden="1" x14ac:dyDescent="0.3">
      <c r="A9" t="s">
        <v>422</v>
      </c>
      <c r="B9" s="6">
        <v>1244018</v>
      </c>
      <c r="C9" s="6">
        <v>0</v>
      </c>
    </row>
    <row r="10" spans="1:4" x14ac:dyDescent="0.3">
      <c r="A10" t="s">
        <v>73</v>
      </c>
      <c r="B10" s="6">
        <v>3649280</v>
      </c>
      <c r="C10" s="6">
        <v>-273943</v>
      </c>
      <c r="D10" t="s">
        <v>495</v>
      </c>
    </row>
    <row r="11" spans="1:4" x14ac:dyDescent="0.3">
      <c r="A11" t="s">
        <v>121</v>
      </c>
      <c r="B11" s="6">
        <v>100000</v>
      </c>
      <c r="C11" s="6">
        <v>-7725</v>
      </c>
      <c r="D11" t="s">
        <v>495</v>
      </c>
    </row>
    <row r="12" spans="1:4" hidden="1" x14ac:dyDescent="0.3">
      <c r="A12" t="s">
        <v>368</v>
      </c>
      <c r="B12" s="6">
        <v>4409</v>
      </c>
      <c r="C12" s="6">
        <v>0</v>
      </c>
    </row>
    <row r="13" spans="1:4" hidden="1" x14ac:dyDescent="0.3">
      <c r="A13" t="s">
        <v>58</v>
      </c>
      <c r="B13" s="6">
        <v>36345</v>
      </c>
      <c r="C13" s="6">
        <v>0</v>
      </c>
    </row>
    <row r="14" spans="1:4" hidden="1" x14ac:dyDescent="0.3">
      <c r="A14" t="s">
        <v>59</v>
      </c>
      <c r="B14" s="6">
        <v>4230</v>
      </c>
      <c r="C14" s="6">
        <v>0</v>
      </c>
    </row>
    <row r="15" spans="1:4" hidden="1" x14ac:dyDescent="0.3">
      <c r="A15" t="s">
        <v>60</v>
      </c>
      <c r="B15" s="6">
        <v>2863</v>
      </c>
      <c r="C15" s="6">
        <v>0</v>
      </c>
    </row>
    <row r="16" spans="1:4" x14ac:dyDescent="0.3">
      <c r="A16" t="s">
        <v>159</v>
      </c>
      <c r="B16" s="6">
        <v>14886</v>
      </c>
      <c r="C16" s="86">
        <v>-1820.92</v>
      </c>
    </row>
    <row r="17" spans="1:4" hidden="1" x14ac:dyDescent="0.3">
      <c r="A17" t="s">
        <v>198</v>
      </c>
      <c r="B17" s="6">
        <v>1211114.9924999999</v>
      </c>
      <c r="C17" s="6">
        <v>-10440.802499999976</v>
      </c>
    </row>
    <row r="18" spans="1:4" hidden="1" x14ac:dyDescent="0.3">
      <c r="A18" t="s">
        <v>324</v>
      </c>
      <c r="B18" s="6">
        <v>50400</v>
      </c>
      <c r="C18" s="6">
        <v>0</v>
      </c>
    </row>
    <row r="19" spans="1:4" x14ac:dyDescent="0.3">
      <c r="A19" t="s">
        <v>222</v>
      </c>
      <c r="B19" s="6">
        <v>131625</v>
      </c>
      <c r="C19" s="86">
        <v>-390.75</v>
      </c>
    </row>
    <row r="20" spans="1:4" x14ac:dyDescent="0.3">
      <c r="A20" t="s">
        <v>57</v>
      </c>
      <c r="B20" s="6">
        <v>1555160.9220000003</v>
      </c>
      <c r="C20" s="6">
        <v>-26613.777416666631</v>
      </c>
      <c r="D20" t="s">
        <v>495</v>
      </c>
    </row>
    <row r="21" spans="1:4" hidden="1" x14ac:dyDescent="0.3">
      <c r="A21" t="s">
        <v>61</v>
      </c>
      <c r="B21" s="6">
        <v>1674</v>
      </c>
      <c r="C21" s="6">
        <v>-1674</v>
      </c>
    </row>
    <row r="22" spans="1:4" hidden="1" x14ac:dyDescent="0.3">
      <c r="A22" t="s">
        <v>170</v>
      </c>
      <c r="B22" s="6">
        <v>236250</v>
      </c>
      <c r="C22" s="6">
        <v>0</v>
      </c>
    </row>
    <row r="23" spans="1:4" hidden="1" x14ac:dyDescent="0.3">
      <c r="A23" t="s">
        <v>308</v>
      </c>
      <c r="B23" s="6">
        <v>32760</v>
      </c>
      <c r="C23" s="6">
        <v>0</v>
      </c>
    </row>
    <row r="24" spans="1:4" hidden="1" x14ac:dyDescent="0.3">
      <c r="A24" t="s">
        <v>234</v>
      </c>
      <c r="B24" s="6">
        <v>10080</v>
      </c>
      <c r="C24" s="6">
        <v>0</v>
      </c>
    </row>
    <row r="25" spans="1:4" hidden="1" x14ac:dyDescent="0.3">
      <c r="A25" t="s">
        <v>313</v>
      </c>
      <c r="B25" s="6">
        <v>139684</v>
      </c>
      <c r="C25" s="6">
        <v>-2.9103830456733704E-11</v>
      </c>
    </row>
    <row r="26" spans="1:4" hidden="1" x14ac:dyDescent="0.3">
      <c r="A26" t="s">
        <v>318</v>
      </c>
      <c r="B26" s="6">
        <v>3150</v>
      </c>
      <c r="C26" s="6">
        <v>0</v>
      </c>
    </row>
    <row r="27" spans="1:4" hidden="1" x14ac:dyDescent="0.3">
      <c r="A27" t="s">
        <v>419</v>
      </c>
      <c r="B27" s="6">
        <v>0</v>
      </c>
      <c r="C27" s="6">
        <v>0</v>
      </c>
    </row>
    <row r="28" spans="1:4" x14ac:dyDescent="0.3">
      <c r="A28" t="s">
        <v>181</v>
      </c>
      <c r="B28" s="6">
        <v>3986876.1</v>
      </c>
      <c r="C28" s="86">
        <v>-306773.12666666671</v>
      </c>
    </row>
    <row r="29" spans="1:4" hidden="1" x14ac:dyDescent="0.3">
      <c r="A29" t="s">
        <v>62</v>
      </c>
      <c r="B29" s="6">
        <v>7043</v>
      </c>
      <c r="C29" s="6">
        <v>0</v>
      </c>
    </row>
    <row r="30" spans="1:4" x14ac:dyDescent="0.3">
      <c r="A30" t="s">
        <v>63</v>
      </c>
      <c r="B30" s="6">
        <v>35314</v>
      </c>
      <c r="C30" s="6">
        <v>0</v>
      </c>
    </row>
    <row r="31" spans="1:4" hidden="1" x14ac:dyDescent="0.3">
      <c r="A31" t="s">
        <v>185</v>
      </c>
      <c r="B31" s="6">
        <v>218880</v>
      </c>
      <c r="C31" s="6">
        <v>-4676</v>
      </c>
    </row>
    <row r="32" spans="1:4" hidden="1" x14ac:dyDescent="0.3">
      <c r="A32" t="s">
        <v>304</v>
      </c>
      <c r="B32" s="6">
        <v>117539.0055</v>
      </c>
      <c r="C32" s="6">
        <v>-237.57549999999901</v>
      </c>
    </row>
    <row r="33" spans="1:4" hidden="1" x14ac:dyDescent="0.3">
      <c r="A33" t="s">
        <v>75</v>
      </c>
      <c r="B33" s="6">
        <v>5250</v>
      </c>
      <c r="C33" s="6">
        <v>0</v>
      </c>
    </row>
    <row r="34" spans="1:4" hidden="1" x14ac:dyDescent="0.3">
      <c r="A34" t="s">
        <v>333</v>
      </c>
      <c r="B34" s="6">
        <v>48934</v>
      </c>
      <c r="C34" s="6">
        <v>-1</v>
      </c>
    </row>
    <row r="35" spans="1:4" hidden="1" x14ac:dyDescent="0.3">
      <c r="A35" t="s">
        <v>56</v>
      </c>
      <c r="B35" s="6">
        <v>3667396</v>
      </c>
      <c r="C35" s="6">
        <v>0</v>
      </c>
    </row>
    <row r="36" spans="1:4" hidden="1" x14ac:dyDescent="0.3">
      <c r="A36" t="s">
        <v>236</v>
      </c>
      <c r="B36" s="6">
        <v>238897.86250000002</v>
      </c>
      <c r="C36" s="6">
        <v>-6029.2125000000233</v>
      </c>
    </row>
    <row r="37" spans="1:4" hidden="1" x14ac:dyDescent="0.3">
      <c r="A37" t="s">
        <v>370</v>
      </c>
      <c r="B37" s="6">
        <v>359</v>
      </c>
      <c r="C37" s="6">
        <v>0</v>
      </c>
    </row>
    <row r="38" spans="1:4" hidden="1" x14ac:dyDescent="0.3">
      <c r="A38" t="s">
        <v>133</v>
      </c>
      <c r="B38" s="6">
        <v>14700</v>
      </c>
      <c r="C38" s="6">
        <v>0</v>
      </c>
    </row>
    <row r="39" spans="1:4" hidden="1" x14ac:dyDescent="0.3">
      <c r="A39" t="s">
        <v>360</v>
      </c>
      <c r="B39" s="6">
        <v>2900</v>
      </c>
      <c r="C39" s="6">
        <v>0</v>
      </c>
    </row>
    <row r="40" spans="1:4" x14ac:dyDescent="0.3">
      <c r="A40" t="s">
        <v>240</v>
      </c>
      <c r="B40" s="6">
        <v>12600</v>
      </c>
      <c r="C40" s="86">
        <v>-600</v>
      </c>
    </row>
    <row r="41" spans="1:4" x14ac:dyDescent="0.3">
      <c r="A41" t="s">
        <v>362</v>
      </c>
      <c r="B41" s="6">
        <v>8400</v>
      </c>
      <c r="C41" s="86">
        <v>-400</v>
      </c>
    </row>
    <row r="42" spans="1:4" hidden="1" x14ac:dyDescent="0.3">
      <c r="A42" t="s">
        <v>242</v>
      </c>
      <c r="B42" s="6">
        <v>90000</v>
      </c>
      <c r="C42" s="6">
        <v>0</v>
      </c>
    </row>
    <row r="43" spans="1:4" x14ac:dyDescent="0.3">
      <c r="A43" t="s">
        <v>208</v>
      </c>
      <c r="B43" s="6">
        <v>4683010.9241500003</v>
      </c>
      <c r="C43" s="86">
        <v>-1114624.96165</v>
      </c>
    </row>
    <row r="44" spans="1:4" hidden="1" x14ac:dyDescent="0.3">
      <c r="A44" t="s">
        <v>248</v>
      </c>
      <c r="B44" s="6">
        <v>1260</v>
      </c>
      <c r="C44" s="6">
        <v>0</v>
      </c>
    </row>
    <row r="45" spans="1:4" x14ac:dyDescent="0.3">
      <c r="A45" t="s">
        <v>342</v>
      </c>
      <c r="B45" s="6">
        <v>940800</v>
      </c>
      <c r="C45" s="6">
        <v>-17090</v>
      </c>
      <c r="D45" t="s">
        <v>495</v>
      </c>
    </row>
    <row r="46" spans="1:4" hidden="1" x14ac:dyDescent="0.3">
      <c r="A46" t="s">
        <v>64</v>
      </c>
      <c r="B46" s="6">
        <v>18865</v>
      </c>
      <c r="C46" s="6">
        <v>0</v>
      </c>
    </row>
    <row r="47" spans="1:4" x14ac:dyDescent="0.3">
      <c r="A47" t="s">
        <v>65</v>
      </c>
      <c r="B47" s="6">
        <v>25439</v>
      </c>
      <c r="C47" s="6">
        <v>-402.59666666666453</v>
      </c>
    </row>
    <row r="48" spans="1:4" hidden="1" x14ac:dyDescent="0.3">
      <c r="A48" t="s">
        <v>320</v>
      </c>
      <c r="B48" s="6">
        <v>2594.5500000000002</v>
      </c>
      <c r="C48" s="6">
        <v>0</v>
      </c>
    </row>
    <row r="49" spans="1:3" x14ac:dyDescent="0.3">
      <c r="A49" t="s">
        <v>66</v>
      </c>
      <c r="B49" s="6">
        <v>34537</v>
      </c>
      <c r="C49" s="6">
        <v>-546.53333333333285</v>
      </c>
    </row>
    <row r="50" spans="1:3" hidden="1" x14ac:dyDescent="0.3">
      <c r="A50" t="s">
        <v>76</v>
      </c>
      <c r="B50" s="6">
        <v>27790.5285</v>
      </c>
      <c r="C50" s="6">
        <v>0</v>
      </c>
    </row>
    <row r="51" spans="1:3" hidden="1" x14ac:dyDescent="0.3">
      <c r="A51" t="s">
        <v>256</v>
      </c>
      <c r="B51" s="6">
        <v>2751</v>
      </c>
      <c r="C51" s="6">
        <v>0</v>
      </c>
    </row>
    <row r="52" spans="1:3" x14ac:dyDescent="0.3">
      <c r="A52" t="s">
        <v>334</v>
      </c>
      <c r="B52" s="6">
        <v>4730000</v>
      </c>
      <c r="C52" s="86">
        <v>-339859.7566666659</v>
      </c>
    </row>
    <row r="53" spans="1:3" hidden="1" x14ac:dyDescent="0.3">
      <c r="A53" t="s">
        <v>67</v>
      </c>
      <c r="B53" s="6">
        <v>10552298</v>
      </c>
      <c r="C53" s="6">
        <v>-22605.289999999106</v>
      </c>
    </row>
    <row r="54" spans="1:3" x14ac:dyDescent="0.3">
      <c r="A54" t="s">
        <v>77</v>
      </c>
      <c r="B54" s="6">
        <v>307613.80000000005</v>
      </c>
      <c r="C54" s="86">
        <v>-3630.7500000000582</v>
      </c>
    </row>
    <row r="55" spans="1:3" hidden="1" x14ac:dyDescent="0.3">
      <c r="A55" t="s">
        <v>176</v>
      </c>
      <c r="B55" s="6">
        <v>141750</v>
      </c>
      <c r="C55" s="6">
        <v>0</v>
      </c>
    </row>
    <row r="56" spans="1:3" x14ac:dyDescent="0.3">
      <c r="A56" t="s">
        <v>74</v>
      </c>
      <c r="B56" s="6">
        <v>631511.9645</v>
      </c>
      <c r="C56" s="86">
        <v>-32226.404500000004</v>
      </c>
    </row>
    <row r="57" spans="1:3" hidden="1" x14ac:dyDescent="0.3">
      <c r="A57" t="s">
        <v>177</v>
      </c>
      <c r="B57" s="6">
        <v>17099</v>
      </c>
      <c r="C57" s="6">
        <v>0</v>
      </c>
    </row>
    <row r="58" spans="1:3" x14ac:dyDescent="0.3">
      <c r="A58" t="s">
        <v>410</v>
      </c>
      <c r="B58" s="6">
        <v>298544.40000000002</v>
      </c>
      <c r="C58" s="86">
        <v>-14216.030000000086</v>
      </c>
    </row>
    <row r="59" spans="1:3" hidden="1" x14ac:dyDescent="0.3">
      <c r="A59" t="s">
        <v>402</v>
      </c>
      <c r="B59" s="6">
        <v>100000</v>
      </c>
      <c r="C59" s="6">
        <v>0</v>
      </c>
    </row>
    <row r="60" spans="1:3" hidden="1" x14ac:dyDescent="0.3">
      <c r="A60" t="s">
        <v>272</v>
      </c>
      <c r="B60" s="6">
        <v>8435.7000000000007</v>
      </c>
      <c r="C60" s="6">
        <v>0</v>
      </c>
    </row>
    <row r="61" spans="1:3" hidden="1" x14ac:dyDescent="0.3">
      <c r="A61" t="s">
        <v>68</v>
      </c>
      <c r="B61" s="6">
        <v>52500</v>
      </c>
      <c r="C61" s="6">
        <v>0</v>
      </c>
    </row>
    <row r="62" spans="1:3" hidden="1" x14ac:dyDescent="0.3">
      <c r="A62" t="s">
        <v>353</v>
      </c>
      <c r="B62" s="6">
        <v>411547.5</v>
      </c>
      <c r="C62" s="6">
        <v>0</v>
      </c>
    </row>
    <row r="63" spans="1:3" hidden="1" x14ac:dyDescent="0.3">
      <c r="A63" t="s">
        <v>166</v>
      </c>
      <c r="B63" s="6">
        <v>12200</v>
      </c>
      <c r="C63" s="6">
        <v>0</v>
      </c>
    </row>
    <row r="64" spans="1:3" hidden="1" x14ac:dyDescent="0.3">
      <c r="A64" t="s">
        <v>276</v>
      </c>
      <c r="B64" s="6">
        <v>72888.816000000006</v>
      </c>
      <c r="C64" s="6">
        <v>-3470.8960000000079</v>
      </c>
    </row>
    <row r="65" spans="1:3" x14ac:dyDescent="0.3">
      <c r="A65" t="s">
        <v>69</v>
      </c>
      <c r="B65" s="6">
        <v>3150</v>
      </c>
      <c r="C65" s="86">
        <v>-150</v>
      </c>
    </row>
    <row r="66" spans="1:3" hidden="1" x14ac:dyDescent="0.3">
      <c r="A66" t="s">
        <v>278</v>
      </c>
      <c r="B66" s="6">
        <v>51930.15</v>
      </c>
      <c r="C66" s="6">
        <v>0</v>
      </c>
    </row>
    <row r="67" spans="1:3" x14ac:dyDescent="0.3">
      <c r="A67" t="s">
        <v>347</v>
      </c>
      <c r="B67" s="6">
        <v>139031.20000000001</v>
      </c>
      <c r="C67" s="86">
        <v>-1329.5333333333256</v>
      </c>
    </row>
    <row r="68" spans="1:3" hidden="1" x14ac:dyDescent="0.3">
      <c r="A68" t="s">
        <v>70</v>
      </c>
      <c r="B68" s="6">
        <v>297450.41749999998</v>
      </c>
      <c r="C68" s="6">
        <v>-15282.789999999994</v>
      </c>
    </row>
    <row r="69" spans="1:3" hidden="1" x14ac:dyDescent="0.3">
      <c r="A69" t="s">
        <v>282</v>
      </c>
      <c r="B69" s="6">
        <v>39305.700000000004</v>
      </c>
      <c r="C69" s="6">
        <v>0</v>
      </c>
    </row>
    <row r="70" spans="1:3" hidden="1" x14ac:dyDescent="0.3">
      <c r="A70" t="s">
        <v>381</v>
      </c>
      <c r="B70" s="6">
        <v>160000</v>
      </c>
      <c r="C70" s="6">
        <v>0</v>
      </c>
    </row>
    <row r="71" spans="1:3" x14ac:dyDescent="0.3">
      <c r="A71" t="s">
        <v>298</v>
      </c>
      <c r="B71" s="6">
        <v>70432.698000000004</v>
      </c>
      <c r="C71" s="6">
        <v>-107.10000000000582</v>
      </c>
    </row>
    <row r="72" spans="1:3" hidden="1" x14ac:dyDescent="0.3">
      <c r="A72" t="s">
        <v>349</v>
      </c>
      <c r="B72" s="6">
        <v>-4000000</v>
      </c>
      <c r="C72" s="6">
        <v>-4.6566128730773926E-10</v>
      </c>
    </row>
    <row r="73" spans="1:3" hidden="1" x14ac:dyDescent="0.3">
      <c r="A73" t="s">
        <v>78</v>
      </c>
      <c r="B73" s="6">
        <v>5407.5</v>
      </c>
      <c r="C73" s="6">
        <v>0</v>
      </c>
    </row>
    <row r="74" spans="1:3" hidden="1" x14ac:dyDescent="0.3">
      <c r="A74" t="s">
        <v>284</v>
      </c>
      <c r="B74" s="6">
        <v>174825</v>
      </c>
      <c r="C74" s="6">
        <v>0</v>
      </c>
    </row>
    <row r="75" spans="1:3" x14ac:dyDescent="0.3">
      <c r="A75" t="s">
        <v>138</v>
      </c>
      <c r="B75" s="6">
        <v>175245.90000000002</v>
      </c>
      <c r="C75" s="6">
        <v>0</v>
      </c>
    </row>
    <row r="76" spans="1:3" x14ac:dyDescent="0.3">
      <c r="A76" t="s">
        <v>112</v>
      </c>
      <c r="B76" s="6">
        <v>259449</v>
      </c>
      <c r="C76" s="6">
        <v>-0.29000000000814907</v>
      </c>
    </row>
    <row r="77" spans="1:3" x14ac:dyDescent="0.3">
      <c r="A77" t="s">
        <v>371</v>
      </c>
      <c r="B77" s="6">
        <v>67470</v>
      </c>
      <c r="C77" s="6">
        <v>0</v>
      </c>
    </row>
    <row r="78" spans="1:3" hidden="1" x14ac:dyDescent="0.3">
      <c r="A78" t="s">
        <v>374</v>
      </c>
      <c r="B78" s="6">
        <v>25000</v>
      </c>
      <c r="C78" s="6">
        <v>0</v>
      </c>
    </row>
    <row r="79" spans="1:3" hidden="1" x14ac:dyDescent="0.3">
      <c r="A79" t="s">
        <v>71</v>
      </c>
      <c r="B79" s="6">
        <v>421713.07500000007</v>
      </c>
      <c r="C79" s="6">
        <v>-0.32166666677221656</v>
      </c>
    </row>
    <row r="80" spans="1:3" x14ac:dyDescent="0.3">
      <c r="A80" t="s">
        <v>191</v>
      </c>
      <c r="B80" s="6">
        <v>190000</v>
      </c>
      <c r="C80" s="86">
        <v>-73350</v>
      </c>
    </row>
    <row r="81" spans="1:3" hidden="1" x14ac:dyDescent="0.3">
      <c r="A81" t="s">
        <v>79</v>
      </c>
      <c r="B81" s="6">
        <v>61830</v>
      </c>
      <c r="C81" s="6">
        <v>0</v>
      </c>
    </row>
    <row r="82" spans="1:3" hidden="1" x14ac:dyDescent="0.3">
      <c r="A82" t="s">
        <v>215</v>
      </c>
      <c r="B82" s="6">
        <v>440671.35000000003</v>
      </c>
      <c r="C82" s="6">
        <v>-0.34999999991850927</v>
      </c>
    </row>
    <row r="83" spans="1:3" hidden="1" x14ac:dyDescent="0.3">
      <c r="A83" t="s">
        <v>72</v>
      </c>
      <c r="B83" s="6">
        <v>15750</v>
      </c>
      <c r="C83" s="6">
        <v>0</v>
      </c>
    </row>
    <row r="84" spans="1:3" hidden="1" x14ac:dyDescent="0.3">
      <c r="A84" t="s">
        <v>490</v>
      </c>
      <c r="B84" s="6">
        <v>0</v>
      </c>
      <c r="C84" s="6">
        <v>0</v>
      </c>
    </row>
    <row r="85" spans="1:3" x14ac:dyDescent="0.3">
      <c r="A85" t="s">
        <v>8</v>
      </c>
      <c r="B85" s="6">
        <v>40788397.95615001</v>
      </c>
      <c r="C85" s="6">
        <v>-2329849.1008999995</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4" x14ac:dyDescent="0.3"/>
  <cols>
    <col min="1" max="1" width="42.77734375" bestFit="1" customWidth="1"/>
    <col min="2" max="2" width="17.21875" bestFit="1" customWidth="1"/>
    <col min="4" max="4" width="15.109375" bestFit="1" customWidth="1"/>
    <col min="9" max="9" width="9.21875" bestFit="1" customWidth="1"/>
    <col min="13" max="13" width="27.6640625" bestFit="1" customWidth="1"/>
    <col min="14" max="14" width="10.109375" bestFit="1" customWidth="1"/>
  </cols>
  <sheetData>
    <row r="1" spans="1:15" x14ac:dyDescent="0.3">
      <c r="F1" s="175" t="s">
        <v>485</v>
      </c>
      <c r="G1" s="175"/>
      <c r="H1" s="175"/>
      <c r="I1" s="175"/>
      <c r="J1" s="175"/>
      <c r="M1" s="85" t="s">
        <v>487</v>
      </c>
    </row>
    <row r="2" spans="1:15" x14ac:dyDescent="0.3">
      <c r="A2" t="s">
        <v>407</v>
      </c>
      <c r="B2" s="6">
        <v>155389.33499999999</v>
      </c>
      <c r="C2" t="e">
        <v>#N/A</v>
      </c>
      <c r="D2" t="s">
        <v>481</v>
      </c>
      <c r="F2" t="s">
        <v>56</v>
      </c>
      <c r="G2" s="6">
        <v>401932.44</v>
      </c>
      <c r="H2">
        <v>752500</v>
      </c>
      <c r="I2" s="6">
        <v>-350567.56</v>
      </c>
      <c r="J2" t="s">
        <v>484</v>
      </c>
      <c r="M2" s="9" t="s">
        <v>486</v>
      </c>
      <c r="N2" s="87">
        <v>1000</v>
      </c>
    </row>
    <row r="3" spans="1:15" x14ac:dyDescent="0.3">
      <c r="A3" t="s">
        <v>73</v>
      </c>
      <c r="B3" s="6">
        <v>278680</v>
      </c>
      <c r="C3" t="e">
        <v>#N/A</v>
      </c>
      <c r="D3" t="s">
        <v>482</v>
      </c>
      <c r="F3" t="s">
        <v>198</v>
      </c>
      <c r="G3" s="6">
        <v>121674.73333333334</v>
      </c>
      <c r="H3">
        <v>334408.24</v>
      </c>
      <c r="I3" s="86">
        <v>-212733.50666666665</v>
      </c>
      <c r="J3" t="s">
        <v>482</v>
      </c>
      <c r="M3" t="s">
        <v>343</v>
      </c>
      <c r="N3" t="s">
        <v>488</v>
      </c>
      <c r="O3" t="s">
        <v>492</v>
      </c>
    </row>
    <row r="4" spans="1:15" x14ac:dyDescent="0.3">
      <c r="A4" t="s">
        <v>368</v>
      </c>
      <c r="B4" s="6">
        <v>4982.8</v>
      </c>
      <c r="C4" t="e">
        <v>#N/A</v>
      </c>
      <c r="D4" t="s">
        <v>484</v>
      </c>
      <c r="F4" t="s">
        <v>222</v>
      </c>
      <c r="G4" s="6">
        <v>40109.25</v>
      </c>
      <c r="H4">
        <v>32009.25</v>
      </c>
      <c r="I4" s="86">
        <v>8100</v>
      </c>
      <c r="J4" t="s">
        <v>481</v>
      </c>
    </row>
    <row r="5" spans="1:15" x14ac:dyDescent="0.3">
      <c r="A5" t="s">
        <v>313</v>
      </c>
      <c r="B5" s="6">
        <v>11640.333333333334</v>
      </c>
      <c r="C5" t="e">
        <v>#N/A</v>
      </c>
      <c r="D5" t="s">
        <v>481</v>
      </c>
      <c r="F5" t="s">
        <v>57</v>
      </c>
      <c r="G5" s="6">
        <v>12640.999999999998</v>
      </c>
      <c r="H5">
        <v>12705.37</v>
      </c>
      <c r="I5" s="86">
        <v>-64.370000000002619</v>
      </c>
      <c r="J5" t="s">
        <v>482</v>
      </c>
    </row>
    <row r="6" spans="1:15" x14ac:dyDescent="0.3">
      <c r="A6" t="s">
        <v>333</v>
      </c>
      <c r="B6" s="6">
        <v>4704</v>
      </c>
      <c r="C6" t="e">
        <v>#N/A</v>
      </c>
      <c r="D6" t="s">
        <v>482</v>
      </c>
      <c r="F6" t="s">
        <v>56</v>
      </c>
      <c r="G6" s="6">
        <v>401932.44</v>
      </c>
      <c r="H6">
        <v>752500</v>
      </c>
      <c r="I6" s="6">
        <v>-350567.56</v>
      </c>
      <c r="J6" t="s">
        <v>484</v>
      </c>
    </row>
    <row r="7" spans="1:15" x14ac:dyDescent="0.3">
      <c r="A7" t="s">
        <v>77</v>
      </c>
      <c r="B7" s="6">
        <v>24908.333333333332</v>
      </c>
      <c r="C7" t="e">
        <v>#N/A</v>
      </c>
      <c r="D7" t="s">
        <v>481</v>
      </c>
      <c r="F7" t="s">
        <v>208</v>
      </c>
      <c r="G7" s="6">
        <v>383337.49</v>
      </c>
      <c r="H7">
        <v>276974</v>
      </c>
      <c r="I7" s="6">
        <v>106363.48999999999</v>
      </c>
      <c r="J7" t="s">
        <v>482</v>
      </c>
    </row>
    <row r="8" spans="1:15" x14ac:dyDescent="0.3">
      <c r="A8" t="s">
        <v>410</v>
      </c>
      <c r="B8" s="6">
        <v>23694.030833333334</v>
      </c>
      <c r="C8" t="e">
        <v>#N/A</v>
      </c>
      <c r="D8" t="s">
        <v>481</v>
      </c>
      <c r="F8" t="s">
        <v>334</v>
      </c>
      <c r="G8" s="6">
        <v>211524.76</v>
      </c>
      <c r="H8">
        <v>634574.28</v>
      </c>
      <c r="I8" s="6">
        <v>-423049.52</v>
      </c>
      <c r="J8" t="s">
        <v>482</v>
      </c>
    </row>
    <row r="9" spans="1:15" x14ac:dyDescent="0.3">
      <c r="A9" t="s">
        <v>347</v>
      </c>
      <c r="B9" s="6">
        <v>11396</v>
      </c>
      <c r="C9" t="e">
        <v>#N/A</v>
      </c>
      <c r="D9" t="s">
        <v>481</v>
      </c>
      <c r="F9" t="s">
        <v>67</v>
      </c>
      <c r="G9" s="6">
        <v>912069.15</v>
      </c>
      <c r="H9">
        <v>661353.44000000006</v>
      </c>
      <c r="I9" s="6">
        <v>250715.70999999996</v>
      </c>
      <c r="J9" t="s">
        <v>482</v>
      </c>
    </row>
    <row r="10" spans="1:15" x14ac:dyDescent="0.3">
      <c r="A10" t="s">
        <v>381</v>
      </c>
      <c r="B10" s="6">
        <v>12500</v>
      </c>
      <c r="C10" t="e">
        <v>#N/A</v>
      </c>
      <c r="D10" t="s">
        <v>481</v>
      </c>
      <c r="F10" t="s">
        <v>74</v>
      </c>
      <c r="G10" s="6">
        <v>70999.255833333329</v>
      </c>
      <c r="H10">
        <v>29028.26</v>
      </c>
      <c r="I10" s="6">
        <v>41970.995833333334</v>
      </c>
      <c r="J10" t="s">
        <v>482</v>
      </c>
    </row>
    <row r="11" spans="1:15" x14ac:dyDescent="0.3">
      <c r="A11" t="s">
        <v>284</v>
      </c>
      <c r="B11" s="6">
        <v>14568.75</v>
      </c>
      <c r="C11" t="e">
        <v>#N/A</v>
      </c>
      <c r="D11" t="s">
        <v>481</v>
      </c>
      <c r="F11" t="s">
        <v>70</v>
      </c>
      <c r="G11" s="6">
        <v>983.36</v>
      </c>
      <c r="H11">
        <v>5180.1000000000004</v>
      </c>
      <c r="I11" s="6">
        <v>-4196.7400000000007</v>
      </c>
      <c r="J11" t="s">
        <v>482</v>
      </c>
    </row>
    <row r="12" spans="1:15" x14ac:dyDescent="0.3">
      <c r="A12" t="s">
        <v>112</v>
      </c>
      <c r="B12" s="6">
        <v>11185.3</v>
      </c>
      <c r="C12" t="e">
        <v>#N/A</v>
      </c>
      <c r="D12" t="s">
        <v>482</v>
      </c>
      <c r="F12" t="s">
        <v>138</v>
      </c>
      <c r="G12" s="6">
        <v>11833.333333333334</v>
      </c>
      <c r="H12">
        <v>1000</v>
      </c>
      <c r="I12" s="6">
        <v>10833.333333333334</v>
      </c>
      <c r="J12" t="s">
        <v>481</v>
      </c>
    </row>
    <row r="13" spans="1:15" x14ac:dyDescent="0.3">
      <c r="A13" t="s">
        <v>71</v>
      </c>
      <c r="B13" s="6">
        <v>30215.78</v>
      </c>
      <c r="C13" t="e">
        <v>#N/A</v>
      </c>
      <c r="D13" t="s">
        <v>484</v>
      </c>
    </row>
    <row r="15" spans="1:15" x14ac:dyDescent="0.3">
      <c r="A15" s="8" t="s">
        <v>1</v>
      </c>
      <c r="B15" t="s">
        <v>44</v>
      </c>
    </row>
    <row r="16" spans="1:15" hidden="1" x14ac:dyDescent="0.3">
      <c r="A16" s="9" t="s">
        <v>400</v>
      </c>
      <c r="B16" s="6">
        <v>0</v>
      </c>
    </row>
    <row r="17" spans="1:3" hidden="1" x14ac:dyDescent="0.3">
      <c r="A17" s="9" t="s">
        <v>322</v>
      </c>
      <c r="B17" s="6">
        <v>0</v>
      </c>
    </row>
    <row r="18" spans="1:3" x14ac:dyDescent="0.3">
      <c r="A18" s="9" t="s">
        <v>407</v>
      </c>
      <c r="B18" s="86">
        <v>86226.119999999646</v>
      </c>
    </row>
    <row r="19" spans="1:3" hidden="1" x14ac:dyDescent="0.3">
      <c r="A19" s="9" t="s">
        <v>358</v>
      </c>
      <c r="B19" s="6">
        <v>0</v>
      </c>
    </row>
    <row r="20" spans="1:3" x14ac:dyDescent="0.3">
      <c r="A20" s="9" t="s">
        <v>422</v>
      </c>
      <c r="B20" s="6">
        <v>26135.403333333321</v>
      </c>
      <c r="C20" t="s">
        <v>496</v>
      </c>
    </row>
    <row r="21" spans="1:3" x14ac:dyDescent="0.3">
      <c r="A21" s="9" t="s">
        <v>73</v>
      </c>
      <c r="B21" s="99">
        <v>111096</v>
      </c>
      <c r="C21" t="s">
        <v>496</v>
      </c>
    </row>
    <row r="22" spans="1:3" hidden="1" x14ac:dyDescent="0.3">
      <c r="A22" s="9" t="s">
        <v>121</v>
      </c>
      <c r="B22" s="6">
        <v>0</v>
      </c>
    </row>
    <row r="23" spans="1:3" x14ac:dyDescent="0.3">
      <c r="A23" s="9" t="s">
        <v>368</v>
      </c>
      <c r="B23" s="86">
        <v>573.80000000000018</v>
      </c>
    </row>
    <row r="24" spans="1:3" hidden="1" x14ac:dyDescent="0.3">
      <c r="A24" s="9" t="s">
        <v>58</v>
      </c>
      <c r="B24" s="6">
        <v>797.13000000000466</v>
      </c>
    </row>
    <row r="25" spans="1:3" hidden="1" x14ac:dyDescent="0.3">
      <c r="A25" s="9" t="s">
        <v>59</v>
      </c>
      <c r="B25" s="6">
        <v>77.880000000000109</v>
      </c>
    </row>
    <row r="26" spans="1:3" hidden="1" x14ac:dyDescent="0.3">
      <c r="A26" s="9" t="s">
        <v>60</v>
      </c>
      <c r="B26" s="6">
        <v>0</v>
      </c>
    </row>
    <row r="27" spans="1:3" hidden="1" x14ac:dyDescent="0.3">
      <c r="A27" s="9" t="s">
        <v>159</v>
      </c>
      <c r="B27" s="6">
        <v>0</v>
      </c>
    </row>
    <row r="28" spans="1:3" x14ac:dyDescent="0.3">
      <c r="A28" s="9" t="s">
        <v>198</v>
      </c>
      <c r="B28" s="99">
        <v>0</v>
      </c>
      <c r="C28" t="s">
        <v>496</v>
      </c>
    </row>
    <row r="29" spans="1:3" hidden="1" x14ac:dyDescent="0.3">
      <c r="A29" s="9" t="s">
        <v>324</v>
      </c>
      <c r="B29" s="6">
        <v>0</v>
      </c>
    </row>
    <row r="30" spans="1:3" hidden="1" x14ac:dyDescent="0.3">
      <c r="A30" s="9" t="s">
        <v>222</v>
      </c>
      <c r="B30" s="6">
        <v>0</v>
      </c>
    </row>
    <row r="31" spans="1:3" x14ac:dyDescent="0.3">
      <c r="A31" s="9" t="s">
        <v>57</v>
      </c>
      <c r="B31" s="86">
        <v>80625.34</v>
      </c>
    </row>
    <row r="32" spans="1:3" hidden="1" x14ac:dyDescent="0.3">
      <c r="A32" s="9" t="s">
        <v>61</v>
      </c>
      <c r="B32" s="6">
        <v>0</v>
      </c>
    </row>
    <row r="33" spans="1:3" hidden="1" x14ac:dyDescent="0.3">
      <c r="A33" s="9" t="s">
        <v>170</v>
      </c>
      <c r="B33" s="6">
        <v>0</v>
      </c>
    </row>
    <row r="34" spans="1:3" hidden="1" x14ac:dyDescent="0.3">
      <c r="A34" s="9" t="s">
        <v>308</v>
      </c>
      <c r="B34" s="6">
        <v>0</v>
      </c>
    </row>
    <row r="35" spans="1:3" hidden="1" x14ac:dyDescent="0.3">
      <c r="A35" s="9" t="s">
        <v>234</v>
      </c>
      <c r="B35" s="6">
        <v>0</v>
      </c>
    </row>
    <row r="36" spans="1:3" hidden="1" x14ac:dyDescent="0.3">
      <c r="A36" s="9" t="s">
        <v>313</v>
      </c>
      <c r="B36" s="6">
        <v>0</v>
      </c>
    </row>
    <row r="37" spans="1:3" hidden="1" x14ac:dyDescent="0.3">
      <c r="A37" s="9" t="s">
        <v>318</v>
      </c>
      <c r="B37" s="6">
        <v>0</v>
      </c>
    </row>
    <row r="38" spans="1:3" x14ac:dyDescent="0.3">
      <c r="A38" s="9" t="s">
        <v>419</v>
      </c>
      <c r="B38" s="86">
        <v>92000</v>
      </c>
    </row>
    <row r="39" spans="1:3" x14ac:dyDescent="0.3">
      <c r="A39" s="9" t="s">
        <v>181</v>
      </c>
      <c r="B39" s="99">
        <v>359403.36</v>
      </c>
      <c r="C39" t="s">
        <v>496</v>
      </c>
    </row>
    <row r="40" spans="1:3" hidden="1" x14ac:dyDescent="0.3">
      <c r="A40" s="9" t="s">
        <v>62</v>
      </c>
      <c r="B40" s="99">
        <v>157.01670000000013</v>
      </c>
    </row>
    <row r="41" spans="1:3" hidden="1" x14ac:dyDescent="0.3">
      <c r="A41" s="9" t="s">
        <v>63</v>
      </c>
      <c r="B41" s="6">
        <v>378.83999999999651</v>
      </c>
    </row>
    <row r="42" spans="1:3" x14ac:dyDescent="0.3">
      <c r="A42" s="9" t="s">
        <v>185</v>
      </c>
      <c r="B42" s="99">
        <v>0</v>
      </c>
      <c r="C42" t="s">
        <v>496</v>
      </c>
    </row>
    <row r="43" spans="1:3" hidden="1" x14ac:dyDescent="0.3">
      <c r="A43" s="9" t="s">
        <v>304</v>
      </c>
      <c r="B43" s="6">
        <v>0</v>
      </c>
    </row>
    <row r="44" spans="1:3" hidden="1" x14ac:dyDescent="0.3">
      <c r="A44" s="9" t="s">
        <v>75</v>
      </c>
      <c r="B44" s="6">
        <v>0</v>
      </c>
    </row>
    <row r="45" spans="1:3" hidden="1" x14ac:dyDescent="0.3">
      <c r="A45" s="9" t="s">
        <v>333</v>
      </c>
      <c r="B45" s="100">
        <v>0</v>
      </c>
    </row>
    <row r="46" spans="1:3" x14ac:dyDescent="0.3">
      <c r="A46" s="9" t="s">
        <v>56</v>
      </c>
      <c r="B46" s="86">
        <v>456079.36999999918</v>
      </c>
    </row>
    <row r="47" spans="1:3" hidden="1" x14ac:dyDescent="0.3">
      <c r="A47" s="9" t="s">
        <v>236</v>
      </c>
      <c r="B47" s="6">
        <v>0</v>
      </c>
    </row>
    <row r="48" spans="1:3" hidden="1" x14ac:dyDescent="0.3">
      <c r="A48" s="9" t="s">
        <v>370</v>
      </c>
      <c r="B48" s="6">
        <v>0</v>
      </c>
    </row>
    <row r="49" spans="1:2" hidden="1" x14ac:dyDescent="0.3">
      <c r="A49" s="9" t="s">
        <v>133</v>
      </c>
      <c r="B49" s="6">
        <v>41250</v>
      </c>
    </row>
    <row r="50" spans="1:2" hidden="1" x14ac:dyDescent="0.3">
      <c r="A50" s="9" t="s">
        <v>360</v>
      </c>
      <c r="B50" s="6">
        <v>4117.74</v>
      </c>
    </row>
    <row r="51" spans="1:2" hidden="1" x14ac:dyDescent="0.3">
      <c r="A51" s="9" t="s">
        <v>240</v>
      </c>
      <c r="B51" s="6">
        <v>0</v>
      </c>
    </row>
    <row r="52" spans="1:2" hidden="1" x14ac:dyDescent="0.3">
      <c r="A52" s="9" t="s">
        <v>362</v>
      </c>
      <c r="B52" s="6">
        <v>0</v>
      </c>
    </row>
    <row r="53" spans="1:2" hidden="1" x14ac:dyDescent="0.3">
      <c r="A53" s="9" t="s">
        <v>242</v>
      </c>
      <c r="B53" s="6">
        <v>0</v>
      </c>
    </row>
    <row r="54" spans="1:2" x14ac:dyDescent="0.3">
      <c r="A54" s="9" t="s">
        <v>208</v>
      </c>
      <c r="B54" s="86">
        <v>800400</v>
      </c>
    </row>
    <row r="55" spans="1:2" hidden="1" x14ac:dyDescent="0.3">
      <c r="A55" s="9" t="s">
        <v>248</v>
      </c>
      <c r="B55" s="6">
        <v>0</v>
      </c>
    </row>
    <row r="56" spans="1:2" x14ac:dyDescent="0.3">
      <c r="A56" s="9" t="s">
        <v>342</v>
      </c>
      <c r="B56" s="86">
        <v>940800</v>
      </c>
    </row>
    <row r="57" spans="1:2" hidden="1" x14ac:dyDescent="0.3">
      <c r="A57" s="9" t="s">
        <v>64</v>
      </c>
      <c r="B57" s="6">
        <v>645.97999999999956</v>
      </c>
    </row>
    <row r="58" spans="1:2" hidden="1" x14ac:dyDescent="0.3">
      <c r="A58" s="9" t="s">
        <v>65</v>
      </c>
      <c r="B58" s="6">
        <v>0</v>
      </c>
    </row>
    <row r="59" spans="1:2" hidden="1" x14ac:dyDescent="0.3">
      <c r="A59" s="9" t="s">
        <v>320</v>
      </c>
      <c r="B59" s="6">
        <v>0.4499999999998181</v>
      </c>
    </row>
    <row r="60" spans="1:2" hidden="1" x14ac:dyDescent="0.3">
      <c r="A60" s="9" t="s">
        <v>66</v>
      </c>
      <c r="B60" s="6">
        <v>0</v>
      </c>
    </row>
    <row r="61" spans="1:2" hidden="1" x14ac:dyDescent="0.3">
      <c r="A61" s="9" t="s">
        <v>76</v>
      </c>
      <c r="B61" s="6">
        <v>0.47149999999783176</v>
      </c>
    </row>
    <row r="62" spans="1:2" hidden="1" x14ac:dyDescent="0.3">
      <c r="A62" s="9" t="s">
        <v>256</v>
      </c>
      <c r="B62" s="6">
        <v>441.74999999999977</v>
      </c>
    </row>
    <row r="63" spans="1:2" x14ac:dyDescent="0.3">
      <c r="A63" s="9" t="s">
        <v>334</v>
      </c>
      <c r="B63" s="86">
        <v>232487.75</v>
      </c>
    </row>
    <row r="64" spans="1:2" x14ac:dyDescent="0.3">
      <c r="A64" s="9" t="s">
        <v>67</v>
      </c>
      <c r="B64" s="99">
        <v>324631.51666666695</v>
      </c>
    </row>
    <row r="65" spans="1:3" hidden="1" x14ac:dyDescent="0.3">
      <c r="A65" s="9" t="s">
        <v>77</v>
      </c>
      <c r="B65" s="6">
        <v>0</v>
      </c>
    </row>
    <row r="66" spans="1:3" hidden="1" x14ac:dyDescent="0.3">
      <c r="A66" s="9" t="s">
        <v>176</v>
      </c>
      <c r="B66" s="6">
        <v>0</v>
      </c>
    </row>
    <row r="67" spans="1:3" x14ac:dyDescent="0.3">
      <c r="A67" s="9" t="s">
        <v>74</v>
      </c>
      <c r="B67" s="86">
        <v>100631.95416666666</v>
      </c>
    </row>
    <row r="68" spans="1:3" x14ac:dyDescent="0.3">
      <c r="A68" s="9" t="s">
        <v>490</v>
      </c>
      <c r="B68" s="86">
        <v>15208</v>
      </c>
    </row>
    <row r="69" spans="1:3" hidden="1" x14ac:dyDescent="0.3">
      <c r="A69" s="9" t="s">
        <v>177</v>
      </c>
      <c r="B69" s="6">
        <v>0</v>
      </c>
    </row>
    <row r="70" spans="1:3" hidden="1" x14ac:dyDescent="0.3">
      <c r="A70" s="9" t="s">
        <v>410</v>
      </c>
      <c r="B70" s="6">
        <v>0</v>
      </c>
    </row>
    <row r="71" spans="1:3" hidden="1" x14ac:dyDescent="0.3">
      <c r="A71" s="9" t="s">
        <v>402</v>
      </c>
      <c r="B71" s="6">
        <v>0</v>
      </c>
    </row>
    <row r="72" spans="1:3" hidden="1" x14ac:dyDescent="0.3">
      <c r="A72" s="9" t="s">
        <v>272</v>
      </c>
      <c r="B72" s="6">
        <v>0.2999999999992724</v>
      </c>
    </row>
    <row r="73" spans="1:3" hidden="1" x14ac:dyDescent="0.3">
      <c r="A73" s="9" t="s">
        <v>68</v>
      </c>
      <c r="B73" s="6">
        <v>0</v>
      </c>
    </row>
    <row r="74" spans="1:3" x14ac:dyDescent="0.3">
      <c r="A74" s="9" t="s">
        <v>353</v>
      </c>
      <c r="B74" s="86">
        <v>44275.833333333256</v>
      </c>
    </row>
    <row r="75" spans="1:3" hidden="1" x14ac:dyDescent="0.3">
      <c r="A75" s="9" t="s">
        <v>166</v>
      </c>
      <c r="B75" s="6">
        <v>0</v>
      </c>
    </row>
    <row r="76" spans="1:3" hidden="1" x14ac:dyDescent="0.3">
      <c r="A76" s="9" t="s">
        <v>276</v>
      </c>
      <c r="B76" s="6">
        <v>0</v>
      </c>
    </row>
    <row r="77" spans="1:3" hidden="1" x14ac:dyDescent="0.3">
      <c r="A77" s="9" t="s">
        <v>69</v>
      </c>
      <c r="B77" s="6">
        <v>0</v>
      </c>
    </row>
    <row r="78" spans="1:3" x14ac:dyDescent="0.3">
      <c r="A78" s="9" t="s">
        <v>278</v>
      </c>
      <c r="B78" s="99">
        <v>2252.8499999999985</v>
      </c>
      <c r="C78" t="s">
        <v>497</v>
      </c>
    </row>
    <row r="79" spans="1:3" hidden="1" x14ac:dyDescent="0.3">
      <c r="A79" s="9" t="s">
        <v>347</v>
      </c>
      <c r="B79" s="6">
        <v>0</v>
      </c>
    </row>
    <row r="80" spans="1:3" x14ac:dyDescent="0.3">
      <c r="A80" s="9" t="s">
        <v>70</v>
      </c>
      <c r="B80" s="86">
        <v>15680.012500000001</v>
      </c>
    </row>
    <row r="81" spans="1:2" hidden="1" x14ac:dyDescent="0.3">
      <c r="A81" s="9" t="s">
        <v>282</v>
      </c>
      <c r="B81" s="6">
        <v>0.29999999999563443</v>
      </c>
    </row>
    <row r="82" spans="1:2" hidden="1" x14ac:dyDescent="0.3">
      <c r="A82" s="9" t="s">
        <v>381</v>
      </c>
      <c r="B82" s="6">
        <v>0</v>
      </c>
    </row>
    <row r="83" spans="1:2" hidden="1" x14ac:dyDescent="0.3">
      <c r="A83" s="9" t="s">
        <v>298</v>
      </c>
      <c r="B83" s="6">
        <v>0</v>
      </c>
    </row>
    <row r="84" spans="1:2" hidden="1" x14ac:dyDescent="0.3">
      <c r="A84" s="9" t="s">
        <v>349</v>
      </c>
      <c r="B84" s="6">
        <v>0</v>
      </c>
    </row>
    <row r="85" spans="1:2" hidden="1" x14ac:dyDescent="0.3">
      <c r="A85" s="9" t="s">
        <v>78</v>
      </c>
      <c r="B85" s="6">
        <v>0</v>
      </c>
    </row>
    <row r="86" spans="1:2" hidden="1" x14ac:dyDescent="0.3">
      <c r="A86" s="9" t="s">
        <v>284</v>
      </c>
      <c r="B86" s="6">
        <v>0</v>
      </c>
    </row>
    <row r="87" spans="1:2" hidden="1" x14ac:dyDescent="0.3">
      <c r="A87" s="9" t="s">
        <v>138</v>
      </c>
      <c r="B87" s="6">
        <v>2.73333333330811</v>
      </c>
    </row>
    <row r="88" spans="1:2" hidden="1" x14ac:dyDescent="0.3">
      <c r="A88" s="9" t="s">
        <v>112</v>
      </c>
      <c r="B88" s="6">
        <v>0</v>
      </c>
    </row>
    <row r="89" spans="1:2" hidden="1" x14ac:dyDescent="0.3">
      <c r="A89" s="9" t="s">
        <v>371</v>
      </c>
      <c r="B89" s="6">
        <v>494.89999999999418</v>
      </c>
    </row>
    <row r="90" spans="1:2" hidden="1" x14ac:dyDescent="0.3">
      <c r="A90" s="9" t="s">
        <v>374</v>
      </c>
      <c r="B90" s="6">
        <v>0</v>
      </c>
    </row>
    <row r="91" spans="1:2" hidden="1" x14ac:dyDescent="0.3">
      <c r="A91" s="9" t="s">
        <v>71</v>
      </c>
      <c r="B91" s="6">
        <v>0</v>
      </c>
    </row>
    <row r="92" spans="1:2" hidden="1" x14ac:dyDescent="0.3">
      <c r="A92" s="9" t="s">
        <v>191</v>
      </c>
      <c r="B92" s="6">
        <v>0</v>
      </c>
    </row>
    <row r="93" spans="1:2" hidden="1" x14ac:dyDescent="0.3">
      <c r="A93" s="9" t="s">
        <v>79</v>
      </c>
      <c r="B93" s="6">
        <v>0</v>
      </c>
    </row>
    <row r="94" spans="1:2" hidden="1" x14ac:dyDescent="0.3">
      <c r="A94" s="9" t="s">
        <v>215</v>
      </c>
      <c r="B94" s="6">
        <v>0</v>
      </c>
    </row>
    <row r="95" spans="1:2" hidden="1" x14ac:dyDescent="0.3">
      <c r="A95" s="9" t="s">
        <v>72</v>
      </c>
      <c r="B95" s="6">
        <v>0</v>
      </c>
    </row>
    <row r="96" spans="1:2" x14ac:dyDescent="0.3">
      <c r="A96" s="9" t="s">
        <v>8</v>
      </c>
      <c r="B96" s="6">
        <v>3736872.8015333321</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54"/>
  <sheetViews>
    <sheetView tabSelected="1" zoomScaleNormal="100" workbookViewId="0">
      <pane xSplit="2" ySplit="1" topLeftCell="AL2" activePane="bottomRight" state="frozen"/>
      <selection pane="topRight" activeCell="C1" sqref="C1"/>
      <selection pane="bottomLeft" activeCell="A2" sqref="A2"/>
      <selection pane="bottomRight" activeCell="AU1" sqref="A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47.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6" width="15" style="6" customWidth="1"/>
    <col min="57" max="57" width="20.77734375" style="6" customWidth="1"/>
    <col min="58" max="58" width="18" style="6" customWidth="1"/>
    <col min="59" max="60" width="13.88671875" style="6" customWidth="1"/>
    <col min="61" max="67" width="13.88671875"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480</v>
      </c>
      <c r="AA1" s="29" t="s">
        <v>452</v>
      </c>
      <c r="AB1" s="26" t="s">
        <v>453</v>
      </c>
      <c r="AC1" s="26" t="s">
        <v>454</v>
      </c>
      <c r="AD1" s="26" t="s">
        <v>455</v>
      </c>
      <c r="AE1" s="26" t="s">
        <v>468</v>
      </c>
      <c r="AF1" s="25" t="s">
        <v>469</v>
      </c>
      <c r="AG1" s="25" t="s">
        <v>470</v>
      </c>
      <c r="AH1" s="25" t="s">
        <v>471</v>
      </c>
      <c r="AI1" s="25" t="s">
        <v>472</v>
      </c>
      <c r="AJ1" s="25" t="s">
        <v>473</v>
      </c>
      <c r="AK1" s="25" t="s">
        <v>474</v>
      </c>
      <c r="AL1" s="25" t="s">
        <v>475</v>
      </c>
      <c r="AM1" s="25" t="s">
        <v>476</v>
      </c>
      <c r="AN1" s="25" t="s">
        <v>478</v>
      </c>
      <c r="AO1" s="30" t="s">
        <v>834</v>
      </c>
      <c r="AP1" s="69" t="s">
        <v>456</v>
      </c>
      <c r="AQ1" s="69" t="s">
        <v>457</v>
      </c>
      <c r="AR1" s="69" t="s">
        <v>458</v>
      </c>
      <c r="AS1" s="69" t="s">
        <v>459</v>
      </c>
      <c r="AT1" s="70" t="s">
        <v>460</v>
      </c>
      <c r="AU1" s="70" t="s">
        <v>461</v>
      </c>
      <c r="AV1" s="70" t="s">
        <v>462</v>
      </c>
      <c r="AW1" s="70" t="s">
        <v>463</v>
      </c>
      <c r="AX1" s="70" t="s">
        <v>464</v>
      </c>
      <c r="AY1" s="70" t="s">
        <v>465</v>
      </c>
      <c r="AZ1" s="70" t="s">
        <v>466</v>
      </c>
      <c r="BA1" s="70" t="s">
        <v>467</v>
      </c>
      <c r="BB1" s="78" t="s">
        <v>479</v>
      </c>
      <c r="BC1" s="72" t="s">
        <v>512</v>
      </c>
      <c r="BD1" s="72" t="s">
        <v>513</v>
      </c>
      <c r="BE1" s="72" t="s">
        <v>514</v>
      </c>
      <c r="BF1" s="72" t="s">
        <v>515</v>
      </c>
      <c r="BG1" s="73" t="s">
        <v>516</v>
      </c>
      <c r="BH1" s="73" t="s">
        <v>517</v>
      </c>
      <c r="BI1" s="73" t="s">
        <v>518</v>
      </c>
      <c r="BJ1" s="73" t="s">
        <v>519</v>
      </c>
      <c r="BK1" s="73" t="s">
        <v>520</v>
      </c>
      <c r="BL1" s="73" t="s">
        <v>521</v>
      </c>
      <c r="BM1" s="73" t="s">
        <v>522</v>
      </c>
      <c r="BN1" s="74" t="s">
        <v>523</v>
      </c>
      <c r="BO1" s="74" t="s">
        <v>524</v>
      </c>
      <c r="BP1" s="31" t="s">
        <v>477</v>
      </c>
      <c r="BQ1" s="50" t="s">
        <v>848</v>
      </c>
    </row>
    <row r="2" spans="1:76" ht="14.55" x14ac:dyDescent="0.3">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6" si="1">AO2+IF(ISBLANK(AP2),AB2,AP2)+IF(ISBLANK(AQ2),AC2,AQ2)+IF(ISBLANK(AR2),AD2,AR2)+IF(ISBLANK(AS2),AE2,AS2)</f>
        <v>371392.66666666657</v>
      </c>
      <c r="X2" s="15">
        <f>IF(V2 &gt;= W2, V2 - W2, 0)*-1</f>
        <v>0</v>
      </c>
      <c r="Y2" s="15">
        <f t="shared" ref="Y2:Y20" si="2">IF(W2 &gt; V2, W2 - V2, 0)</f>
        <v>10392.66666666657</v>
      </c>
      <c r="Z2" s="15">
        <f>SUM(Financials2026[[#This Row],[2026 Opportunity]:[2026 Risk]])</f>
        <v>10392.66666666657</v>
      </c>
      <c r="AA2" s="3" t="s">
        <v>429</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SUM(AF2:AM2)</f>
        <v>251059.33333333331</v>
      </c>
      <c r="AP2" s="60">
        <f>361000/12</f>
        <v>30083.333333333332</v>
      </c>
      <c r="AQ2" s="60">
        <f t="shared" ref="AQ2:AT2" si="5">361000/12</f>
        <v>30083.333333333332</v>
      </c>
      <c r="AR2" s="60">
        <f t="shared" si="5"/>
        <v>30083.333333333332</v>
      </c>
      <c r="AS2" s="60">
        <f t="shared" si="5"/>
        <v>30083.333333333332</v>
      </c>
      <c r="AT2" s="60">
        <f t="shared" si="5"/>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6">IF(V3 &gt;= W3, V3 - W3, 0)*-1</f>
        <v>0</v>
      </c>
      <c r="Y3" s="15">
        <f t="shared" si="2"/>
        <v>94923.733333333337</v>
      </c>
      <c r="Z3" s="15">
        <f>SUM(Financials2026[[#This Row],[2026 Opportunity]:[2026 Risk]])</f>
        <v>94923.733333333337</v>
      </c>
      <c r="AA3" s="3" t="s">
        <v>430</v>
      </c>
      <c r="AB3" s="52">
        <f>179000/12</f>
        <v>14916.666666666666</v>
      </c>
      <c r="AC3" s="52">
        <f t="shared" ref="AC3:AF3" si="7">179000/12</f>
        <v>14916.666666666666</v>
      </c>
      <c r="AD3" s="52">
        <f t="shared" si="7"/>
        <v>14916.666666666666</v>
      </c>
      <c r="AE3" s="52">
        <f t="shared" si="7"/>
        <v>14916.666666666666</v>
      </c>
      <c r="AF3" s="52">
        <f t="shared" si="7"/>
        <v>14916.666666666666</v>
      </c>
      <c r="AG3" s="52">
        <f>341726.4/12</f>
        <v>28477.200000000001</v>
      </c>
      <c r="AH3" s="52">
        <f t="shared" ref="AH3:AM3" si="8">341726.4/12</f>
        <v>28477.200000000001</v>
      </c>
      <c r="AI3" s="52">
        <f t="shared" si="8"/>
        <v>28477.200000000001</v>
      </c>
      <c r="AJ3" s="52">
        <f t="shared" si="8"/>
        <v>28477.200000000001</v>
      </c>
      <c r="AK3" s="52">
        <f t="shared" si="8"/>
        <v>28477.200000000001</v>
      </c>
      <c r="AL3" s="52">
        <f t="shared" si="8"/>
        <v>28477.200000000001</v>
      </c>
      <c r="AM3" s="52">
        <f t="shared" si="8"/>
        <v>28477.200000000001</v>
      </c>
      <c r="AN3" s="52">
        <f>SUM(Financials2026[[#This Row],[Jan FC]:[Dec FC]])</f>
        <v>273923.7333333334</v>
      </c>
      <c r="AO3" s="15">
        <f t="shared" ref="AO3:AO34" si="9">SUM(AF3:AM3)</f>
        <v>214257.06666666668</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ht="14.55"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259448.71</v>
      </c>
      <c r="X4" s="15">
        <f t="shared" si="6"/>
        <v>-0.29000000000814907</v>
      </c>
      <c r="Y4" s="15">
        <f t="shared" si="2"/>
        <v>0</v>
      </c>
      <c r="Z4" s="15">
        <f>SUM(Financials2026[[#This Row],[2026 Opportunity]:[2026 Risk]])</f>
        <v>-0.29000000000814907</v>
      </c>
      <c r="AA4" s="14" t="s">
        <v>120</v>
      </c>
      <c r="AB4" s="52">
        <f t="shared" ref="AB4:AL4" si="11">259449/12</f>
        <v>21620.75</v>
      </c>
      <c r="AC4" s="52">
        <f t="shared" si="11"/>
        <v>21620.75</v>
      </c>
      <c r="AD4" s="52">
        <f t="shared" si="11"/>
        <v>21620.75</v>
      </c>
      <c r="AE4" s="52">
        <f>(259449/12)+3642</f>
        <v>25262.75</v>
      </c>
      <c r="AF4" s="52">
        <f t="shared" si="11"/>
        <v>21620.75</v>
      </c>
      <c r="AG4" s="52">
        <f t="shared" si="11"/>
        <v>21620.75</v>
      </c>
      <c r="AH4" s="52">
        <f t="shared" si="11"/>
        <v>21620.75</v>
      </c>
      <c r="AI4" s="52">
        <f t="shared" si="11"/>
        <v>21620.75</v>
      </c>
      <c r="AJ4" s="52">
        <f t="shared" si="11"/>
        <v>21620.75</v>
      </c>
      <c r="AK4" s="52">
        <f t="shared" si="11"/>
        <v>21620.75</v>
      </c>
      <c r="AL4" s="52">
        <f t="shared" si="11"/>
        <v>21620.75</v>
      </c>
      <c r="AM4" s="46">
        <f>(259449/12)+30418-270-3642</f>
        <v>48126.75</v>
      </c>
      <c r="AN4" s="46">
        <f>SUM(Financials2026[[#This Row],[Jan FC]:[Dec FC]])</f>
        <v>289597</v>
      </c>
      <c r="AO4" s="15">
        <f t="shared" si="9"/>
        <v>199472</v>
      </c>
      <c r="AP4" s="61">
        <v>11185.549999999997</v>
      </c>
      <c r="AQ4" s="61">
        <v>7399.97</v>
      </c>
      <c r="AR4" s="61">
        <v>16129.190000000002</v>
      </c>
      <c r="AS4" s="61">
        <v>25262</v>
      </c>
      <c r="AT4" s="61"/>
      <c r="AU4" s="61"/>
      <c r="AV4" s="61"/>
      <c r="AW4" s="61"/>
      <c r="AX4" s="61"/>
      <c r="AY4" s="61"/>
      <c r="AZ4" s="61"/>
      <c r="BA4" s="61"/>
      <c r="BB4" s="80">
        <f>SUM(Financials2026[[#This Row],[Jan AC]:[Dec AC]])</f>
        <v>59976.71</v>
      </c>
      <c r="BC4" s="71">
        <f>Financials2026[[#This Row],[Jan AC]]-Financials2026[[#This Row],[Jan FC]]</f>
        <v>-10435.200000000003</v>
      </c>
      <c r="BD4" s="71">
        <f>Financials2026[[#This Row],[Feb AC]]-Financials2026[[#This Row],[Feb FC]]</f>
        <v>-14220.779999999999</v>
      </c>
      <c r="BE4" s="71">
        <f>Financials2026[[#This Row],[Mar AC]]-Financials2026[[#This Row],[Mar FC]]</f>
        <v>-5491.5599999999977</v>
      </c>
      <c r="BF4" s="71">
        <f>Financials2026[[#This Row],[Apr AC]]-Financials2026[[#This Row],[Apr FC]]</f>
        <v>-0.75</v>
      </c>
      <c r="BG4" s="71">
        <f>Financials2026[[#This Row],[May AC]]-Financials2026[[#This Row],[May FC]]</f>
        <v>-21620.75</v>
      </c>
      <c r="BH4" s="71">
        <f>Financials2026[[#This Row],[Jun AC]]-Financials2026[[#This Row],[Jun FC]]</f>
        <v>-21620.75</v>
      </c>
      <c r="BI4" s="71">
        <f>Financials2026[[#This Row],[Jul AC]]-Financials2026[[#This Row],[Jul FC]]</f>
        <v>-21620.75</v>
      </c>
      <c r="BJ4" s="71">
        <f>Financials2026[[#This Row],[Aug AC]]-Financials2026[[#This Row],[Aug FC]]</f>
        <v>-21620.75</v>
      </c>
      <c r="BK4" s="71">
        <f>Financials2026[[#This Row],[Sep AC]]-Financials2026[[#This Row],[Sep FC]]</f>
        <v>-21620.75</v>
      </c>
      <c r="BL4" s="71">
        <f>Financials2026[[#This Row],[Oct AC]]-Financials2026[[#This Row],[Oct FC]]</f>
        <v>-21620.75</v>
      </c>
      <c r="BM4" s="71">
        <f>Financials2026[[#This Row],[Nov AC]]-Financials2026[[#This Row],[Nov FC]]</f>
        <v>-21620.75</v>
      </c>
      <c r="BN4" s="71">
        <f>Financials2026[[#This Row],[Dec AC]]-Financials2026[[#This Row],[Dec FC]]</f>
        <v>-48126.75</v>
      </c>
      <c r="BO4" s="71">
        <f>SUM(Financials2026[[#This Row],[Jan Opp/Risk]:[Dec Opp./Risk]])</f>
        <v>-229620.29</v>
      </c>
      <c r="BP4" s="90" t="s">
        <v>532</v>
      </c>
      <c r="BQ4" s="47">
        <f>SUM(Financials2026[[#This Row],[Jan AC]:[Apr AC]])</f>
        <v>59976.71</v>
      </c>
      <c r="BS4" s="6"/>
      <c r="BT4" s="6"/>
      <c r="BU4" s="6"/>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92275</v>
      </c>
      <c r="X5" s="15">
        <f t="shared" si="6"/>
        <v>-7725</v>
      </c>
      <c r="Y5" s="15">
        <f t="shared" si="2"/>
        <v>0</v>
      </c>
      <c r="Z5" s="15">
        <f>SUM(Financials2026[[#This Row],[2026 Opportunity]:[2026 Risk]])</f>
        <v>-7725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9"/>
        <v>60800</v>
      </c>
      <c r="AP5" s="61">
        <v>7600</v>
      </c>
      <c r="AQ5" s="61">
        <v>7600</v>
      </c>
      <c r="AR5" s="61">
        <v>8675</v>
      </c>
      <c r="AS5" s="61">
        <v>7600</v>
      </c>
      <c r="AT5" s="61">
        <v>15340</v>
      </c>
      <c r="AU5" s="61"/>
      <c r="AV5" s="61"/>
      <c r="AW5" s="61"/>
      <c r="AX5" s="61"/>
      <c r="AY5" s="61"/>
      <c r="AZ5" s="61"/>
      <c r="BA5" s="61"/>
      <c r="BB5" s="80">
        <f>SUM(Financials2026[[#This Row],[Jan AC]:[Dec AC]])</f>
        <v>46815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-7600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-44385</v>
      </c>
      <c r="BP5" s="91" t="s">
        <v>861</v>
      </c>
      <c r="BQ5" s="47">
        <f>SUM(Financials2026[[#This Row],[Jan AC]:[Apr AC]])</f>
        <v>31475</v>
      </c>
      <c r="BS5" s="6"/>
      <c r="BT5" s="6"/>
      <c r="BU5" s="6"/>
      <c r="BV5" s="6"/>
      <c r="BW5" s="6"/>
      <c r="BX5" s="6"/>
    </row>
    <row r="6" spans="1:76" ht="14.55"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6"/>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9"/>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ht="14.55"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6"/>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9"/>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
      <c r="A8" s="22" t="s">
        <v>101</v>
      </c>
      <c r="B8" s="21" t="s">
        <v>133</v>
      </c>
      <c r="C8" s="21"/>
      <c r="D8" s="10" t="s">
        <v>537</v>
      </c>
      <c r="E8" s="7" t="s">
        <v>538</v>
      </c>
      <c r="F8" s="3" t="s">
        <v>123</v>
      </c>
      <c r="G8" s="3" t="s">
        <v>50</v>
      </c>
      <c r="H8" s="110">
        <v>46120</v>
      </c>
      <c r="I8" s="110">
        <v>46484</v>
      </c>
      <c r="J8" s="3"/>
      <c r="K8" s="3" t="str">
        <f t="shared" ref="K8" si="12">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838</v>
      </c>
      <c r="AB8" s="52"/>
      <c r="AC8" s="52"/>
      <c r="AD8" s="52"/>
      <c r="AE8" s="52">
        <v>7500</v>
      </c>
      <c r="AF8" s="52">
        <v>2400</v>
      </c>
      <c r="AG8" s="51"/>
      <c r="AH8" s="52"/>
      <c r="AI8" s="52"/>
      <c r="AJ8" s="52"/>
      <c r="AK8" s="52"/>
      <c r="AL8" s="51"/>
      <c r="AM8" s="131">
        <f>41250-7500-2400</f>
        <v>31350</v>
      </c>
      <c r="AN8" s="51">
        <f>SUM(Financials2026[[#This Row],[Jan FC]:[Dec FC]])</f>
        <v>41250</v>
      </c>
      <c r="AO8" s="15">
        <f t="shared" si="9"/>
        <v>33750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540</v>
      </c>
      <c r="BQ8" s="48">
        <f>SUM(Financials2026[[#This Row],[Jan AC]:[Apr AC]])</f>
        <v>7500</v>
      </c>
      <c r="BS8" s="6"/>
      <c r="BT8" s="6"/>
      <c r="BU8" s="6"/>
      <c r="BV8" s="6"/>
      <c r="BW8" s="6"/>
      <c r="BX8" s="6"/>
    </row>
    <row r="9" spans="1:76" ht="14.55"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6"/>
        <v>0</v>
      </c>
      <c r="Y9" s="15">
        <f t="shared" si="2"/>
        <v>0</v>
      </c>
      <c r="Z9" s="15">
        <f>SUM(Financials2026[[#This Row],[2026 Opportunity]:[2026 Risk]])</f>
        <v>0</v>
      </c>
      <c r="AA9" s="14" t="s">
        <v>145</v>
      </c>
      <c r="AB9" s="52">
        <f t="shared" ref="AB9:AL9" si="13">42000/12</f>
        <v>3500</v>
      </c>
      <c r="AC9" s="52">
        <f t="shared" si="13"/>
        <v>3500</v>
      </c>
      <c r="AD9" s="52">
        <f t="shared" si="13"/>
        <v>3500</v>
      </c>
      <c r="AE9" s="52">
        <f t="shared" si="13"/>
        <v>3500</v>
      </c>
      <c r="AF9" s="52">
        <f t="shared" si="13"/>
        <v>3500</v>
      </c>
      <c r="AG9" s="52">
        <f t="shared" si="13"/>
        <v>3500</v>
      </c>
      <c r="AH9" s="52">
        <f t="shared" si="13"/>
        <v>3500</v>
      </c>
      <c r="AI9" s="52">
        <f t="shared" si="13"/>
        <v>3500</v>
      </c>
      <c r="AJ9" s="52">
        <f t="shared" si="13"/>
        <v>3500</v>
      </c>
      <c r="AK9" s="52">
        <f t="shared" si="13"/>
        <v>3500</v>
      </c>
      <c r="AL9" s="52">
        <f t="shared" si="13"/>
        <v>3500</v>
      </c>
      <c r="AM9" s="46">
        <v>500</v>
      </c>
      <c r="AN9" s="46">
        <f>SUM(Financials2026[[#This Row],[Jan FC]:[Dec FC]])</f>
        <v>39000</v>
      </c>
      <c r="AO9" s="15">
        <f t="shared" si="9"/>
        <v>25000</v>
      </c>
      <c r="AP9" s="61">
        <v>1000</v>
      </c>
      <c r="AQ9" s="61">
        <v>2500</v>
      </c>
      <c r="AR9" s="61">
        <v>10000</v>
      </c>
      <c r="AS9" s="61"/>
      <c r="AT9" s="61"/>
      <c r="AU9" s="60"/>
      <c r="AV9" s="61"/>
      <c r="AW9" s="61"/>
      <c r="AX9" s="61"/>
      <c r="AY9" s="61"/>
      <c r="AZ9" s="60"/>
      <c r="BA9" s="60"/>
      <c r="BB9" s="79">
        <f>SUM(Financials2026[[#This Row],[Jan AC]:[Dec AC]])</f>
        <v>13500</v>
      </c>
      <c r="BC9" s="71">
        <f>Financials2026[[#This Row],[Jan AC]]-Financials2026[[#This Row],[Jan FC]]</f>
        <v>-2500</v>
      </c>
      <c r="BD9" s="71">
        <f>Financials2026[[#This Row],[Feb AC]]-Financials2026[[#This Row],[Feb FC]]</f>
        <v>-1000</v>
      </c>
      <c r="BE9" s="71">
        <f>Financials2026[[#This Row],[Mar AC]]-Financials2026[[#This Row],[Mar FC]]</f>
        <v>6500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-25500</v>
      </c>
      <c r="BP9" s="90" t="s">
        <v>533</v>
      </c>
      <c r="BQ9" s="47">
        <f>SUM(Financials2026[[#This Row],[Jan AC]:[Apr AC]])</f>
        <v>13500</v>
      </c>
      <c r="BS9" s="6"/>
      <c r="BT9" s="6"/>
      <c r="BU9" s="6"/>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169095.56000000006</v>
      </c>
      <c r="X10" s="15">
        <f t="shared" si="6"/>
        <v>-10904.439999999944</v>
      </c>
      <c r="Y10" s="15">
        <f t="shared" si="2"/>
        <v>0</v>
      </c>
      <c r="Z10" s="15">
        <f>SUM(Financials2026[[#This Row],[2026 Opportunity]:[2026 Risk]])</f>
        <v>-10904.439999999944</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9"/>
        <v>125075</v>
      </c>
      <c r="AP10" s="61">
        <v>11005.14</v>
      </c>
      <c r="AQ10" s="61">
        <v>11005.14</v>
      </c>
      <c r="AR10" s="61">
        <v>11005.14</v>
      </c>
      <c r="AS10" s="61">
        <v>11005.14</v>
      </c>
      <c r="AT10" s="61"/>
      <c r="AU10" s="61"/>
      <c r="AV10" s="61"/>
      <c r="AW10" s="61"/>
      <c r="AX10" s="61"/>
      <c r="AY10" s="61"/>
      <c r="AZ10" s="61"/>
      <c r="BA10" s="61"/>
      <c r="BB10" s="80">
        <f>SUM(Financials2026[[#This Row],[Jan AC]:[Dec AC]])</f>
        <v>44020.56</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-15000</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-141054.44</v>
      </c>
      <c r="BP10" s="91" t="s">
        <v>867</v>
      </c>
      <c r="BQ10" s="47">
        <f>SUM(Financials2026[[#This Row],[Jan AC]:[Apr AC]])</f>
        <v>44020.56</v>
      </c>
      <c r="BS10" s="6"/>
      <c r="BT10" s="6"/>
      <c r="BU10" s="6"/>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35692.839999999997</v>
      </c>
      <c r="X11" s="15">
        <f t="shared" si="6"/>
        <v>0</v>
      </c>
      <c r="Y11" s="15">
        <f t="shared" si="2"/>
        <v>378.83999999999651</v>
      </c>
      <c r="Z11" s="15">
        <f>SUM(Financials2026[[#This Row],[2026 Opportunity]:[2026 Risk]])</f>
        <v>378.83999999999651</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9"/>
        <v>23542</v>
      </c>
      <c r="AP11" s="61">
        <f>650+902.71+1250</f>
        <v>2802.71</v>
      </c>
      <c r="AQ11" s="61">
        <v>2802.71</v>
      </c>
      <c r="AR11" s="61">
        <v>2802.71</v>
      </c>
      <c r="AS11" s="61">
        <f>1300+1540+902.71</f>
        <v>3742.71</v>
      </c>
      <c r="AT11" s="61">
        <f>902.71+1300+750</f>
        <v>2952.71</v>
      </c>
      <c r="AU11" s="61"/>
      <c r="AV11" s="61"/>
      <c r="AW11" s="61"/>
      <c r="AX11" s="61"/>
      <c r="AY11" s="61"/>
      <c r="AZ11" s="61"/>
      <c r="BA11" s="61"/>
      <c r="BB11" s="80">
        <f>SUM(Financials2026[[#This Row],[Jan AC]:[Dec AC]])</f>
        <v>15103.55</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-2943</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-20210.45</v>
      </c>
      <c r="BP11" s="90" t="s">
        <v>539</v>
      </c>
      <c r="BQ11" s="47">
        <f>SUM(Financials2026[[#This Row],[Jan AC]:[Apr AC]])</f>
        <v>12150.84</v>
      </c>
      <c r="BS11" s="6"/>
      <c r="BT11" s="6"/>
      <c r="BU11" s="6"/>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25036.403333333335</v>
      </c>
      <c r="X12" s="15">
        <f t="shared" si="6"/>
        <v>-402.59666666666453</v>
      </c>
      <c r="Y12" s="15">
        <f t="shared" si="2"/>
        <v>0</v>
      </c>
      <c r="Z12" s="15">
        <f>SUM(Financials2026[[#This Row],[2026 Opportunity]:[2026 Risk]])</f>
        <v>-402.59666666666453</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9"/>
        <v>16959.333333333332</v>
      </c>
      <c r="AP12" s="61">
        <v>2019.14</v>
      </c>
      <c r="AQ12" s="61">
        <v>2019.24</v>
      </c>
      <c r="AR12" s="61">
        <v>2019.24</v>
      </c>
      <c r="AS12" s="61">
        <v>2019.45</v>
      </c>
      <c r="AT12" s="61">
        <v>2019.45</v>
      </c>
      <c r="AU12" s="61"/>
      <c r="AV12" s="61"/>
      <c r="AW12" s="61"/>
      <c r="AX12" s="61"/>
      <c r="AY12" s="61"/>
      <c r="AZ12" s="61"/>
      <c r="BA12" s="61"/>
      <c r="BB12" s="80">
        <f>SUM(Financials2026[[#This Row],[Jan AC]:[Dec AC]])</f>
        <v>10096.52</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-2119.9166666666665</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-15342.479999999996</v>
      </c>
      <c r="BP12" s="90" t="s">
        <v>539</v>
      </c>
      <c r="BQ12" s="47">
        <f>SUM(Financials2026[[#This Row],[Jan AC]:[Apr AC]])</f>
        <v>8077.07</v>
      </c>
      <c r="BS12" s="6"/>
      <c r="BT12" s="6"/>
      <c r="BU12" s="6"/>
      <c r="BV12" s="6"/>
      <c r="BW12" s="6"/>
      <c r="BX12" s="6"/>
    </row>
    <row r="13" spans="1:76" ht="14.55"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6"/>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9"/>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6"/>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9"/>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6"/>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9"/>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13065.08</v>
      </c>
      <c r="X16" s="15">
        <f t="shared" si="6"/>
        <v>-1820.92</v>
      </c>
      <c r="Y16" s="15">
        <f t="shared" si="2"/>
        <v>0</v>
      </c>
      <c r="Z16" s="15">
        <f>SUM(Financials2026[[#This Row],[2026 Opportunity]:[2026 Risk]])</f>
        <v>-1820.92</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9"/>
        <v>8710.08</v>
      </c>
      <c r="AP16" s="61">
        <v>1088.76</v>
      </c>
      <c r="AQ16" s="61">
        <v>1088.74</v>
      </c>
      <c r="AR16" s="61">
        <v>1088.76</v>
      </c>
      <c r="AS16" s="61">
        <v>1088.74</v>
      </c>
      <c r="AT16" s="61"/>
      <c r="AU16" s="61"/>
      <c r="AV16" s="61"/>
      <c r="AW16" s="61"/>
      <c r="AX16" s="61"/>
      <c r="AY16" s="61"/>
      <c r="AZ16" s="61"/>
      <c r="BA16" s="61"/>
      <c r="BB16" s="80">
        <f>SUM(Financials2026[[#This Row],[Jan AC]:[Dec AC]])</f>
        <v>4355</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-1088.76</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-8710.1200000000008</v>
      </c>
      <c r="BP16" s="90" t="s">
        <v>539</v>
      </c>
      <c r="BQ16" s="47">
        <f>SUM(Financials2026[[#This Row],[Jan AC]:[Apr AC]])</f>
        <v>4355</v>
      </c>
      <c r="BS16" s="6"/>
      <c r="BT16" s="6"/>
      <c r="BU16" s="6"/>
      <c r="BV16" s="6"/>
      <c r="BW16" s="6"/>
      <c r="BX16" s="6"/>
    </row>
    <row r="17" spans="1:76" ht="14.55"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6"/>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9"/>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ht="14.55"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6"/>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9"/>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ht="14.55"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6"/>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9"/>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ht="14.55"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6"/>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9"/>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ref="K21:K53" si="14">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1359552</v>
      </c>
      <c r="X21" s="15">
        <f t="shared" si="6"/>
        <v>0</v>
      </c>
      <c r="Y21" s="15">
        <f t="shared" ref="Y21:Y53" si="15">IF(W21 &gt; V21, W21 - V21, 0)</f>
        <v>0</v>
      </c>
      <c r="Z21" s="15">
        <f>SUM(Financials2026[[#This Row],[2026 Opportunity]:[2026 Risk]])</f>
        <v>0</v>
      </c>
      <c r="AA21" s="3" t="s">
        <v>184</v>
      </c>
      <c r="AB21" s="52">
        <v>113296</v>
      </c>
      <c r="AC21" s="52">
        <v>113296</v>
      </c>
      <c r="AD21" s="52">
        <v>113296</v>
      </c>
      <c r="AE21" s="52">
        <v>113296</v>
      </c>
      <c r="AF21" s="52">
        <v>113296</v>
      </c>
      <c r="AG21" s="52">
        <v>113296</v>
      </c>
      <c r="AH21" s="52">
        <v>113296</v>
      </c>
      <c r="AI21" s="52">
        <v>113296</v>
      </c>
      <c r="AJ21" s="52">
        <v>113296</v>
      </c>
      <c r="AK21" s="52">
        <v>113296</v>
      </c>
      <c r="AL21" s="52">
        <v>113296</v>
      </c>
      <c r="AM21" s="52">
        <v>113296</v>
      </c>
      <c r="AN21" s="52">
        <f>SUM(Financials2026[[#This Row],[Jan FC]:[Dec FC]])</f>
        <v>1359552</v>
      </c>
      <c r="AO21" s="15">
        <f t="shared" si="9"/>
        <v>906368</v>
      </c>
      <c r="AP21" s="61">
        <v>113296</v>
      </c>
      <c r="AQ21" s="61">
        <v>113296</v>
      </c>
      <c r="AR21" s="61">
        <v>113296</v>
      </c>
      <c r="AS21" s="61">
        <v>113296</v>
      </c>
      <c r="AT21" s="61"/>
      <c r="AU21" s="61"/>
      <c r="AV21" s="61"/>
      <c r="AW21" s="61"/>
      <c r="AX21" s="61"/>
      <c r="AY21" s="61"/>
      <c r="AZ21" s="61"/>
      <c r="BA21" s="61"/>
      <c r="BB21" s="80">
        <f>SUM(Financials2026[[#This Row],[Jan AC]:[Dec AC]])</f>
        <v>453184</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-113296</v>
      </c>
      <c r="BH21" s="71">
        <f>Financials2026[[#This Row],[Jun AC]]-Financials2026[[#This Row],[Jun FC]]</f>
        <v>-113296</v>
      </c>
      <c r="BI21" s="71">
        <f>Financials2026[[#This Row],[Jul AC]]-Financials2026[[#This Row],[Jul FC]]</f>
        <v>-113296</v>
      </c>
      <c r="BJ21" s="71">
        <f>Financials2026[[#This Row],[Aug AC]]-Financials2026[[#This Row],[Aug FC]]</f>
        <v>-113296</v>
      </c>
      <c r="BK21" s="71">
        <f>Financials2026[[#This Row],[Sep AC]]-Financials2026[[#This Row],[Sep FC]]</f>
        <v>-113296</v>
      </c>
      <c r="BL21" s="71">
        <f>Financials2026[[#This Row],[Oct AC]]-Financials2026[[#This Row],[Oct FC]]</f>
        <v>-113296</v>
      </c>
      <c r="BM21" s="71">
        <f>Financials2026[[#This Row],[Nov AC]]-Financials2026[[#This Row],[Nov FC]]</f>
        <v>-113296</v>
      </c>
      <c r="BN21" s="71">
        <f>Financials2026[[#This Row],[Dec AC]]-Financials2026[[#This Row],[Dec FC]]</f>
        <v>-113296</v>
      </c>
      <c r="BO21" s="71">
        <f>SUM(Financials2026[[#This Row],[Jan Opp/Risk]:[Dec Opp./Risk]])</f>
        <v>-906368</v>
      </c>
      <c r="BP21" s="92"/>
      <c r="BQ21" s="47">
        <f>SUM(Financials2026[[#This Row],[Jan AC]:[Apr AC]])</f>
        <v>453184</v>
      </c>
      <c r="BS21" s="6"/>
      <c r="BT21" s="6"/>
      <c r="BU21" s="6"/>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ref="K22" si="16">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214204</v>
      </c>
      <c r="X22" s="15">
        <f t="shared" ref="X22" si="17">IF(V22 &gt;= W22, V22 - W22, 0)*-1</f>
        <v>-4676</v>
      </c>
      <c r="Y22" s="15">
        <f t="shared" ref="Y22" si="18">IF(W22 &gt; V22, W22 - V22, 0)</f>
        <v>0</v>
      </c>
      <c r="Z22" s="15">
        <f>SUM(Financials2026[[#This Row],[2026 Opportunity]:[2026 Risk]])</f>
        <v>-4676</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9"/>
        <v>145920</v>
      </c>
      <c r="AP22" s="61">
        <v>16128</v>
      </c>
      <c r="AQ22" s="61">
        <v>16464</v>
      </c>
      <c r="AR22" s="61">
        <v>16588</v>
      </c>
      <c r="AS22" s="61">
        <v>19104</v>
      </c>
      <c r="AT22" s="61"/>
      <c r="AU22" s="61"/>
      <c r="AV22" s="61"/>
      <c r="AW22" s="61"/>
      <c r="AX22" s="61"/>
      <c r="AY22" s="61"/>
      <c r="AZ22" s="61"/>
      <c r="BA22" s="61"/>
      <c r="BB22" s="80">
        <f>SUM(Financials2026[[#This Row],[Jan AC]:[Dec AC]])</f>
        <v>68284</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-18240</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-150596</v>
      </c>
      <c r="BP22" s="92" t="s">
        <v>546</v>
      </c>
      <c r="BQ22" s="47">
        <f>SUM(Financials2026[[#This Row],[Jan AC]:[Apr AC]])</f>
        <v>68284</v>
      </c>
      <c r="BS22" s="6"/>
      <c r="BT22" s="6"/>
      <c r="BU22" s="6"/>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14"/>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6"/>
        <v>-11777</v>
      </c>
      <c r="Y23" s="15">
        <f t="shared" si="15"/>
        <v>0</v>
      </c>
      <c r="Z23" s="15">
        <f>SUM(Financials2026[[#This Row],[2026 Opportunity]:[2026 Risk]])</f>
        <v>-11777</v>
      </c>
      <c r="AA23" s="3" t="s">
        <v>545</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9"/>
        <v>958720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546</v>
      </c>
      <c r="BQ23" s="47">
        <f>SUM(Financials2026[[#This Row],[Jan AC]:[Apr AC]])</f>
        <v>347743</v>
      </c>
      <c r="BS23" s="6"/>
      <c r="BT23" s="6"/>
      <c r="BU23" s="6"/>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ref="K24:K25" si="19">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6"/>
        <v>-81382</v>
      </c>
      <c r="Y24" s="15">
        <f t="shared" ref="Y24:Y25" si="20">IF(W24 &gt; V24, W24 - V24, 0)</f>
        <v>0</v>
      </c>
      <c r="Z24" s="15">
        <f>SUM(Financials2026[[#This Row],[2026 Opportunity]:[2026 Risk]])</f>
        <v>-81382</v>
      </c>
      <c r="AA24" s="3" t="s">
        <v>545</v>
      </c>
      <c r="AB24" s="53">
        <v>38560</v>
      </c>
      <c r="AC24" s="53">
        <v>38560</v>
      </c>
      <c r="AD24" s="53">
        <v>38560</v>
      </c>
      <c r="AE24" s="53">
        <v>38560</v>
      </c>
      <c r="AF24" s="53">
        <v>38560</v>
      </c>
      <c r="AG24" s="53">
        <f>38560-15840</f>
        <v>22720</v>
      </c>
      <c r="AH24" s="53">
        <f t="shared" ref="AH24:AM24" si="21">38560-15840</f>
        <v>22720</v>
      </c>
      <c r="AI24" s="53">
        <f t="shared" si="21"/>
        <v>22720</v>
      </c>
      <c r="AJ24" s="53">
        <f t="shared" si="21"/>
        <v>22720</v>
      </c>
      <c r="AK24" s="53">
        <f t="shared" si="21"/>
        <v>22720</v>
      </c>
      <c r="AL24" s="53">
        <f t="shared" si="21"/>
        <v>22720</v>
      </c>
      <c r="AM24" s="53">
        <f t="shared" si="21"/>
        <v>22720</v>
      </c>
      <c r="AN24" s="52">
        <f>SUM(Financials2026[[#This Row],[Jan FC]:[Dec FC]])</f>
        <v>351840</v>
      </c>
      <c r="AO24" s="15">
        <f t="shared" si="9"/>
        <v>197600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881</v>
      </c>
      <c r="BQ24" s="47">
        <f>SUM(Financials2026[[#This Row],[Jan AC]:[Apr AC]])</f>
        <v>96538</v>
      </c>
      <c r="BS24" s="6"/>
      <c r="BT24" s="6"/>
      <c r="BU24" s="6"/>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19"/>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1324496</v>
      </c>
      <c r="X25" s="15">
        <f t="shared" si="6"/>
        <v>-180784</v>
      </c>
      <c r="Y25" s="15">
        <f t="shared" si="20"/>
        <v>0</v>
      </c>
      <c r="Z25" s="15">
        <f>SUM(Financials2026[[#This Row],[2026 Opportunity]:[2026 Risk]])</f>
        <v>-180784</v>
      </c>
      <c r="AA25" s="3" t="s">
        <v>545</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f>
        <v>104440</v>
      </c>
      <c r="AJ25" s="53">
        <f>(Financials2026[[#This Row],[2026 Final Budget]]/12)-21000</f>
        <v>104440</v>
      </c>
      <c r="AK25" s="53">
        <f>(Financials2026[[#This Row],[2026 Final Budget]]/12)-21000</f>
        <v>104440</v>
      </c>
      <c r="AL25" s="53">
        <f>(Financials2026[[#This Row],[2026 Final Budget]]/12)-21000</f>
        <v>104440</v>
      </c>
      <c r="AM25" s="53">
        <f>(Financials2026[[#This Row],[2026 Final Budget]]/12)-21000</f>
        <v>104440</v>
      </c>
      <c r="AN25" s="52">
        <f>SUM(Financials2026[[#This Row],[Jan FC]:[Dec FC]])</f>
        <v>1358280</v>
      </c>
      <c r="AO25" s="15">
        <f t="shared" si="9"/>
        <v>856520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-104440</v>
      </c>
      <c r="BK25" s="71">
        <f>Financials2026[[#This Row],[Sep AC]]-Financials2026[[#This Row],[Sep FC]]</f>
        <v>-104440</v>
      </c>
      <c r="BL25" s="71">
        <f>Financials2026[[#This Row],[Oct AC]]-Financials2026[[#This Row],[Oct FC]]</f>
        <v>-104440</v>
      </c>
      <c r="BM25" s="71">
        <f>Financials2026[[#This Row],[Nov AC]]-Financials2026[[#This Row],[Nov FC]]</f>
        <v>-104440</v>
      </c>
      <c r="BN25" s="71">
        <f>Financials2026[[#This Row],[Dec AC]]-Financials2026[[#This Row],[Dec FC]]</f>
        <v>-104440</v>
      </c>
      <c r="BO25" s="71">
        <f>SUM(Financials2026[[#This Row],[Jan Opp/Risk]:[Dec Opp./Risk]])</f>
        <v>-1015744</v>
      </c>
      <c r="BP25" s="92" t="s">
        <v>882</v>
      </c>
      <c r="BQ25" s="47">
        <f>SUM(Financials2026[[#This Row],[Jan AC]:[Apr AC]])</f>
        <v>342536</v>
      </c>
      <c r="BS25" s="6"/>
      <c r="BT25" s="6"/>
      <c r="BU25" s="6"/>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ref="K26" si="22">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3">IF(V26 &gt;= W26, V26 - W26, 0)*-1</f>
        <v>0</v>
      </c>
      <c r="Y26" s="15">
        <f t="shared" ref="Y26" si="24">IF(W26 &gt; V26, W26 - V26, 0)</f>
        <v>2432</v>
      </c>
      <c r="Z26" s="15">
        <f>SUM(Financials2026[[#This Row],[2026 Opportunity]:[2026 Risk]])</f>
        <v>2432</v>
      </c>
      <c r="AA26" s="3" t="s">
        <v>545</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9"/>
        <v>194560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546</v>
      </c>
      <c r="BQ26" s="47">
        <f>SUM(Financials2026[[#This Row],[Jan AC]:[Apr AC]])</f>
        <v>75392</v>
      </c>
      <c r="BS26" s="6"/>
      <c r="BT26" s="6"/>
      <c r="BU26" s="6"/>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14"/>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6"/>
        <v>-73350</v>
      </c>
      <c r="Y27" s="15">
        <f t="shared" si="15"/>
        <v>0</v>
      </c>
      <c r="Z27" s="15">
        <f>SUM(Financials2026[[#This Row],[2026 Opportunity]:[2026 Risk]])</f>
        <v>-73350</v>
      </c>
      <c r="AA27" s="3" t="s">
        <v>862</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9"/>
        <v>56650</v>
      </c>
      <c r="AP27" s="61">
        <v>15000</v>
      </c>
      <c r="AQ27" s="61">
        <v>15000</v>
      </c>
      <c r="AR27" s="61">
        <v>15000</v>
      </c>
      <c r="AS27" s="61">
        <v>15000</v>
      </c>
      <c r="AT27" s="61">
        <v>15000</v>
      </c>
      <c r="AU27" s="61"/>
      <c r="AV27" s="61"/>
      <c r="AW27" s="61"/>
      <c r="AX27" s="61"/>
      <c r="AY27" s="61"/>
      <c r="AZ27" s="61"/>
      <c r="BA27" s="61"/>
      <c r="BB27" s="80">
        <f>SUM(Financials2026[[#This Row],[Jan AC]:[Dec AC]])</f>
        <v>75000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-5950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-41650</v>
      </c>
      <c r="BP27" s="90" t="s">
        <v>539</v>
      </c>
      <c r="BQ27" s="47">
        <f>SUM(Financials2026[[#This Row],[Jan AC]:[Apr AC]])</f>
        <v>60000</v>
      </c>
      <c r="BS27" s="6"/>
      <c r="BT27" s="6"/>
      <c r="BU27" s="6"/>
      <c r="BV27" s="6"/>
      <c r="BW27" s="6"/>
      <c r="BX27" s="6"/>
    </row>
    <row r="28" spans="1:76" ht="43.2" x14ac:dyDescent="0.3">
      <c r="A28" s="22" t="s">
        <v>101</v>
      </c>
      <c r="B28" s="21" t="s">
        <v>181</v>
      </c>
      <c r="C28" s="21"/>
      <c r="D28" s="10" t="s">
        <v>23</v>
      </c>
      <c r="E28" s="7" t="s">
        <v>194</v>
      </c>
      <c r="F28" s="3" t="s">
        <v>183</v>
      </c>
      <c r="G28" s="3" t="s">
        <v>51</v>
      </c>
      <c r="H28" s="4">
        <v>46023</v>
      </c>
      <c r="I28" s="4">
        <v>46387</v>
      </c>
      <c r="J28" s="3"/>
      <c r="K28" s="3" t="str">
        <f t="shared" si="14"/>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6"/>
        <v>0</v>
      </c>
      <c r="Y28" s="15">
        <f t="shared" si="15"/>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9"/>
        <v>438000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550</v>
      </c>
      <c r="BQ28" s="47">
        <f>SUM(Financials2026[[#This Row],[Jan AC]:[Apr AC]])</f>
        <v>154000</v>
      </c>
      <c r="BS28" s="6"/>
      <c r="BT28" s="6"/>
      <c r="BU28" s="6"/>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14"/>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515603.36</v>
      </c>
      <c r="X29" s="15">
        <f t="shared" si="6"/>
        <v>0</v>
      </c>
      <c r="Y29" s="15">
        <f t="shared" si="15"/>
        <v>112403.35999999999</v>
      </c>
      <c r="Z29" s="15">
        <f>SUM(Financials2026[[#This Row],[2026 Opportunity]:[2026 Risk]])</f>
        <v>112403.35999999999</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9"/>
        <v>268800</v>
      </c>
      <c r="AP29" s="61">
        <f>33600+23360.56</f>
        <v>56960.56</v>
      </c>
      <c r="AQ29" s="61">
        <f>28560+60962.8</f>
        <v>89522.8</v>
      </c>
      <c r="AR29" s="61">
        <v>63360</v>
      </c>
      <c r="AS29" s="61">
        <v>36960</v>
      </c>
      <c r="AT29" s="61"/>
      <c r="AU29" s="61"/>
      <c r="AV29" s="61"/>
      <c r="AW29" s="61"/>
      <c r="AX29" s="61"/>
      <c r="AY29" s="61"/>
      <c r="AZ29" s="61"/>
      <c r="BA29" s="61"/>
      <c r="BB29" s="80">
        <f>SUM(Financials2026[[#This Row],[Jan AC]:[Dec AC]])</f>
        <v>246803.36</v>
      </c>
      <c r="BC29" s="71">
        <f>Financials2026[[#This Row],[Jan AC]]-Financials2026[[#This Row],[Jan FC]]</f>
        <v>23360.559999999998</v>
      </c>
      <c r="BD29" s="71">
        <f>Financials2026[[#This Row],[Feb AC]]-Financials2026[[#This Row],[Feb FC]]</f>
        <v>55922.8</v>
      </c>
      <c r="BE29" s="71">
        <f>Financials2026[[#This Row],[Mar AC]]-Financials2026[[#This Row],[Mar FC]]</f>
        <v>29760</v>
      </c>
      <c r="BF29" s="71">
        <f>Financials2026[[#This Row],[Apr AC]]-Financials2026[[#This Row],[Apr FC]]</f>
        <v>3360</v>
      </c>
      <c r="BG29" s="71">
        <f>Financials2026[[#This Row],[May AC]]-Financials2026[[#This Row],[May FC]]</f>
        <v>-33600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-156396.64000000001</v>
      </c>
      <c r="BP29" s="92" t="s">
        <v>546</v>
      </c>
      <c r="BQ29" s="47">
        <f>SUM(Financials2026[[#This Row],[Jan AC]:[Apr AC]])</f>
        <v>246803.36</v>
      </c>
      <c r="BS29" s="6"/>
      <c r="BT29" s="6"/>
      <c r="BU29" s="6"/>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ref="K30:K32" si="25">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249900</v>
      </c>
      <c r="X30" s="15">
        <f t="shared" ref="X30:X32" si="26">IF(V30 &gt;= W30, V30 - W30, 0)*-1</f>
        <v>-2100</v>
      </c>
      <c r="Y30" s="15">
        <f t="shared" ref="Y30:Y32" si="27">IF(W30 &gt; V30, W30 - V30, 0)</f>
        <v>0</v>
      </c>
      <c r="Z30" s="15">
        <f>SUM(Financials2026[[#This Row],[2026 Opportunity]:[2026 Risk]])</f>
        <v>-2100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9"/>
        <v>168000</v>
      </c>
      <c r="AP30" s="61">
        <v>21000</v>
      </c>
      <c r="AQ30" s="61">
        <v>19950</v>
      </c>
      <c r="AR30" s="61">
        <v>23100</v>
      </c>
      <c r="AS30" s="61">
        <v>17850</v>
      </c>
      <c r="AT30" s="61"/>
      <c r="AU30" s="61"/>
      <c r="AV30" s="61"/>
      <c r="AW30" s="61"/>
      <c r="AX30" s="61"/>
      <c r="AY30" s="61"/>
      <c r="AZ30" s="61"/>
      <c r="BA30" s="61"/>
      <c r="BB30" s="80">
        <f>SUM(Financials2026[[#This Row],[Jan AC]:[Dec AC]])</f>
        <v>81900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-21000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-170100</v>
      </c>
      <c r="BP30" s="92" t="s">
        <v>546</v>
      </c>
      <c r="BQ30" s="47">
        <f>SUM(Financials2026[[#This Row],[Jan AC]:[Apr AC]])</f>
        <v>81900</v>
      </c>
      <c r="BS30" s="6"/>
      <c r="BT30" s="6"/>
      <c r="BU30" s="6"/>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25"/>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286000</v>
      </c>
      <c r="X31" s="15">
        <f t="shared" si="26"/>
        <v>-314000</v>
      </c>
      <c r="Y31" s="15">
        <f t="shared" si="27"/>
        <v>0</v>
      </c>
      <c r="Z31" s="15">
        <f>SUM(Financials2026[[#This Row],[2026 Opportunity]:[2026 Risk]])</f>
        <v>-314000</v>
      </c>
      <c r="AA31" s="3" t="s">
        <v>197</v>
      </c>
      <c r="AB31" s="52">
        <f>Financials2026[[#This Row],[2026 Final Budget]]/12</f>
        <v>50000</v>
      </c>
      <c r="AC31" s="52">
        <f>50000-26000</f>
        <v>24000</v>
      </c>
      <c r="AD31" s="52">
        <f t="shared" ref="AD31:AE31" si="28">50000-26000</f>
        <v>24000</v>
      </c>
      <c r="AE31" s="52">
        <f t="shared" si="28"/>
        <v>24000</v>
      </c>
      <c r="AF31" s="52">
        <f>50000-26000</f>
        <v>24000</v>
      </c>
      <c r="AG31" s="52">
        <f>50000-26000</f>
        <v>24000</v>
      </c>
      <c r="AH31" s="52">
        <f t="shared" ref="AH31:AM31" si="29">50000-26000</f>
        <v>24000</v>
      </c>
      <c r="AI31" s="52">
        <f t="shared" si="29"/>
        <v>24000</v>
      </c>
      <c r="AJ31" s="52">
        <f t="shared" si="29"/>
        <v>24000</v>
      </c>
      <c r="AK31" s="52">
        <f t="shared" si="29"/>
        <v>24000</v>
      </c>
      <c r="AL31" s="52">
        <f t="shared" si="29"/>
        <v>24000</v>
      </c>
      <c r="AM31" s="52">
        <f t="shared" si="29"/>
        <v>24000</v>
      </c>
      <c r="AN31" s="52">
        <f>SUM(Financials2026[[#This Row],[Jan FC]:[Dec FC]])</f>
        <v>314000</v>
      </c>
      <c r="AO31" s="15">
        <f t="shared" si="9"/>
        <v>192000</v>
      </c>
      <c r="AP31" s="61">
        <v>44800</v>
      </c>
      <c r="AQ31" s="61">
        <v>22800</v>
      </c>
      <c r="AR31" s="61">
        <v>0</v>
      </c>
      <c r="AS31" s="61">
        <v>26400</v>
      </c>
      <c r="AT31" s="61"/>
      <c r="AU31" s="61"/>
      <c r="AV31" s="61"/>
      <c r="AW31" s="61"/>
      <c r="AX31" s="61"/>
      <c r="AY31" s="61"/>
      <c r="AZ31" s="61"/>
      <c r="BA31" s="61"/>
      <c r="BB31" s="80">
        <f>SUM(Financials2026[[#This Row],[Jan AC]:[Dec AC]])</f>
        <v>94000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-24000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-220000</v>
      </c>
      <c r="BP31" s="92" t="s">
        <v>551</v>
      </c>
      <c r="BQ31" s="47">
        <f>SUM(Financials2026[[#This Row],[Jan AC]:[Apr AC]])</f>
        <v>94000</v>
      </c>
      <c r="BS31" s="6"/>
      <c r="BT31" s="6"/>
      <c r="BU31" s="6"/>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25"/>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6"/>
        <v>-77104</v>
      </c>
      <c r="Y32" s="15">
        <f t="shared" si="27"/>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30">13440-8000</f>
        <v>5440</v>
      </c>
      <c r="AG32" s="52">
        <f t="shared" si="30"/>
        <v>5440</v>
      </c>
      <c r="AH32" s="52">
        <f t="shared" si="30"/>
        <v>5440</v>
      </c>
      <c r="AI32" s="52">
        <f t="shared" si="30"/>
        <v>5440</v>
      </c>
      <c r="AJ32" s="52">
        <f t="shared" si="30"/>
        <v>5440</v>
      </c>
      <c r="AK32" s="52">
        <f t="shared" si="30"/>
        <v>5440</v>
      </c>
      <c r="AL32" s="52">
        <f t="shared" si="30"/>
        <v>5440</v>
      </c>
      <c r="AM32" s="52">
        <f t="shared" si="30"/>
        <v>5440</v>
      </c>
      <c r="AN32" s="52">
        <f>SUM(Financials2026[[#This Row],[Jan FC]:[Dec FC]])</f>
        <v>89280</v>
      </c>
      <c r="AO32" s="15">
        <f t="shared" si="9"/>
        <v>43520</v>
      </c>
      <c r="AP32" s="61">
        <v>11152</v>
      </c>
      <c r="AQ32" s="61">
        <v>11296</v>
      </c>
      <c r="AR32" s="61">
        <v>13584</v>
      </c>
      <c r="AS32" s="61">
        <v>4624</v>
      </c>
      <c r="AT32" s="61"/>
      <c r="AU32" s="61"/>
      <c r="AV32" s="61"/>
      <c r="AW32" s="61"/>
      <c r="AX32" s="61"/>
      <c r="AY32" s="61"/>
      <c r="AZ32" s="61"/>
      <c r="BA32" s="61"/>
      <c r="BB32" s="80">
        <f>SUM(Financials2026[[#This Row],[Jan AC]:[Dec AC]])</f>
        <v>40656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-5440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-48624</v>
      </c>
      <c r="BP32" s="92" t="s">
        <v>544</v>
      </c>
      <c r="BQ32" s="47">
        <f>SUM(Financials2026[[#This Row],[Jan AC]:[Apr AC]])</f>
        <v>40656</v>
      </c>
      <c r="BS32" s="6"/>
      <c r="BT32" s="6"/>
      <c r="BU32" s="6"/>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ref="K33" si="31">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ref="W33" si="32">AO33+IF(ISBLANK(AP33),AB33,AP33)+IF(ISBLANK(AQ33),AC33,AQ33)+IF(ISBLANK(AR33),AD33,AR33)+IF(ISBLANK(AS33),AE33,AS33)</f>
        <v>230400</v>
      </c>
      <c r="X33" s="15">
        <f t="shared" ref="X33" si="33">IF(V33 &gt;= W33, V33 - W33, 0)*-1</f>
        <v>0</v>
      </c>
      <c r="Y33" s="15">
        <f t="shared" ref="Y33" si="34">IF(W33 &gt; V33, W33 - V33, 0)</f>
        <v>0</v>
      </c>
      <c r="Z33" s="15">
        <f>SUM(Financials2026[[#This Row],[2026 Opportunity]:[2026 Risk]])</f>
        <v>0</v>
      </c>
      <c r="AA33" s="3" t="s">
        <v>892</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ref="AO33" si="35">SUM(AF33:AM33)</f>
        <v>230400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893</v>
      </c>
      <c r="BQ33" s="47">
        <f>SUM(Financials2026[[#This Row],[Jan AC]:[Apr AC]])</f>
        <v>0</v>
      </c>
      <c r="BS33" s="6"/>
      <c r="BT33" s="6"/>
      <c r="BU33" s="6"/>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14"/>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6"/>
        <v>-0.29249999998137355</v>
      </c>
      <c r="Y34" s="15">
        <f t="shared" si="15"/>
        <v>0</v>
      </c>
      <c r="Z34" s="15">
        <f>SUM(Financials2026[[#This Row],[2026 Opportunity]:[2026 Risk]])</f>
        <v>-0.29249999998137355</v>
      </c>
      <c r="AA34" s="3" t="s">
        <v>844</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9"/>
        <v>614280.59333333338</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853</v>
      </c>
      <c r="BQ34" s="47">
        <f>SUM(Financials2026[[#This Row],[Jan AC]:[Apr AC]])</f>
        <v>477263.04666666675</v>
      </c>
      <c r="BS34" s="6"/>
      <c r="BT34" s="6"/>
      <c r="BU34" s="6"/>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14"/>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6"/>
        <v>0</v>
      </c>
      <c r="Y35" s="15">
        <f t="shared" si="15"/>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75">
        <f>SUM(Financials2026[[#This Row],[Jan FC]:[Dec FC]])</f>
        <v>4005319.5599999991</v>
      </c>
      <c r="AO35" s="15">
        <f t="shared" ref="AO35:AO66" si="36">SUM(AF35:AM35)</f>
        <v>2670213.0399999996</v>
      </c>
      <c r="AP35" s="61">
        <f>321.73+3713.72+54129.99+9990+333777</f>
        <v>401932.44</v>
      </c>
      <c r="AQ35" s="61">
        <f t="shared" ref="AQ35:BA35" si="37">4005319.56/12</f>
        <v>333776.63</v>
      </c>
      <c r="AR35" s="61">
        <f t="shared" si="37"/>
        <v>333776.63</v>
      </c>
      <c r="AS35" s="61">
        <f t="shared" si="37"/>
        <v>333776.63</v>
      </c>
      <c r="AT35" s="61">
        <f t="shared" si="37"/>
        <v>333776.63</v>
      </c>
      <c r="AU35" s="61">
        <f t="shared" si="37"/>
        <v>333776.63</v>
      </c>
      <c r="AV35" s="61">
        <f t="shared" si="37"/>
        <v>333776.63</v>
      </c>
      <c r="AW35" s="61">
        <f t="shared" si="37"/>
        <v>333776.63</v>
      </c>
      <c r="AX35" s="61">
        <f t="shared" si="37"/>
        <v>333776.63</v>
      </c>
      <c r="AY35" s="61">
        <f t="shared" si="37"/>
        <v>333776.63</v>
      </c>
      <c r="AZ35" s="61">
        <f t="shared" si="37"/>
        <v>333776.63</v>
      </c>
      <c r="BA35" s="61">
        <f t="shared" si="37"/>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555</v>
      </c>
      <c r="BQ35" s="47">
        <f>SUM(Financials2026[[#This Row],[Jan AC]:[Apr AC]])</f>
        <v>1403262.33</v>
      </c>
      <c r="BS35" s="6"/>
      <c r="BT35" s="6"/>
      <c r="BU35" s="6"/>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14"/>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6"/>
        <v>-215775.62164999999</v>
      </c>
      <c r="Y36" s="15">
        <f t="shared" si="15"/>
        <v>0</v>
      </c>
      <c r="Z36" s="15">
        <f>SUM(Financials2026[[#This Row],[2026 Opportunity]:[2026 Risk]])</f>
        <v>-215775.62164999999</v>
      </c>
      <c r="AA36" s="3" t="s">
        <v>431</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36"/>
        <v>488180.94</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539</v>
      </c>
      <c r="BQ36" s="47">
        <f>SUM(Financials2026[[#This Row],[Jan AC]:[Apr AC]])</f>
        <v>347228.96</v>
      </c>
      <c r="BS36" s="6"/>
      <c r="BT36" s="6"/>
      <c r="BU36" s="6"/>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14"/>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6"/>
        <v>-2.9103830456733704E-11</v>
      </c>
      <c r="Y37" s="15">
        <f t="shared" si="15"/>
        <v>0</v>
      </c>
      <c r="Z37" s="15">
        <f>SUM(Financials2026[[#This Row],[2026 Opportunity]:[2026 Risk]])</f>
        <v>-2.9103830456733704E-11</v>
      </c>
      <c r="AA37" s="3" t="s">
        <v>432</v>
      </c>
      <c r="AB37" s="52">
        <f t="shared" ref="AB37:AU37" si="38">200000/12</f>
        <v>16666.666666666668</v>
      </c>
      <c r="AC37" s="52">
        <f t="shared" si="38"/>
        <v>16666.666666666668</v>
      </c>
      <c r="AD37" s="52">
        <f t="shared" si="38"/>
        <v>16666.666666666668</v>
      </c>
      <c r="AE37" s="52">
        <f t="shared" si="38"/>
        <v>16666.666666666668</v>
      </c>
      <c r="AF37" s="52">
        <f t="shared" si="38"/>
        <v>16666.666666666668</v>
      </c>
      <c r="AG37" s="52">
        <f t="shared" si="38"/>
        <v>16666.666666666668</v>
      </c>
      <c r="AH37" s="52">
        <f t="shared" si="38"/>
        <v>16666.666666666668</v>
      </c>
      <c r="AI37" s="52">
        <f t="shared" si="38"/>
        <v>16666.666666666668</v>
      </c>
      <c r="AJ37" s="52">
        <f t="shared" si="38"/>
        <v>16666.666666666668</v>
      </c>
      <c r="AK37" s="52">
        <f t="shared" si="38"/>
        <v>16666.666666666668</v>
      </c>
      <c r="AL37" s="52">
        <f t="shared" si="38"/>
        <v>16666.666666666668</v>
      </c>
      <c r="AM37" s="52">
        <f t="shared" si="38"/>
        <v>16666.666666666668</v>
      </c>
      <c r="AN37" s="52">
        <f>SUM(Financials2026[[#This Row],[Jan FC]:[Dec FC]])</f>
        <v>199999.99999999997</v>
      </c>
      <c r="AO37" s="15">
        <f t="shared" si="36"/>
        <v>133333.33333333334</v>
      </c>
      <c r="AP37" s="61">
        <f t="shared" si="38"/>
        <v>16666.666666666668</v>
      </c>
      <c r="AQ37" s="61">
        <f t="shared" si="38"/>
        <v>16666.666666666668</v>
      </c>
      <c r="AR37" s="61">
        <f t="shared" si="38"/>
        <v>16666.666666666668</v>
      </c>
      <c r="AS37" s="61">
        <f t="shared" si="38"/>
        <v>16666.666666666668</v>
      </c>
      <c r="AT37" s="61">
        <f t="shared" si="38"/>
        <v>16666.666666666668</v>
      </c>
      <c r="AU37" s="61">
        <f t="shared" si="38"/>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14"/>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6"/>
        <v>-1.4551915228366852E-11</v>
      </c>
      <c r="Y38" s="15">
        <f t="shared" si="15"/>
        <v>0</v>
      </c>
      <c r="Z38" s="15">
        <f>SUM(Financials2026[[#This Row],[2026 Opportunity]:[2026 Risk]])</f>
        <v>-1.4551915228366852E-11</v>
      </c>
      <c r="AA38" s="3" t="s">
        <v>433</v>
      </c>
      <c r="AB38" s="52">
        <f>100000/12</f>
        <v>8333.3333333333339</v>
      </c>
      <c r="AC38" s="52">
        <f>100000/12</f>
        <v>8333.3333333333339</v>
      </c>
      <c r="AD38" s="52">
        <f>100000/12</f>
        <v>8333.3333333333339</v>
      </c>
      <c r="AE38" s="52">
        <f>100000/12</f>
        <v>8333.3333333333339</v>
      </c>
      <c r="AF38" s="52">
        <f>100000/12</f>
        <v>8333.3333333333339</v>
      </c>
      <c r="AG38" s="52">
        <f t="shared" ref="AG38:AM38" si="39">+AF38</f>
        <v>8333.3333333333339</v>
      </c>
      <c r="AH38" s="52">
        <f t="shared" si="39"/>
        <v>8333.3333333333339</v>
      </c>
      <c r="AI38" s="52">
        <f t="shared" si="39"/>
        <v>8333.3333333333339</v>
      </c>
      <c r="AJ38" s="52">
        <f t="shared" si="39"/>
        <v>8333.3333333333339</v>
      </c>
      <c r="AK38" s="52">
        <f t="shared" si="39"/>
        <v>8333.3333333333339</v>
      </c>
      <c r="AL38" s="52">
        <f t="shared" si="39"/>
        <v>8333.3333333333339</v>
      </c>
      <c r="AM38" s="52">
        <f t="shared" si="39"/>
        <v>8333.3333333333339</v>
      </c>
      <c r="AN38" s="52">
        <f>SUM(Financials2026[[#This Row],[Jan FC]:[Dec FC]])</f>
        <v>99999.999999999985</v>
      </c>
      <c r="AO38" s="15">
        <f t="shared" si="36"/>
        <v>66666.666666666672</v>
      </c>
      <c r="AP38" s="61">
        <f>100000/12</f>
        <v>8333.3333333333339</v>
      </c>
      <c r="AQ38" s="61">
        <f>100000/12</f>
        <v>8333.3333333333339</v>
      </c>
      <c r="AR38" s="61">
        <f>100000/12</f>
        <v>8333.3333333333339</v>
      </c>
      <c r="AS38" s="61">
        <f>100000/12</f>
        <v>8333.3333333333339</v>
      </c>
      <c r="AT38" s="61">
        <f>100000/12</f>
        <v>8333.3333333333339</v>
      </c>
      <c r="AU38" s="61">
        <f t="shared" ref="AU38" si="40">+AT38</f>
        <v>8333.3333333333339</v>
      </c>
      <c r="AV38" s="61">
        <f t="shared" ref="AV38" si="41">+AU38</f>
        <v>8333.3333333333339</v>
      </c>
      <c r="AW38" s="61">
        <f t="shared" ref="AW38" si="42">+AV38</f>
        <v>8333.3333333333339</v>
      </c>
      <c r="AX38" s="61">
        <f t="shared" ref="AX38" si="43">+AW38</f>
        <v>8333.3333333333339</v>
      </c>
      <c r="AY38" s="61">
        <f t="shared" ref="AY38" si="44">+AX38</f>
        <v>8333.3333333333339</v>
      </c>
      <c r="AZ38" s="61">
        <f t="shared" ref="AZ38" si="45">+AY38</f>
        <v>8333.3333333333339</v>
      </c>
      <c r="BA38" s="61">
        <f t="shared" ref="BA38" si="46">+AZ38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14"/>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440671.00000000012</v>
      </c>
      <c r="X39" s="15">
        <f t="shared" si="6"/>
        <v>-0.34999999991850927</v>
      </c>
      <c r="Y39" s="15">
        <f t="shared" si="15"/>
        <v>0</v>
      </c>
      <c r="Z39" s="15">
        <f>SUM(Financials2026[[#This Row],[2026 Opportunity]:[2026 Risk]])</f>
        <v>-0.34999999991850927</v>
      </c>
      <c r="AA39" s="3" t="s">
        <v>434</v>
      </c>
      <c r="AB39" s="52"/>
      <c r="AC39" s="52"/>
      <c r="AD39" s="52">
        <f t="shared" ref="AD39:AL39" si="47">434810.4/12</f>
        <v>36234.200000000004</v>
      </c>
      <c r="AE39" s="52">
        <f t="shared" si="47"/>
        <v>36234.200000000004</v>
      </c>
      <c r="AF39" s="52">
        <f t="shared" si="47"/>
        <v>36234.200000000004</v>
      </c>
      <c r="AG39" s="52">
        <f t="shared" si="47"/>
        <v>36234.200000000004</v>
      </c>
      <c r="AH39" s="52">
        <f t="shared" si="47"/>
        <v>36234.200000000004</v>
      </c>
      <c r="AI39" s="52">
        <f t="shared" si="47"/>
        <v>36234.200000000004</v>
      </c>
      <c r="AJ39" s="52">
        <f t="shared" si="47"/>
        <v>36234.200000000004</v>
      </c>
      <c r="AK39" s="52">
        <f t="shared" si="47"/>
        <v>36234.200000000004</v>
      </c>
      <c r="AL39" s="52">
        <f t="shared" si="47"/>
        <v>36234.200000000004</v>
      </c>
      <c r="AM39" s="88">
        <f>(434810.4/12)+78329</f>
        <v>114563.20000000001</v>
      </c>
      <c r="AN39" s="52">
        <f>SUM(Financials2026[[#This Row],[Jan FC]:[Dec FC]])</f>
        <v>440671.00000000006</v>
      </c>
      <c r="AO39" s="15">
        <f t="shared" si="36"/>
        <v>368202.60000000009</v>
      </c>
      <c r="AP39" s="61"/>
      <c r="AQ39" s="61"/>
      <c r="AR39" s="61">
        <f t="shared" ref="AR39:BA39" si="48">434810.4/12</f>
        <v>36234.200000000004</v>
      </c>
      <c r="AS39" s="61">
        <f t="shared" si="48"/>
        <v>36234.200000000004</v>
      </c>
      <c r="AT39" s="61">
        <f t="shared" si="48"/>
        <v>36234.200000000004</v>
      </c>
      <c r="AU39" s="61">
        <f t="shared" si="48"/>
        <v>36234.200000000004</v>
      </c>
      <c r="AV39" s="61">
        <f t="shared" si="48"/>
        <v>36234.200000000004</v>
      </c>
      <c r="AW39" s="61">
        <f t="shared" si="48"/>
        <v>36234.200000000004</v>
      </c>
      <c r="AX39" s="61">
        <f t="shared" si="48"/>
        <v>36234.200000000004</v>
      </c>
      <c r="AY39" s="61">
        <f t="shared" si="48"/>
        <v>36234.200000000004</v>
      </c>
      <c r="AZ39" s="61">
        <f t="shared" si="48"/>
        <v>36234.200000000004</v>
      </c>
      <c r="BA39" s="61">
        <f t="shared" si="48"/>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489</v>
      </c>
      <c r="BQ39" s="47">
        <f>SUM(Financials2026[[#This Row],[Jan AC]:[Apr AC]])</f>
        <v>72468.400000000009</v>
      </c>
      <c r="BS39" s="6"/>
      <c r="BT39" s="6"/>
      <c r="BU39" s="6"/>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14"/>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15000.4</v>
      </c>
      <c r="X40" s="15">
        <f t="shared" si="6"/>
        <v>0</v>
      </c>
      <c r="Y40" s="15">
        <f t="shared" si="15"/>
        <v>0.3999999999996362</v>
      </c>
      <c r="Z40" s="15">
        <f>SUM(Financials2026[[#This Row],[2026 Opportunity]:[2026 Risk]])</f>
        <v>0.3999999999996362</v>
      </c>
      <c r="AA40" s="3" t="s">
        <v>435</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36"/>
        <v>12338</v>
      </c>
      <c r="AP40" s="61">
        <v>0</v>
      </c>
      <c r="AQ40" s="61">
        <v>0</v>
      </c>
      <c r="AR40" s="61">
        <v>696.32</v>
      </c>
      <c r="AS40" s="61">
        <v>1966.08</v>
      </c>
      <c r="AT40" s="61">
        <v>1966.08</v>
      </c>
      <c r="AU40" s="61"/>
      <c r="AV40" s="61"/>
      <c r="AW40" s="61"/>
      <c r="AX40" s="61"/>
      <c r="AY40" s="61"/>
      <c r="AZ40" s="61"/>
      <c r="BA40" s="61"/>
      <c r="BB40" s="80">
        <f>SUM(Financials2026[[#This Row],[Jan AC]:[Dec AC]])</f>
        <v>4628.4799999999996</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-1250</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-13426.52</v>
      </c>
      <c r="BP40" s="90" t="s">
        <v>535</v>
      </c>
      <c r="BQ40" s="47">
        <f>SUM(Financials2026[[#This Row],[Jan AC]:[Apr AC]])</f>
        <v>2662.4</v>
      </c>
      <c r="BS40" s="6"/>
      <c r="BT40" s="6"/>
      <c r="BU40" s="6"/>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14"/>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7477394.7100000009</v>
      </c>
      <c r="X41" s="15">
        <f t="shared" si="6"/>
        <v>-22605.289999999106</v>
      </c>
      <c r="Y41" s="15">
        <f t="shared" si="15"/>
        <v>0</v>
      </c>
      <c r="Z41" s="15">
        <f>SUM(Financials2026[[#This Row],[2026 Opportunity]:[2026 Risk]])</f>
        <v>-22605.289999999106</v>
      </c>
      <c r="AA41" s="3" t="s">
        <v>436</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36"/>
        <v>4983224</v>
      </c>
      <c r="AP41" s="61">
        <f>553.89+659816.51</f>
        <v>660370.4</v>
      </c>
      <c r="AQ41" s="61">
        <f>573.85+983.04+602302.68</f>
        <v>603859.57000000007</v>
      </c>
      <c r="AR41" s="61">
        <f>983.04+573.85+625988.8</f>
        <v>627545.69000000006</v>
      </c>
      <c r="AS41" s="61">
        <f>573.85+601821.2</f>
        <v>602395.04999999993</v>
      </c>
      <c r="AT41" s="61">
        <v>573.85</v>
      </c>
      <c r="AU41" s="61"/>
      <c r="AV41" s="61"/>
      <c r="AW41" s="61"/>
      <c r="AX41" s="61"/>
      <c r="AY41" s="61"/>
      <c r="AZ41" s="61"/>
      <c r="BA41" s="61"/>
      <c r="BB41" s="80">
        <f>SUM(Financials2026[[#This Row],[Jan AC]:[Dec AC]])</f>
        <v>2494744.56</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-625000</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-4988479.4399999995</v>
      </c>
      <c r="BP41" s="92" t="s">
        <v>536</v>
      </c>
      <c r="BQ41" s="47">
        <f>SUM(Financials2026[[#This Row],[Jan AC]:[Apr AC]])</f>
        <v>2494170.71</v>
      </c>
      <c r="BS41" s="6"/>
      <c r="BT41" s="6"/>
      <c r="BU41" s="6"/>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14"/>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6"/>
        <v>0</v>
      </c>
      <c r="Y42" s="15">
        <f t="shared" si="15"/>
        <v>0</v>
      </c>
      <c r="Z42" s="15">
        <f>SUM(Financials2026[[#This Row],[2026 Opportunity]:[2026 Risk]])</f>
        <v>0</v>
      </c>
      <c r="AA42" s="3" t="s">
        <v>437</v>
      </c>
      <c r="AB42" s="52">
        <f t="shared" ref="AB42:AH42" si="49">(97200)/12</f>
        <v>8100</v>
      </c>
      <c r="AC42" s="52">
        <f t="shared" si="49"/>
        <v>8100</v>
      </c>
      <c r="AD42" s="52">
        <f t="shared" si="49"/>
        <v>8100</v>
      </c>
      <c r="AE42" s="52">
        <f t="shared" si="49"/>
        <v>8100</v>
      </c>
      <c r="AF42" s="52">
        <f t="shared" si="49"/>
        <v>8100</v>
      </c>
      <c r="AG42" s="52">
        <f t="shared" si="49"/>
        <v>8100</v>
      </c>
      <c r="AH42" s="52">
        <f t="shared" si="49"/>
        <v>8100</v>
      </c>
      <c r="AI42" s="52">
        <f>102060/12</f>
        <v>8505</v>
      </c>
      <c r="AJ42" s="52">
        <f t="shared" ref="AJ42:AM42" si="50">102060/12</f>
        <v>8505</v>
      </c>
      <c r="AK42" s="52">
        <f t="shared" si="50"/>
        <v>8505</v>
      </c>
      <c r="AL42" s="52">
        <f t="shared" si="50"/>
        <v>8505</v>
      </c>
      <c r="AM42" s="52">
        <f t="shared" si="50"/>
        <v>8505</v>
      </c>
      <c r="AN42" s="52">
        <f>SUM(Financials2026[[#This Row],[Jan FC]:[Dec FC]])</f>
        <v>99225</v>
      </c>
      <c r="AO42" s="15">
        <f t="shared" si="36"/>
        <v>66825</v>
      </c>
      <c r="AP42" s="61">
        <f t="shared" ref="AP42:AV42" si="51">(97200)/12</f>
        <v>8100</v>
      </c>
      <c r="AQ42" s="61">
        <f t="shared" si="51"/>
        <v>8100</v>
      </c>
      <c r="AR42" s="61">
        <f t="shared" si="51"/>
        <v>8100</v>
      </c>
      <c r="AS42" s="61">
        <f t="shared" si="51"/>
        <v>8100</v>
      </c>
      <c r="AT42" s="61">
        <f t="shared" si="51"/>
        <v>8100</v>
      </c>
      <c r="AU42" s="61">
        <f t="shared" si="51"/>
        <v>8100</v>
      </c>
      <c r="AV42" s="61">
        <f t="shared" si="51"/>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14"/>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80544.812250000017</v>
      </c>
      <c r="X43" s="15">
        <f t="shared" si="6"/>
        <v>-6404.9107499999955</v>
      </c>
      <c r="Y43" s="15">
        <f t="shared" si="15"/>
        <v>0</v>
      </c>
      <c r="Z43" s="15">
        <f>SUM(Financials2026[[#This Row],[2026 Opportunity]:[2026 Risk]])</f>
        <v>-6404.9107499999955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52">
        <f>7245.81025+6405+5564</f>
        <v>19214.810250000002</v>
      </c>
      <c r="AN43" s="52">
        <f>SUM(Financials2026[[#This Row],[Jan FC]:[Dec FC]])</f>
        <v>86949.742500000022</v>
      </c>
      <c r="AO43" s="15">
        <f t="shared" si="36"/>
        <v>69935.482000000018</v>
      </c>
      <c r="AP43" s="61">
        <v>840.88</v>
      </c>
      <c r="AQ43" s="61">
        <v>1681.7600000000002</v>
      </c>
      <c r="AR43" s="61">
        <v>840.88000000000011</v>
      </c>
      <c r="AS43" s="61"/>
      <c r="AT43" s="61"/>
      <c r="AU43" s="61"/>
      <c r="AV43" s="61"/>
      <c r="AW43" s="61"/>
      <c r="AX43" s="61"/>
      <c r="AY43" s="61"/>
      <c r="AZ43" s="61"/>
      <c r="BA43" s="61"/>
      <c r="BB43" s="80">
        <f>SUM(Financials2026[[#This Row],[Jan AC]:[Dec AC]])</f>
        <v>3363.5200000000004</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-7245.8102500000014</v>
      </c>
      <c r="BH43" s="71">
        <f>Financials2026[[#This Row],[Jun AC]]-Financials2026[[#This Row],[Jun FC]]</f>
        <v>-7245.8102500000014</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-19214.810250000002</v>
      </c>
      <c r="BO43" s="71">
        <f>SUM(Financials2026[[#This Row],[Jan Opp/Risk]:[Dec Opp./Risk]])</f>
        <v>-83586.222500000018</v>
      </c>
      <c r="BP43" s="90" t="s">
        <v>558</v>
      </c>
      <c r="BQ43" s="47">
        <f>SUM(Financials2026[[#This Row],[Jan AC]:[Apr AC]])</f>
        <v>3363.5200000000004</v>
      </c>
      <c r="BS43" s="6"/>
      <c r="BT43" s="6"/>
      <c r="BU43" s="6"/>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14"/>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6"/>
        <v>0</v>
      </c>
      <c r="Y44" s="15">
        <f t="shared" si="15"/>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36"/>
        <v>63000.37</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864</v>
      </c>
      <c r="BQ44" s="47">
        <f>SUM(Financials2026[[#This Row],[Jan AC]:[Apr AC]])</f>
        <v>0</v>
      </c>
      <c r="BS44" s="6"/>
      <c r="BT44" s="6"/>
      <c r="BU44" s="6"/>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14"/>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6"/>
        <v>0</v>
      </c>
      <c r="Y45" s="15">
        <f t="shared" si="15"/>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36"/>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14"/>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6"/>
        <v>0</v>
      </c>
      <c r="Y46" s="15">
        <f t="shared" si="15"/>
        <v>0</v>
      </c>
      <c r="Z46" s="15">
        <f>SUM(Financials2026[[#This Row],[2026 Opportunity]:[2026 Risk]])</f>
        <v>0</v>
      </c>
      <c r="AA46" s="3" t="s">
        <v>438</v>
      </c>
      <c r="AB46" s="52"/>
      <c r="AC46" s="52"/>
      <c r="AD46" s="52">
        <v>1100.47</v>
      </c>
      <c r="AE46" s="52"/>
      <c r="AF46" s="52"/>
      <c r="AG46" s="51"/>
      <c r="AH46" s="52"/>
      <c r="AI46" s="52">
        <v>62225.03</v>
      </c>
      <c r="AJ46" s="52"/>
      <c r="AK46" s="52"/>
      <c r="AL46" s="52"/>
      <c r="AM46" s="52"/>
      <c r="AN46" s="52">
        <f>SUM(Financials2026[[#This Row],[Jan FC]:[Dec FC]])</f>
        <v>63325.5</v>
      </c>
      <c r="AO46" s="15">
        <f t="shared" si="36"/>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14"/>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6"/>
        <v>0</v>
      </c>
      <c r="Y47" s="15">
        <f t="shared" si="15"/>
        <v>0</v>
      </c>
      <c r="Z47" s="15">
        <f>SUM(Financials2026[[#This Row],[2026 Opportunity]:[2026 Risk]])</f>
        <v>0</v>
      </c>
      <c r="AA47" s="3" t="s">
        <v>865</v>
      </c>
      <c r="AB47" s="52"/>
      <c r="AC47" s="52"/>
      <c r="AD47" s="52"/>
      <c r="AE47" s="52"/>
      <c r="AF47" s="52">
        <v>4800</v>
      </c>
      <c r="AG47" s="46">
        <f>10080-4800</f>
        <v>5280</v>
      </c>
      <c r="AH47" s="52"/>
      <c r="AI47" s="52"/>
      <c r="AJ47" s="52"/>
      <c r="AK47" s="52"/>
      <c r="AL47" s="52"/>
      <c r="AM47" s="52"/>
      <c r="AN47" s="52">
        <f>SUM(Financials2026[[#This Row],[Jan FC]:[Dec FC]])</f>
        <v>10080</v>
      </c>
      <c r="AO47" s="15">
        <f t="shared" si="36"/>
        <v>10080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866</v>
      </c>
      <c r="BQ47" s="47">
        <f>SUM(Financials2026[[#This Row],[Jan AC]:[Apr AC]])</f>
        <v>0</v>
      </c>
      <c r="BS47" s="6"/>
      <c r="BT47" s="6"/>
      <c r="BU47" s="6"/>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14"/>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6"/>
        <v>-6029.2125000000233</v>
      </c>
      <c r="Y48" s="15">
        <f t="shared" si="15"/>
        <v>0</v>
      </c>
      <c r="Z48" s="15">
        <f>SUM(Financials2026[[#This Row],[2026 Opportunity]:[2026 Risk]])</f>
        <v>-6029.2125000000233</v>
      </c>
      <c r="AA48" s="3" t="s">
        <v>534</v>
      </c>
      <c r="AB48" s="52"/>
      <c r="AC48" s="52"/>
      <c r="AD48" s="52"/>
      <c r="AE48" s="52">
        <v>232868.65</v>
      </c>
      <c r="AF48" s="52"/>
      <c r="AG48" s="51"/>
      <c r="AH48" s="52"/>
      <c r="AI48" s="52"/>
      <c r="AJ48" s="52"/>
      <c r="AK48" s="52"/>
      <c r="AL48" s="52"/>
      <c r="AM48" s="52"/>
      <c r="AN48" s="52">
        <f>SUM(Financials2026[[#This Row],[Jan FC]:[Dec FC]])</f>
        <v>232868.65</v>
      </c>
      <c r="AO48" s="15">
        <f t="shared" si="36"/>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549</v>
      </c>
      <c r="BQ48" s="47">
        <f>SUM(Financials2026[[#This Row],[Jan AC]:[Apr AC]])</f>
        <v>0</v>
      </c>
      <c r="BS48" s="6"/>
      <c r="BT48" s="6"/>
      <c r="BU48" s="6"/>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14"/>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6"/>
        <v>-600</v>
      </c>
      <c r="Y49" s="15">
        <f t="shared" si="15"/>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36"/>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539</v>
      </c>
      <c r="BQ49" s="47">
        <f>SUM(Financials2026[[#This Row],[Jan AC]:[Apr AC]])</f>
        <v>12000</v>
      </c>
      <c r="BS49" s="6"/>
      <c r="BT49" s="6"/>
      <c r="BU49" s="6"/>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14"/>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6"/>
        <v>0</v>
      </c>
      <c r="Y50" s="15">
        <f t="shared" si="15"/>
        <v>0</v>
      </c>
      <c r="Z50" s="15">
        <f>SUM(Financials2026[[#This Row],[2026 Opportunity]:[2026 Risk]])</f>
        <v>0</v>
      </c>
      <c r="AA50" s="3" t="s">
        <v>439</v>
      </c>
      <c r="AB50" s="52"/>
      <c r="AC50" s="52"/>
      <c r="AD50" s="52"/>
      <c r="AE50" s="52"/>
      <c r="AF50" s="52"/>
      <c r="AG50" s="51"/>
      <c r="AH50" s="52"/>
      <c r="AI50" s="52">
        <v>90000</v>
      </c>
      <c r="AJ50" s="52"/>
      <c r="AK50" s="52"/>
      <c r="AL50" s="51"/>
      <c r="AM50" s="51"/>
      <c r="AN50" s="51">
        <f>SUM(Financials2026[[#This Row],[Jan FC]:[Dec FC]])</f>
        <v>90000</v>
      </c>
      <c r="AO50" s="15">
        <f t="shared" si="36"/>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4"/>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96543</v>
      </c>
      <c r="X51" s="15">
        <f t="shared" si="6"/>
        <v>0</v>
      </c>
      <c r="Y51" s="15">
        <f t="shared" si="15"/>
        <v>0</v>
      </c>
      <c r="Z51" s="15">
        <f>SUM(Financials2026[[#This Row],[2026 Opportunity]:[2026 Risk]])</f>
        <v>0</v>
      </c>
      <c r="AA51" s="3" t="s">
        <v>854</v>
      </c>
      <c r="AB51" s="52"/>
      <c r="AC51" s="52"/>
      <c r="AD51" s="52"/>
      <c r="AE51" s="52"/>
      <c r="AF51" s="52">
        <f>96543</f>
        <v>96543</v>
      </c>
      <c r="AG51" s="52"/>
      <c r="AH51" s="52"/>
      <c r="AI51" s="52"/>
      <c r="AJ51" s="52"/>
      <c r="AK51" s="52"/>
      <c r="AL51" s="52"/>
      <c r="AM51" s="52"/>
      <c r="AN51" s="51">
        <f>SUM(Financials2026[[#This Row],[Jan FC]:[Dec FC]])</f>
        <v>96543</v>
      </c>
      <c r="AO51" s="15">
        <f t="shared" si="36"/>
        <v>96543</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843</v>
      </c>
      <c r="BQ51" s="47">
        <f>SUM(Financials2026[[#This Row],[Jan AC]:[Apr AC]])</f>
        <v>0</v>
      </c>
      <c r="BS51" s="6"/>
      <c r="BT51" s="6"/>
      <c r="BU51" s="6"/>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14"/>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6"/>
        <v>0</v>
      </c>
      <c r="Y52" s="15">
        <f t="shared" si="15"/>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36"/>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14"/>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6"/>
        <v>0</v>
      </c>
      <c r="Y53" s="15">
        <f t="shared" si="15"/>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36"/>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ref="K54:K83" si="52">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6"/>
        <v>0</v>
      </c>
      <c r="Y54" s="15">
        <f t="shared" ref="Y54:Y83" si="53">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36"/>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52"/>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6"/>
        <v>0</v>
      </c>
      <c r="Y55" s="15">
        <f t="shared" si="53"/>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36"/>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52"/>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6"/>
        <v>0</v>
      </c>
      <c r="Y56" s="15">
        <f t="shared" si="53"/>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36"/>
        <v>26065</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52"/>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6"/>
        <v>0</v>
      </c>
      <c r="Y57" s="15">
        <f t="shared" si="53"/>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36"/>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539</v>
      </c>
      <c r="BQ57" s="47">
        <f>SUM(Financials2026[[#This Row],[Jan AC]:[Apr AC]])</f>
        <v>1719.9</v>
      </c>
      <c r="BS57" s="6"/>
      <c r="BT57" s="6"/>
      <c r="BU57" s="6"/>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52"/>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6"/>
        <v>0</v>
      </c>
      <c r="Y58" s="15">
        <f t="shared" si="53"/>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36"/>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539</v>
      </c>
      <c r="BQ58" s="47">
        <f>SUM(Financials2026[[#This Row],[Jan AC]:[Apr AC]])</f>
        <v>1472.85</v>
      </c>
      <c r="BS58" s="6"/>
      <c r="BT58" s="6"/>
      <c r="BU58" s="6"/>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52"/>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6"/>
        <v>0</v>
      </c>
      <c r="Y59" s="15">
        <f t="shared" si="53"/>
        <v>173535.71666666702</v>
      </c>
      <c r="Z59" s="15">
        <f>SUM(Financials2026[[#This Row],[2026 Opportunity]:[2026 Risk]])</f>
        <v>173535.71666666702</v>
      </c>
      <c r="AA59" s="3" t="s">
        <v>440</v>
      </c>
      <c r="AB59" s="51">
        <f t="shared" ref="AB59:AT59" si="54">(1900385/12)</f>
        <v>158365.41666666666</v>
      </c>
      <c r="AC59" s="51">
        <f t="shared" si="54"/>
        <v>158365.41666666666</v>
      </c>
      <c r="AD59" s="51">
        <f t="shared" si="54"/>
        <v>158365.41666666666</v>
      </c>
      <c r="AE59" s="51">
        <f t="shared" si="54"/>
        <v>158365.41666666666</v>
      </c>
      <c r="AF59" s="51">
        <f t="shared" si="54"/>
        <v>158365.41666666666</v>
      </c>
      <c r="AG59" s="51">
        <f>(2197874.8/12)</f>
        <v>183156.23333333331</v>
      </c>
      <c r="AH59" s="51">
        <f t="shared" ref="AH59:AM59" si="55">(2197874.8/12)</f>
        <v>183156.23333333331</v>
      </c>
      <c r="AI59" s="51">
        <f t="shared" si="55"/>
        <v>183156.23333333331</v>
      </c>
      <c r="AJ59" s="51">
        <f t="shared" si="55"/>
        <v>183156.23333333331</v>
      </c>
      <c r="AK59" s="51">
        <f t="shared" si="55"/>
        <v>183156.23333333331</v>
      </c>
      <c r="AL59" s="51">
        <f t="shared" si="55"/>
        <v>183156.23333333331</v>
      </c>
      <c r="AM59" s="51">
        <f t="shared" si="55"/>
        <v>183156.23333333331</v>
      </c>
      <c r="AN59" s="51">
        <f>SUM(Financials2026[[#This Row],[Jan FC]:[Dec FC]])</f>
        <v>2073920.7166666668</v>
      </c>
      <c r="AO59" s="15">
        <f t="shared" si="36"/>
        <v>1440459.05</v>
      </c>
      <c r="AP59" s="60">
        <f t="shared" si="54"/>
        <v>158365.41666666666</v>
      </c>
      <c r="AQ59" s="60">
        <f t="shared" si="54"/>
        <v>158365.41666666666</v>
      </c>
      <c r="AR59" s="60">
        <f t="shared" si="54"/>
        <v>158365.41666666666</v>
      </c>
      <c r="AS59" s="60">
        <f t="shared" si="54"/>
        <v>158365.41666666666</v>
      </c>
      <c r="AT59" s="60">
        <f t="shared" si="54"/>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52"/>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303983.05</v>
      </c>
      <c r="X60" s="15">
        <f t="shared" si="6"/>
        <v>-3630.7500000000582</v>
      </c>
      <c r="Y60" s="15">
        <f t="shared" si="53"/>
        <v>0</v>
      </c>
      <c r="Z60" s="15">
        <f>SUM(Financials2026[[#This Row],[2026 Opportunity]:[2026 Risk]])</f>
        <v>-3630.7500000000582</v>
      </c>
      <c r="AA60" s="3" t="s">
        <v>441</v>
      </c>
      <c r="AB60" s="51">
        <v>24908.333333333332</v>
      </c>
      <c r="AC60" s="51">
        <v>24908.333333333332</v>
      </c>
      <c r="AD60" s="51">
        <v>24908.333333333332</v>
      </c>
      <c r="AE60" s="51">
        <v>24908.333333333332</v>
      </c>
      <c r="AF60" s="51">
        <v>24908.333333333332</v>
      </c>
      <c r="AG60" s="51">
        <v>25634.483333333334</v>
      </c>
      <c r="AH60" s="51">
        <v>25634.483333333334</v>
      </c>
      <c r="AI60" s="51">
        <v>25634.483333333334</v>
      </c>
      <c r="AJ60" s="51">
        <v>25634.483333333334</v>
      </c>
      <c r="AK60" s="51">
        <v>25634.483333333334</v>
      </c>
      <c r="AL60" s="51">
        <v>25634.483333333334</v>
      </c>
      <c r="AM60" s="51">
        <v>25634.483333333334</v>
      </c>
      <c r="AN60" s="51">
        <f>SUM(Financials2026[[#This Row],[Jan FC]:[Dec FC]])</f>
        <v>303983.05</v>
      </c>
      <c r="AO60" s="15">
        <f t="shared" si="36"/>
        <v>204349.71666666667</v>
      </c>
      <c r="AP60" s="61">
        <f>298900/12</f>
        <v>24908.333333333332</v>
      </c>
      <c r="AQ60" s="61">
        <f>298900/12</f>
        <v>24908.333333333332</v>
      </c>
      <c r="AR60" s="61">
        <f>298900/12</f>
        <v>24908.333333333332</v>
      </c>
      <c r="AS60" s="61">
        <f>298900/12</f>
        <v>24908.333333333332</v>
      </c>
      <c r="AT60" s="61">
        <f>298900/12</f>
        <v>24908.333333333332</v>
      </c>
      <c r="AU60" s="60"/>
      <c r="AV60" s="60"/>
      <c r="AW60" s="60"/>
      <c r="AX60" s="60"/>
      <c r="AY60" s="60"/>
      <c r="AZ60" s="60"/>
      <c r="BA60" s="60"/>
      <c r="BB60" s="79">
        <f>SUM(Financials2026[[#This Row],[Jan AC]:[Dec AC]])</f>
        <v>124541.66666666666</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-25634.483333333334</v>
      </c>
      <c r="BI60" s="71">
        <f>Financials2026[[#This Row],[Jul AC]]-Financials2026[[#This Row],[Jul FC]]</f>
        <v>-25634.483333333334</v>
      </c>
      <c r="BJ60" s="71">
        <f>Financials2026[[#This Row],[Aug AC]]-Financials2026[[#This Row],[Aug FC]]</f>
        <v>-25634.483333333334</v>
      </c>
      <c r="BK60" s="71">
        <f>Financials2026[[#This Row],[Sep AC]]-Financials2026[[#This Row],[Sep FC]]</f>
        <v>-25634.483333333334</v>
      </c>
      <c r="BL60" s="71">
        <f>Financials2026[[#This Row],[Oct AC]]-Financials2026[[#This Row],[Oct FC]]</f>
        <v>-25634.483333333334</v>
      </c>
      <c r="BM60" s="71">
        <f>Financials2026[[#This Row],[Nov AC]]-Financials2026[[#This Row],[Nov FC]]</f>
        <v>-25634.483333333334</v>
      </c>
      <c r="BN60" s="71">
        <f>Financials2026[[#This Row],[Dec AC]]-Financials2026[[#This Row],[Dec FC]]</f>
        <v>-25634.483333333334</v>
      </c>
      <c r="BO60" s="71">
        <f>SUM(Financials2026[[#This Row],[Jan Opp/Risk]:[Dec Opp./Risk]])</f>
        <v>-179441.38333333333</v>
      </c>
      <c r="BP60" s="90" t="s">
        <v>539</v>
      </c>
      <c r="BQ60" s="47">
        <f>SUM(Financials2026[[#This Row],[Jan AC]:[Apr AC]])</f>
        <v>99633.333333333328</v>
      </c>
      <c r="BS60" s="6"/>
      <c r="BT60" s="6"/>
      <c r="BU60" s="6"/>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52"/>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6"/>
        <v>0</v>
      </c>
      <c r="Y61" s="15">
        <f t="shared" si="53"/>
        <v>100631.95416666666</v>
      </c>
      <c r="Z61" s="15">
        <f>SUM(Financials2026[[#This Row],[2026 Opportunity]:[2026 Risk]])</f>
        <v>100631.95416666666</v>
      </c>
      <c r="AA61" s="3" t="s">
        <v>442</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36"/>
        <v>293796.97083333327</v>
      </c>
      <c r="AP61" s="61">
        <f t="shared" ref="AP61:AZ61" si="56">((109780.1+393871.85)/12)</f>
        <v>41970.995833333327</v>
      </c>
      <c r="AQ61" s="61">
        <f t="shared" si="56"/>
        <v>41970.995833333327</v>
      </c>
      <c r="AR61" s="61">
        <f t="shared" si="56"/>
        <v>41970.995833333327</v>
      </c>
      <c r="AS61" s="61">
        <f t="shared" si="56"/>
        <v>41970.995833333327</v>
      </c>
      <c r="AT61" s="61">
        <f t="shared" si="56"/>
        <v>41970.995833333327</v>
      </c>
      <c r="AU61" s="61">
        <f t="shared" si="56"/>
        <v>41970.995833333327</v>
      </c>
      <c r="AV61" s="61">
        <f t="shared" si="56"/>
        <v>41970.995833333327</v>
      </c>
      <c r="AW61" s="61">
        <f t="shared" si="56"/>
        <v>41970.995833333327</v>
      </c>
      <c r="AX61" s="61">
        <f t="shared" si="56"/>
        <v>41970.995833333327</v>
      </c>
      <c r="AY61" s="61">
        <f t="shared" si="56"/>
        <v>41970.995833333327</v>
      </c>
      <c r="AZ61" s="61">
        <f t="shared" si="56"/>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494</v>
      </c>
      <c r="BQ61" s="47">
        <f>SUM(Financials2026[[#This Row],[Jan AC]:[Apr AC]])</f>
        <v>167883.98333333331</v>
      </c>
      <c r="BS61" s="6"/>
      <c r="BT61" s="6"/>
      <c r="BU61" s="6"/>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52"/>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6"/>
        <v>0</v>
      </c>
      <c r="Y62" s="15">
        <f t="shared" si="53"/>
        <v>0</v>
      </c>
      <c r="Z62" s="15">
        <f>SUM(Financials2026[[#This Row],[2026 Opportunity]:[2026 Risk]])</f>
        <v>0</v>
      </c>
      <c r="AA62" s="3" t="s">
        <v>443</v>
      </c>
      <c r="AB62" s="52"/>
      <c r="AC62" s="52"/>
      <c r="AD62" s="52">
        <v>34875</v>
      </c>
      <c r="AE62" s="52"/>
      <c r="AF62" s="52"/>
      <c r="AG62" s="51"/>
      <c r="AH62" s="52"/>
      <c r="AI62" s="52"/>
      <c r="AJ62" s="52"/>
      <c r="AK62" s="52"/>
      <c r="AL62" s="51"/>
      <c r="AM62" s="51"/>
      <c r="AN62" s="51">
        <f>SUM(Financials2026[[#This Row],[Jan FC]:[Dec FC]])</f>
        <v>34875</v>
      </c>
      <c r="AO62" s="15">
        <f t="shared" si="36"/>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52"/>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29192</v>
      </c>
      <c r="X63" s="15">
        <f t="shared" si="6"/>
        <v>-27895.964500000002</v>
      </c>
      <c r="Y63" s="15">
        <f t="shared" si="53"/>
        <v>0</v>
      </c>
      <c r="Z63" s="15">
        <f>SUM(Financials2026[[#This Row],[2026 Opportunity]:[2026 Risk]])</f>
        <v>-27895.964500000002</v>
      </c>
      <c r="AA63" s="3" t="s">
        <v>444</v>
      </c>
      <c r="AB63" s="52"/>
      <c r="AC63" s="52"/>
      <c r="AD63" s="52"/>
      <c r="AE63" s="52"/>
      <c r="AF63" s="52"/>
      <c r="AG63" s="51"/>
      <c r="AH63" s="52"/>
      <c r="AI63" s="52"/>
      <c r="AJ63" s="52"/>
      <c r="AK63" s="52"/>
      <c r="AL63" s="51"/>
      <c r="AM63" s="51">
        <v>29192</v>
      </c>
      <c r="AN63" s="51">
        <f>SUM(Financials2026[[#This Row],[Jan FC]:[Dec FC]])</f>
        <v>29192</v>
      </c>
      <c r="AO63" s="15">
        <f t="shared" si="36"/>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539</v>
      </c>
      <c r="BQ63" s="47">
        <f>SUM(Financials2026[[#This Row],[Jan AC]:[Apr AC]])</f>
        <v>0</v>
      </c>
      <c r="BS63" s="6"/>
      <c r="BT63" s="6"/>
      <c r="BU63" s="6"/>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52"/>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6"/>
        <v>0</v>
      </c>
      <c r="Y64" s="15">
        <f t="shared" si="53"/>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36"/>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52"/>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6"/>
        <v>-3470.8960000000079</v>
      </c>
      <c r="Y65" s="15">
        <f t="shared" si="53"/>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36"/>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539</v>
      </c>
      <c r="BQ65" s="47">
        <f>SUM(Financials2026[[#This Row],[Jan AC]:[Apr AC]])</f>
        <v>69417.919999999998</v>
      </c>
      <c r="BS65" s="6"/>
      <c r="BT65" s="6"/>
      <c r="BU65" s="6"/>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si="52"/>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si="1"/>
        <v>46713</v>
      </c>
      <c r="X66" s="15">
        <f t="shared" si="6"/>
        <v>0</v>
      </c>
      <c r="Y66" s="15">
        <f t="shared" si="53"/>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si="36"/>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52"/>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ref="W67:W131" si="57">AO67+IF(ISBLANK(AP67),AB67,AP67)+IF(ISBLANK(AQ67),AC67,AQ67)+IF(ISBLANK(AR67),AD67,AR67)+IF(ISBLANK(AS67),AE67,AS67)</f>
        <v>39306</v>
      </c>
      <c r="X67" s="15">
        <f t="shared" si="6"/>
        <v>0</v>
      </c>
      <c r="Y67" s="15">
        <f t="shared" si="53"/>
        <v>0.29999999999563443</v>
      </c>
      <c r="Z67" s="15">
        <f>SUM(Financials2026[[#This Row],[2026 Opportunity]:[2026 Risk]])</f>
        <v>0.29999999999563443</v>
      </c>
      <c r="AA67" s="3" t="s">
        <v>120</v>
      </c>
      <c r="AB67" s="52"/>
      <c r="AC67" s="52"/>
      <c r="AD67" s="52"/>
      <c r="AE67" s="52"/>
      <c r="AF67" s="52"/>
      <c r="AG67" s="51"/>
      <c r="AH67" s="52"/>
      <c r="AI67" s="52"/>
      <c r="AJ67" s="52"/>
      <c r="AK67" s="52"/>
      <c r="AL67" s="52">
        <v>39306</v>
      </c>
      <c r="AM67" s="52"/>
      <c r="AN67" s="52">
        <f>SUM(Financials2026[[#This Row],[Jan FC]:[Dec FC]])</f>
        <v>39306</v>
      </c>
      <c r="AO67" s="15">
        <f t="shared" ref="AO67:AO98" si="58">SUM(AF67:AM67)</f>
        <v>39306</v>
      </c>
      <c r="AP67" s="61"/>
      <c r="AQ67" s="61"/>
      <c r="AR67" s="61"/>
      <c r="AS67" s="61"/>
      <c r="AT67" s="61"/>
      <c r="AU67" s="60"/>
      <c r="AV67" s="61"/>
      <c r="AW67" s="61"/>
      <c r="AX67" s="61"/>
      <c r="AY67" s="61"/>
      <c r="AZ67" s="61"/>
      <c r="BA67" s="61"/>
      <c r="BB67" s="80">
        <f>SUM(Financials2026[[#This Row],[Jan AC]:[Dec AC]])</f>
        <v>0</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-39306</v>
      </c>
      <c r="BN67" s="71">
        <f>Financials2026[[#This Row],[Dec AC]]-Financials2026[[#This Row],[Dec FC]]</f>
        <v>0</v>
      </c>
      <c r="BO67" s="71">
        <f>SUM(Financials2026[[#This Row],[Jan Opp/Risk]:[Dec Opp./Risk]])</f>
        <v>-39306</v>
      </c>
      <c r="BP67" s="90"/>
      <c r="BQ67" s="47">
        <f>SUM(Financials2026[[#This Row],[Jan AC]:[Apr AC]])</f>
        <v>0</v>
      </c>
      <c r="BS67" s="6"/>
      <c r="BT67" s="6"/>
      <c r="BU67" s="6"/>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52"/>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7"/>
        <v>174825</v>
      </c>
      <c r="X68" s="15">
        <f t="shared" si="6"/>
        <v>0</v>
      </c>
      <c r="Y68" s="15">
        <f t="shared" si="53"/>
        <v>0</v>
      </c>
      <c r="Z68" s="15">
        <f>SUM(Financials2026[[#This Row],[2026 Opportunity]:[2026 Risk]])</f>
        <v>0</v>
      </c>
      <c r="AA68" s="3" t="s">
        <v>445</v>
      </c>
      <c r="AB68" s="52">
        <f t="shared" ref="AB68:AX68" si="59">174825/12</f>
        <v>14568.75</v>
      </c>
      <c r="AC68" s="52">
        <f t="shared" si="59"/>
        <v>14568.75</v>
      </c>
      <c r="AD68" s="52">
        <f t="shared" si="59"/>
        <v>14568.75</v>
      </c>
      <c r="AE68" s="52">
        <f t="shared" si="59"/>
        <v>14568.75</v>
      </c>
      <c r="AF68" s="52">
        <f t="shared" si="59"/>
        <v>14568.75</v>
      </c>
      <c r="AG68" s="52">
        <f t="shared" si="59"/>
        <v>14568.75</v>
      </c>
      <c r="AH68" s="52">
        <f t="shared" si="59"/>
        <v>14568.75</v>
      </c>
      <c r="AI68" s="52">
        <f t="shared" si="59"/>
        <v>14568.75</v>
      </c>
      <c r="AJ68" s="52">
        <f t="shared" si="59"/>
        <v>14568.75</v>
      </c>
      <c r="AK68" s="52">
        <f t="shared" si="59"/>
        <v>14568.75</v>
      </c>
      <c r="AL68" s="52">
        <f t="shared" si="59"/>
        <v>14568.75</v>
      </c>
      <c r="AM68" s="52">
        <f t="shared" si="59"/>
        <v>14568.75</v>
      </c>
      <c r="AN68" s="52">
        <f>SUM(Financials2026[[#This Row],[Jan FC]:[Dec FC]])</f>
        <v>174825</v>
      </c>
      <c r="AO68" s="15">
        <f t="shared" si="58"/>
        <v>116550</v>
      </c>
      <c r="AP68" s="61">
        <f t="shared" si="59"/>
        <v>14568.75</v>
      </c>
      <c r="AQ68" s="61">
        <f t="shared" si="59"/>
        <v>14568.75</v>
      </c>
      <c r="AR68" s="61">
        <f t="shared" si="59"/>
        <v>14568.75</v>
      </c>
      <c r="AS68" s="61">
        <f t="shared" si="59"/>
        <v>14568.75</v>
      </c>
      <c r="AT68" s="61">
        <f t="shared" si="59"/>
        <v>14568.75</v>
      </c>
      <c r="AU68" s="61">
        <f t="shared" si="59"/>
        <v>14568.75</v>
      </c>
      <c r="AV68" s="61">
        <f t="shared" si="59"/>
        <v>14568.75</v>
      </c>
      <c r="AW68" s="61">
        <f t="shared" si="59"/>
        <v>14568.75</v>
      </c>
      <c r="AX68" s="61">
        <f t="shared" si="59"/>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52"/>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7"/>
        <v>5407.5</v>
      </c>
      <c r="X69" s="15">
        <f t="shared" si="6"/>
        <v>0</v>
      </c>
      <c r="Y69" s="15">
        <f t="shared" si="53"/>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8"/>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52"/>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7"/>
        <v>0</v>
      </c>
      <c r="X70" s="15">
        <f t="shared" si="6"/>
        <v>0</v>
      </c>
      <c r="Y70" s="15">
        <f t="shared" si="53"/>
        <v>0</v>
      </c>
      <c r="Z70" s="15">
        <f>SUM(Financials2026[[#This Row],[2026 Opportunity]:[2026 Risk]])</f>
        <v>0</v>
      </c>
      <c r="AA70" s="3" t="s">
        <v>446</v>
      </c>
      <c r="AB70" s="52"/>
      <c r="AC70" s="52"/>
      <c r="AD70" s="52"/>
      <c r="AE70" s="52"/>
      <c r="AF70" s="52"/>
      <c r="AG70" s="51"/>
      <c r="AH70" s="52"/>
      <c r="AI70" s="52"/>
      <c r="AJ70" s="52"/>
      <c r="AK70" s="52"/>
      <c r="AL70" s="52"/>
      <c r="AM70" s="52"/>
      <c r="AN70" s="52">
        <f>SUM(Financials2026[[#This Row],[Jan FC]:[Dec FC]])</f>
        <v>0</v>
      </c>
      <c r="AO70" s="15">
        <f t="shared" si="58"/>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52"/>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7"/>
        <v>98943.23</v>
      </c>
      <c r="X71" s="15">
        <f t="shared" ref="X71:X135" si="60">IF(V71 &gt;= W71, V71 - W71, 0)*-1</f>
        <v>0</v>
      </c>
      <c r="Y71" s="15">
        <f t="shared" si="53"/>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8"/>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52"/>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7"/>
        <v>48667.5</v>
      </c>
      <c r="X72" s="15">
        <f t="shared" si="60"/>
        <v>0</v>
      </c>
      <c r="Y72" s="15">
        <f t="shared" si="53"/>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8"/>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52"/>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7"/>
        <v>68250</v>
      </c>
      <c r="X73" s="15">
        <f t="shared" si="60"/>
        <v>0</v>
      </c>
      <c r="Y73" s="15">
        <f t="shared" si="53"/>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8"/>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52"/>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7"/>
        <v>96041.64</v>
      </c>
      <c r="X74" s="15">
        <f t="shared" si="60"/>
        <v>-4802.4600000000064</v>
      </c>
      <c r="Y74" s="15">
        <f t="shared" si="53"/>
        <v>0</v>
      </c>
      <c r="Z74" s="15">
        <f>SUM(Financials2026[[#This Row],[2026 Opportunity]:[2026 Risk]])</f>
        <v>-4802.4600000000064</v>
      </c>
      <c r="AA74" s="3" t="s">
        <v>447</v>
      </c>
      <c r="AB74" s="52"/>
      <c r="AC74" s="52">
        <v>100844.1</v>
      </c>
      <c r="AD74" s="52"/>
      <c r="AE74" s="52"/>
      <c r="AF74" s="52"/>
      <c r="AG74" s="52"/>
      <c r="AH74" s="52"/>
      <c r="AI74" s="52"/>
      <c r="AJ74" s="52"/>
      <c r="AK74" s="52"/>
      <c r="AL74" s="52"/>
      <c r="AM74" s="52"/>
      <c r="AN74" s="52">
        <f>SUM(Financials2026[[#This Row],[Jan FC]:[Dec FC]])</f>
        <v>100844.1</v>
      </c>
      <c r="AO74" s="15">
        <f t="shared" si="58"/>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539</v>
      </c>
      <c r="BQ74" s="47">
        <f>SUM(Financials2026[[#This Row],[Jan AC]:[Apr AC]])</f>
        <v>96041.64</v>
      </c>
      <c r="BS74" s="6"/>
      <c r="BT74" s="6"/>
      <c r="BU74" s="6"/>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52"/>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7"/>
        <v>70325.597999999998</v>
      </c>
      <c r="X75" s="15">
        <f t="shared" si="60"/>
        <v>-107.10000000000582</v>
      </c>
      <c r="Y75" s="15">
        <f t="shared" si="53"/>
        <v>0</v>
      </c>
      <c r="Z75" s="15">
        <f>SUM(Financials2026[[#This Row],[2026 Opportunity]:[2026 Risk]])</f>
        <v>-107.10000000000582</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8"/>
        <v>69632.698000000004</v>
      </c>
      <c r="AP75" s="61">
        <v>161.13999999999999</v>
      </c>
      <c r="AQ75" s="61">
        <v>161.13999999999999</v>
      </c>
      <c r="AR75" s="61">
        <v>185.31</v>
      </c>
      <c r="AS75" s="61">
        <v>185.31</v>
      </c>
      <c r="AT75" s="61"/>
      <c r="AU75" s="61"/>
      <c r="AV75" s="61"/>
      <c r="AW75" s="61"/>
      <c r="AX75" s="61"/>
      <c r="AY75" s="61"/>
      <c r="AZ75" s="61"/>
      <c r="BA75" s="61"/>
      <c r="BB75" s="80">
        <f>SUM(Financials2026[[#This Row],[Jan AC]:[Dec AC]])</f>
        <v>692.9</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-200</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-69739.79800000001</v>
      </c>
      <c r="BP75" s="90"/>
      <c r="BQ75" s="47">
        <f>SUM(Financials2026[[#This Row],[Jan AC]:[Apr AC]])</f>
        <v>692.9</v>
      </c>
      <c r="BS75" s="6"/>
      <c r="BT75" s="6"/>
      <c r="BU75" s="6"/>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52"/>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7"/>
        <v>133248.63333333333</v>
      </c>
      <c r="X76" s="15">
        <f t="shared" si="60"/>
        <v>0</v>
      </c>
      <c r="Y76" s="15">
        <f t="shared" si="53"/>
        <v>2.73333333330811</v>
      </c>
      <c r="Z76" s="15">
        <f>SUM(Financials2026[[#This Row],[2026 Opportunity]:[2026 Risk]])</f>
        <v>2.73333333330811</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8"/>
        <v>89915.3</v>
      </c>
      <c r="AP76" s="61">
        <f t="shared" ref="AP76:AU76" si="61">130000/12</f>
        <v>10833.333333333334</v>
      </c>
      <c r="AQ76" s="61">
        <f t="shared" si="61"/>
        <v>10833.333333333334</v>
      </c>
      <c r="AR76" s="61">
        <f t="shared" si="61"/>
        <v>10833.333333333334</v>
      </c>
      <c r="AS76" s="61">
        <f t="shared" si="61"/>
        <v>10833.333333333334</v>
      </c>
      <c r="AT76" s="61">
        <f t="shared" si="61"/>
        <v>10833.333333333334</v>
      </c>
      <c r="AU76" s="61">
        <f t="shared" si="61"/>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52"/>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7"/>
        <v>5250</v>
      </c>
      <c r="X77" s="15">
        <f t="shared" si="60"/>
        <v>0</v>
      </c>
      <c r="Y77" s="15">
        <f t="shared" si="53"/>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8"/>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52"/>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7"/>
        <v>26051.43</v>
      </c>
      <c r="X78" s="15">
        <f t="shared" si="60"/>
        <v>-237.32549999999901</v>
      </c>
      <c r="Y78" s="15">
        <f t="shared" si="53"/>
        <v>0</v>
      </c>
      <c r="Z78" s="15">
        <f>SUM(Financials2026[[#This Row],[2026 Opportunity]:[2026 Risk]])</f>
        <v>-237.32549999999901</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8"/>
        <v>13286.75</v>
      </c>
      <c r="AP78" s="61">
        <v>8984.74</v>
      </c>
      <c r="AQ78" s="61">
        <v>2271.65</v>
      </c>
      <c r="AR78" s="61">
        <v>745.2</v>
      </c>
      <c r="AS78" s="61">
        <v>763.08999999999992</v>
      </c>
      <c r="AT78" s="61"/>
      <c r="AU78" s="61"/>
      <c r="AV78" s="61"/>
      <c r="AW78" s="61"/>
      <c r="AX78" s="61"/>
      <c r="AY78" s="61"/>
      <c r="AZ78" s="61"/>
      <c r="BA78" s="61"/>
      <c r="BB78" s="80">
        <f>SUM(Financials2026[[#This Row],[Jan AC]:[Dec AC]])</f>
        <v>12764.68</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-1000</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-13778.46</v>
      </c>
      <c r="BP78" s="94" t="s">
        <v>841</v>
      </c>
      <c r="BQ78" s="47">
        <f>SUM(Financials2026[[#This Row],[Jan AC]:[Apr AC]])</f>
        <v>12764.68</v>
      </c>
      <c r="BS78" s="6"/>
      <c r="BT78" s="6"/>
      <c r="BU78" s="6"/>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52"/>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7"/>
        <v>91250</v>
      </c>
      <c r="X79" s="15">
        <f t="shared" si="60"/>
        <v>-0.25</v>
      </c>
      <c r="Y79" s="15">
        <f t="shared" si="53"/>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8"/>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52"/>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7"/>
        <v>32760</v>
      </c>
      <c r="X80" s="15">
        <f t="shared" si="60"/>
        <v>0</v>
      </c>
      <c r="Y80" s="15">
        <f t="shared" si="53"/>
        <v>0</v>
      </c>
      <c r="Z80" s="15">
        <f>SUM(Financials2026[[#This Row],[2026 Opportunity]:[2026 Risk]])</f>
        <v>0</v>
      </c>
      <c r="AA80" s="3" t="s">
        <v>448</v>
      </c>
      <c r="AB80" s="52"/>
      <c r="AC80" s="52"/>
      <c r="AD80" s="52"/>
      <c r="AE80" s="52"/>
      <c r="AF80" s="52"/>
      <c r="AG80" s="51"/>
      <c r="AH80" s="52"/>
      <c r="AI80" s="52"/>
      <c r="AJ80" s="52"/>
      <c r="AK80" s="52"/>
      <c r="AL80" s="52"/>
      <c r="AM80" s="52">
        <v>32760</v>
      </c>
      <c r="AN80" s="52">
        <f>SUM(Financials2026[[#This Row],[Jan FC]:[Dec FC]])</f>
        <v>32760</v>
      </c>
      <c r="AO80" s="15">
        <f t="shared" si="58"/>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531</v>
      </c>
      <c r="BQ80" s="47">
        <f>SUM(Financials2026[[#This Row],[Jan AC]:[Apr AC]])</f>
        <v>0</v>
      </c>
      <c r="BS80" s="6"/>
      <c r="BT80" s="6"/>
      <c r="BU80" s="6"/>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52"/>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7"/>
        <v>8136.97</v>
      </c>
      <c r="X81" s="15">
        <f t="shared" si="60"/>
        <v>0</v>
      </c>
      <c r="Y81" s="15">
        <f t="shared" si="53"/>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8"/>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839</v>
      </c>
      <c r="BQ81" s="47">
        <f>SUM(Financials2026[[#This Row],[Jan AC]:[Apr AC]])</f>
        <v>8136.97</v>
      </c>
      <c r="BS81" s="6"/>
      <c r="BT81" s="6"/>
      <c r="BU81" s="6"/>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52"/>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7"/>
        <v>139683.99999999997</v>
      </c>
      <c r="X82" s="15">
        <f t="shared" si="60"/>
        <v>-2.9103830456733704E-11</v>
      </c>
      <c r="Y82" s="15">
        <f t="shared" si="53"/>
        <v>0</v>
      </c>
      <c r="Z82" s="15">
        <f>SUM(Financials2026[[#This Row],[2026 Opportunity]:[2026 Risk]])</f>
        <v>-2.9103830456733704E-11</v>
      </c>
      <c r="AA82" s="3" t="s">
        <v>317</v>
      </c>
      <c r="AB82" s="52">
        <f t="shared" ref="AB82:AW82" si="62">139684/12</f>
        <v>11640.333333333334</v>
      </c>
      <c r="AC82" s="52">
        <f t="shared" si="62"/>
        <v>11640.333333333334</v>
      </c>
      <c r="AD82" s="52">
        <f t="shared" si="62"/>
        <v>11640.333333333334</v>
      </c>
      <c r="AE82" s="52">
        <f t="shared" si="62"/>
        <v>11640.333333333334</v>
      </c>
      <c r="AF82" s="52">
        <f t="shared" si="62"/>
        <v>11640.333333333334</v>
      </c>
      <c r="AG82" s="52">
        <f t="shared" si="62"/>
        <v>11640.333333333334</v>
      </c>
      <c r="AH82" s="52">
        <f t="shared" si="62"/>
        <v>11640.333333333334</v>
      </c>
      <c r="AI82" s="52">
        <f t="shared" si="62"/>
        <v>11640.333333333334</v>
      </c>
      <c r="AJ82" s="52">
        <f t="shared" si="62"/>
        <v>11640.333333333334</v>
      </c>
      <c r="AK82" s="52">
        <f t="shared" si="62"/>
        <v>11640.333333333334</v>
      </c>
      <c r="AL82" s="52">
        <f t="shared" si="62"/>
        <v>11640.333333333334</v>
      </c>
      <c r="AM82" s="52">
        <f t="shared" si="62"/>
        <v>11640.333333333334</v>
      </c>
      <c r="AN82" s="52">
        <f>SUM(Financials2026[[#This Row],[Jan FC]:[Dec FC]])</f>
        <v>139683.99999999997</v>
      </c>
      <c r="AO82" s="15">
        <f t="shared" si="58"/>
        <v>93122.666666666657</v>
      </c>
      <c r="AP82" s="61">
        <f t="shared" si="62"/>
        <v>11640.333333333334</v>
      </c>
      <c r="AQ82" s="61">
        <f t="shared" si="62"/>
        <v>11640.333333333334</v>
      </c>
      <c r="AR82" s="61">
        <f t="shared" si="62"/>
        <v>11640.333333333334</v>
      </c>
      <c r="AS82" s="61">
        <f t="shared" si="62"/>
        <v>11640.333333333334</v>
      </c>
      <c r="AT82" s="61">
        <f t="shared" si="62"/>
        <v>11640.333333333334</v>
      </c>
      <c r="AU82" s="61">
        <f t="shared" si="62"/>
        <v>11640.333333333334</v>
      </c>
      <c r="AV82" s="61">
        <f t="shared" si="62"/>
        <v>11640.333333333334</v>
      </c>
      <c r="AW82" s="61">
        <f t="shared" si="62"/>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52"/>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7"/>
        <v>3150</v>
      </c>
      <c r="X83" s="15">
        <f t="shared" si="60"/>
        <v>0</v>
      </c>
      <c r="Y83" s="15">
        <f t="shared" si="53"/>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8"/>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ref="K84:K107" si="63">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7"/>
        <v>2595</v>
      </c>
      <c r="X84" s="15">
        <f t="shared" si="60"/>
        <v>0</v>
      </c>
      <c r="Y84" s="15">
        <f t="shared" ref="Y84:Y107" si="64">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8"/>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63"/>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7"/>
        <v>142015.66750000001</v>
      </c>
      <c r="X85" s="15">
        <f t="shared" si="60"/>
        <v>-49630.33249999999</v>
      </c>
      <c r="Y85" s="15">
        <f t="shared" si="64"/>
        <v>0</v>
      </c>
      <c r="Z85" s="15">
        <f>SUM(Financials2026[[#This Row],[2026 Opportunity]:[2026 Risk]])</f>
        <v>-49630.33249999999</v>
      </c>
      <c r="AA85" s="3" t="s">
        <v>567</v>
      </c>
      <c r="AB85" s="52"/>
      <c r="AC85" s="52"/>
      <c r="AD85" s="52"/>
      <c r="AE85" s="52">
        <f>191646/12</f>
        <v>15970.5</v>
      </c>
      <c r="AF85" s="52">
        <f t="shared" ref="AF85:AM85" si="65">191646/12</f>
        <v>15970.5</v>
      </c>
      <c r="AG85" s="52">
        <f t="shared" si="65"/>
        <v>15970.5</v>
      </c>
      <c r="AH85" s="52">
        <f t="shared" si="65"/>
        <v>15970.5</v>
      </c>
      <c r="AI85" s="52">
        <f t="shared" si="65"/>
        <v>15970.5</v>
      </c>
      <c r="AJ85" s="52">
        <f t="shared" si="65"/>
        <v>15970.5</v>
      </c>
      <c r="AK85" s="52">
        <f t="shared" si="65"/>
        <v>15970.5</v>
      </c>
      <c r="AL85" s="52">
        <f t="shared" si="65"/>
        <v>15970.5</v>
      </c>
      <c r="AM85" s="52">
        <f t="shared" si="65"/>
        <v>15970.5</v>
      </c>
      <c r="AN85" s="52">
        <f>SUM(Financials2026[[#This Row],[Jan FC]:[Dec FC]])</f>
        <v>143734.5</v>
      </c>
      <c r="AO85" s="15">
        <f t="shared" si="58"/>
        <v>127764</v>
      </c>
      <c r="AP85" s="61"/>
      <c r="AQ85" s="61"/>
      <c r="AR85" s="61"/>
      <c r="AS85" s="61">
        <f t="shared" ref="AS85:BA85" si="66">171020.01/12</f>
        <v>14251.667500000001</v>
      </c>
      <c r="AT85" s="61">
        <f t="shared" si="66"/>
        <v>14251.667500000001</v>
      </c>
      <c r="AU85" s="61">
        <f t="shared" si="66"/>
        <v>14251.667500000001</v>
      </c>
      <c r="AV85" s="61">
        <f t="shared" si="66"/>
        <v>14251.667500000001</v>
      </c>
      <c r="AW85" s="61">
        <f t="shared" si="66"/>
        <v>14251.667500000001</v>
      </c>
      <c r="AX85" s="61">
        <f t="shared" si="66"/>
        <v>14251.667500000001</v>
      </c>
      <c r="AY85" s="61">
        <f t="shared" si="66"/>
        <v>14251.667500000001</v>
      </c>
      <c r="AZ85" s="61">
        <f t="shared" si="66"/>
        <v>14251.667500000001</v>
      </c>
      <c r="BA85" s="61">
        <f t="shared" si="66"/>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-1718.8324999999986</v>
      </c>
      <c r="BG85" s="71">
        <f>Financials2026[[#This Row],[May AC]]-Financials2026[[#This Row],[May FC]]</f>
        <v>-1718.8324999999986</v>
      </c>
      <c r="BH85" s="71">
        <f>Financials2026[[#This Row],[Jun AC]]-Financials2026[[#This Row],[Jun FC]]</f>
        <v>-1718.8324999999986</v>
      </c>
      <c r="BI85" s="71">
        <f>Financials2026[[#This Row],[Jul AC]]-Financials2026[[#This Row],[Jul FC]]</f>
        <v>-1718.8324999999986</v>
      </c>
      <c r="BJ85" s="71">
        <f>Financials2026[[#This Row],[Aug AC]]-Financials2026[[#This Row],[Aug FC]]</f>
        <v>-1718.8324999999986</v>
      </c>
      <c r="BK85" s="71">
        <f>Financials2026[[#This Row],[Sep AC]]-Financials2026[[#This Row],[Sep FC]]</f>
        <v>-1718.8324999999986</v>
      </c>
      <c r="BL85" s="71">
        <f>Financials2026[[#This Row],[Oct AC]]-Financials2026[[#This Row],[Oct FC]]</f>
        <v>-1718.8324999999986</v>
      </c>
      <c r="BM85" s="71">
        <f>Financials2026[[#This Row],[Nov AC]]-Financials2026[[#This Row],[Nov FC]]</f>
        <v>-1718.8324999999986</v>
      </c>
      <c r="BN85" s="71">
        <f>Financials2026[[#This Row],[Dec AC]]-Financials2026[[#This Row],[Dec FC]]</f>
        <v>-1718.8324999999986</v>
      </c>
      <c r="BO85" s="71">
        <f>SUM(Financials2026[[#This Row],[Jan Opp/Risk]:[Dec Opp./Risk]])</f>
        <v>-15469.492499999988</v>
      </c>
      <c r="BP85" s="91"/>
      <c r="BQ85" s="47">
        <f>SUM(Financials2026[[#This Row],[Jan AC]:[Apr AC]])</f>
        <v>14251.667500000001</v>
      </c>
      <c r="BS85" s="6"/>
      <c r="BT85" s="6"/>
      <c r="BU85" s="6"/>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63"/>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7"/>
        <v>50400</v>
      </c>
      <c r="X86" s="15">
        <f t="shared" si="60"/>
        <v>0</v>
      </c>
      <c r="Y86" s="15">
        <f t="shared" si="64"/>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8"/>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63"/>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7"/>
        <v>109130.55</v>
      </c>
      <c r="X87" s="15">
        <f t="shared" si="60"/>
        <v>-10440.509999999995</v>
      </c>
      <c r="Y87" s="15">
        <f t="shared" si="64"/>
        <v>0</v>
      </c>
      <c r="Z87" s="15">
        <f>SUM(Financials2026[[#This Row],[2026 Opportunity]:[2026 Risk]])</f>
        <v>-10440.509999999995</v>
      </c>
      <c r="AA87" s="3" t="s">
        <v>845</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8"/>
        <v>79714.039999999994</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846</v>
      </c>
      <c r="BQ87" s="47">
        <f>SUM(Financials2026[[#This Row],[Jan AC]:[Apr AC]])</f>
        <v>9488</v>
      </c>
      <c r="BS87" s="6"/>
      <c r="BT87" s="6"/>
      <c r="BU87" s="6"/>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63"/>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7"/>
        <v>32009.25</v>
      </c>
      <c r="X88" s="15">
        <f t="shared" si="60"/>
        <v>-390.75</v>
      </c>
      <c r="Y88" s="15">
        <f t="shared" si="64"/>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8"/>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539</v>
      </c>
      <c r="BQ88" s="47">
        <f>SUM(Financials2026[[#This Row],[Jan AC]:[Apr AC]])</f>
        <v>32009.25</v>
      </c>
      <c r="BS88" s="6"/>
      <c r="BT88" s="6"/>
      <c r="BU88" s="6"/>
      <c r="BV88" s="6"/>
      <c r="BW88" s="6"/>
      <c r="BX88" s="6"/>
    </row>
    <row r="89" spans="1:76" ht="43.2" x14ac:dyDescent="0.3">
      <c r="A89" s="22" t="s">
        <v>101</v>
      </c>
      <c r="B89" s="21" t="s">
        <v>57</v>
      </c>
      <c r="C89" s="21"/>
      <c r="D89" s="10" t="s">
        <v>17</v>
      </c>
      <c r="E89" s="7" t="s">
        <v>103</v>
      </c>
      <c r="F89" s="3" t="s">
        <v>104</v>
      </c>
      <c r="G89" s="3" t="s">
        <v>49</v>
      </c>
      <c r="H89" s="4" t="s">
        <v>327</v>
      </c>
      <c r="I89" s="4" t="s">
        <v>327</v>
      </c>
      <c r="J89" s="3"/>
      <c r="K89" s="3" t="str">
        <f t="shared" si="63"/>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7"/>
        <v>1091630.6000000001</v>
      </c>
      <c r="X89" s="15">
        <f t="shared" si="60"/>
        <v>-0.28000000002793968</v>
      </c>
      <c r="Y89" s="15">
        <f t="shared" si="64"/>
        <v>0</v>
      </c>
      <c r="Z89" s="15">
        <f>SUM(Financials2026[[#This Row],[2026 Opportunity]:[2026 Risk]])</f>
        <v>-0.28000000002793968</v>
      </c>
      <c r="AA89" s="11" t="s">
        <v>427</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8"/>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63"/>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7"/>
        <v>191940</v>
      </c>
      <c r="X90" s="15">
        <f t="shared" si="60"/>
        <v>-3644.3399999999965</v>
      </c>
      <c r="Y90" s="15">
        <f t="shared" si="64"/>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8"/>
        <v>130144</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863</v>
      </c>
      <c r="BQ90" s="47">
        <f>SUM(Financials2026[[#This Row],[Jan AC]:[Apr AC]])</f>
        <v>61796</v>
      </c>
      <c r="BS90" s="6"/>
      <c r="BT90" s="6"/>
      <c r="BU90" s="6"/>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63"/>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7"/>
        <v>74250</v>
      </c>
      <c r="X91" s="15">
        <f t="shared" si="60"/>
        <v>-11205</v>
      </c>
      <c r="Y91" s="15">
        <f t="shared" si="64"/>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8"/>
        <v>47250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539</v>
      </c>
      <c r="BQ91" s="47">
        <f>SUM(Financials2026[[#This Row],[Jan AC]:[Apr AC]])</f>
        <v>27000</v>
      </c>
      <c r="BS91" s="6"/>
      <c r="BT91" s="6"/>
      <c r="BU91" s="6"/>
      <c r="BV91" s="6"/>
      <c r="BW91" s="6"/>
      <c r="BX91" s="6"/>
    </row>
    <row r="92" spans="1:76" x14ac:dyDescent="0.3">
      <c r="A92" s="22" t="s">
        <v>101</v>
      </c>
      <c r="B92" s="21" t="s">
        <v>333</v>
      </c>
      <c r="C92" s="21"/>
      <c r="D92" s="10" t="s">
        <v>27</v>
      </c>
      <c r="E92" s="7" t="s">
        <v>216</v>
      </c>
      <c r="F92" s="3" t="s">
        <v>114</v>
      </c>
      <c r="G92" s="3" t="s">
        <v>53</v>
      </c>
      <c r="H92" s="4"/>
      <c r="I92" s="4"/>
      <c r="J92" s="3"/>
      <c r="K92" s="3" t="str">
        <f t="shared" si="63"/>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7"/>
        <v>48933</v>
      </c>
      <c r="X92" s="15">
        <f t="shared" si="60"/>
        <v>-1</v>
      </c>
      <c r="Y92" s="15">
        <f t="shared" si="64"/>
        <v>0</v>
      </c>
      <c r="Z92" s="15">
        <f>SUM(Financials2026[[#This Row],[2026 Opportunity]:[2026 Risk]])</f>
        <v>-1</v>
      </c>
      <c r="AA92" s="3" t="s">
        <v>449</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8"/>
        <v>41037</v>
      </c>
      <c r="AP92" s="61">
        <f>999+3705</f>
        <v>4704</v>
      </c>
      <c r="AQ92" s="61">
        <v>999</v>
      </c>
      <c r="AR92" s="61">
        <f>999</f>
        <v>999</v>
      </c>
      <c r="AS92" s="61">
        <f>999+195</f>
        <v>1194</v>
      </c>
      <c r="AT92" s="61">
        <v>999</v>
      </c>
      <c r="AU92" s="61"/>
      <c r="AV92" s="61"/>
      <c r="AW92" s="61"/>
      <c r="AX92" s="61"/>
      <c r="AY92" s="61"/>
      <c r="AZ92" s="61"/>
      <c r="BA92" s="61"/>
      <c r="BB92" s="80">
        <f>SUM(Financials2026[[#This Row],[Jan AC]:[Dec AC]])</f>
        <v>8895</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-1000</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-40039</v>
      </c>
      <c r="BP92" s="90" t="s">
        <v>840</v>
      </c>
      <c r="BQ92" s="47">
        <f>SUM(Financials2026[[#This Row],[Jan AC]:[Apr AC]])</f>
        <v>7896</v>
      </c>
      <c r="BS92" s="6"/>
      <c r="BT92" s="6"/>
      <c r="BU92" s="6"/>
      <c r="BV92" s="6"/>
      <c r="BW92" s="6"/>
      <c r="BX92" s="6"/>
    </row>
    <row r="93" spans="1:76" x14ac:dyDescent="0.3">
      <c r="A93" s="22" t="s">
        <v>101</v>
      </c>
      <c r="B93" s="21" t="s">
        <v>334</v>
      </c>
      <c r="C93" s="21" t="s">
        <v>335</v>
      </c>
      <c r="D93" s="10" t="s">
        <v>31</v>
      </c>
      <c r="E93" s="7" t="s">
        <v>204</v>
      </c>
      <c r="F93" s="3" t="s">
        <v>205</v>
      </c>
      <c r="G93" s="3" t="s">
        <v>50</v>
      </c>
      <c r="H93" s="4"/>
      <c r="I93" s="4"/>
      <c r="J93" s="3"/>
      <c r="K93" s="3" t="str">
        <f t="shared" si="63"/>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7"/>
        <v>3370140.2433333341</v>
      </c>
      <c r="X93" s="15">
        <f t="shared" si="60"/>
        <v>-129859.7566666659</v>
      </c>
      <c r="Y93" s="15">
        <f t="shared" si="64"/>
        <v>0</v>
      </c>
      <c r="Z93" s="15">
        <f>SUM(Financials2026[[#This Row],[2026 Opportunity]:[2026 Risk]])</f>
        <v>-129859.7566666659</v>
      </c>
      <c r="AA93" s="3" t="s">
        <v>450</v>
      </c>
      <c r="AB93" s="52">
        <v>291666.66666666669</v>
      </c>
      <c r="AC93" s="52">
        <v>291666.66666666669</v>
      </c>
      <c r="AD93" s="52">
        <v>291666.66666666669</v>
      </c>
      <c r="AE93" s="52">
        <v>291666.66666666669</v>
      </c>
      <c r="AF93" s="52">
        <v>291666.66666666669</v>
      </c>
      <c r="AG93" s="52">
        <v>291666.66666666669</v>
      </c>
      <c r="AH93" s="52">
        <v>291666.66666666669</v>
      </c>
      <c r="AI93" s="52">
        <v>291666.66666666669</v>
      </c>
      <c r="AJ93" s="52">
        <v>291666.66666666669</v>
      </c>
      <c r="AK93" s="52">
        <v>291666.66666666669</v>
      </c>
      <c r="AL93" s="52">
        <v>291666.66666666669</v>
      </c>
      <c r="AM93" s="52">
        <v>291666.66666666669</v>
      </c>
      <c r="AN93" s="52">
        <f>SUM(Financials2026[[#This Row],[Jan FC]:[Dec FC]])</f>
        <v>3499999.9999999995</v>
      </c>
      <c r="AO93" s="15">
        <f t="shared" si="58"/>
        <v>2333333.3333333335</v>
      </c>
      <c r="AP93" s="61">
        <f>(637500/3)+(146024.9/3)</f>
        <v>261174.96666666667</v>
      </c>
      <c r="AQ93" s="61">
        <f t="shared" ref="AQ93:AR93" si="67">(637500/3)+(146024.9/3)</f>
        <v>261174.96666666667</v>
      </c>
      <c r="AR93" s="61">
        <f t="shared" si="67"/>
        <v>261174.96666666667</v>
      </c>
      <c r="AS93" s="61">
        <f>(637500/3)+(122346.03/3)</f>
        <v>253282.01</v>
      </c>
      <c r="AT93" s="61">
        <f t="shared" ref="AT93:AU93" si="68">(637500/3)+(122346.03/3)</f>
        <v>253282.01</v>
      </c>
      <c r="AU93" s="61">
        <f t="shared" si="68"/>
        <v>253282.01</v>
      </c>
      <c r="AV93" s="61"/>
      <c r="AW93" s="61"/>
      <c r="AX93" s="61"/>
      <c r="AY93" s="61"/>
      <c r="AZ93" s="61"/>
      <c r="BA93" s="61"/>
      <c r="BB93" s="80">
        <f>SUM(Financials2026[[#This Row],[Jan AC]:[Dec AC]])</f>
        <v>1543370.93</v>
      </c>
      <c r="BC93" s="71">
        <f>Financials2026[[#This Row],[Jan AC]]-Financials2026[[#This Row],[Jan FC]]</f>
        <v>-30491.700000000012</v>
      </c>
      <c r="BD93" s="71">
        <f>Financials2026[[#This Row],[Feb AC]]-Financials2026[[#This Row],[Feb FC]]</f>
        <v>-30491.700000000012</v>
      </c>
      <c r="BE93" s="71">
        <f>Financials2026[[#This Row],[Mar AC]]-Financials2026[[#This Row],[Mar FC]]</f>
        <v>-30491.700000000012</v>
      </c>
      <c r="BF93" s="71">
        <f>Financials2026[[#This Row],[Apr AC]]-Financials2026[[#This Row],[Apr FC]]</f>
        <v>-38384.656666666677</v>
      </c>
      <c r="BG93" s="71">
        <f>Financials2026[[#This Row],[May AC]]-Financials2026[[#This Row],[May FC]]</f>
        <v>-38384.656666666677</v>
      </c>
      <c r="BH93" s="71">
        <f>Financials2026[[#This Row],[Jun AC]]-Financials2026[[#This Row],[Jun FC]]</f>
        <v>-38384.656666666677</v>
      </c>
      <c r="BI93" s="71">
        <f>Financials2026[[#This Row],[Jul AC]]-Financials2026[[#This Row],[Jul FC]]</f>
        <v>-291666.66666666669</v>
      </c>
      <c r="BJ93" s="71">
        <f>Financials2026[[#This Row],[Aug AC]]-Financials2026[[#This Row],[Aug FC]]</f>
        <v>-291666.66666666669</v>
      </c>
      <c r="BK93" s="71">
        <f>Financials2026[[#This Row],[Sep AC]]-Financials2026[[#This Row],[Sep FC]]</f>
        <v>-291666.66666666669</v>
      </c>
      <c r="BL93" s="71">
        <f>Financials2026[[#This Row],[Oct AC]]-Financials2026[[#This Row],[Oct FC]]</f>
        <v>-291666.66666666669</v>
      </c>
      <c r="BM93" s="71">
        <f>Financials2026[[#This Row],[Nov AC]]-Financials2026[[#This Row],[Nov FC]]</f>
        <v>-291666.66666666669</v>
      </c>
      <c r="BN93" s="71">
        <f>Financials2026[[#This Row],[Dec AC]]-Financials2026[[#This Row],[Dec FC]]</f>
        <v>-291666.66666666669</v>
      </c>
      <c r="BO93" s="71">
        <f>SUM(Financials2026[[#This Row],[Jan Opp/Risk]:[Dec Opp./Risk]])</f>
        <v>-1956629.0700000003</v>
      </c>
      <c r="BP93" s="92" t="s">
        <v>847</v>
      </c>
      <c r="BQ93" s="47">
        <f>SUM(Financials2026[[#This Row],[Jan AC]:[Apr AC]])</f>
        <v>1036806.91</v>
      </c>
      <c r="BS93" s="6"/>
      <c r="BT93" s="6"/>
      <c r="BU93" s="6"/>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63"/>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7"/>
        <v>642692</v>
      </c>
      <c r="X94" s="15">
        <f t="shared" si="60"/>
        <v>0</v>
      </c>
      <c r="Y94" s="15">
        <f t="shared" si="64"/>
        <v>45779</v>
      </c>
      <c r="Z94" s="15">
        <f>SUM(Financials2026[[#This Row],[2026 Opportunity]:[2026 Risk]])</f>
        <v>45779</v>
      </c>
      <c r="AA94" s="3" t="s">
        <v>890</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9">687472/12</f>
        <v>57289.333333333336</v>
      </c>
      <c r="AI94" s="51">
        <f t="shared" si="69"/>
        <v>57289.333333333336</v>
      </c>
      <c r="AJ94" s="51">
        <f t="shared" si="69"/>
        <v>57289.333333333336</v>
      </c>
      <c r="AK94" s="51">
        <f t="shared" si="69"/>
        <v>57289.333333333336</v>
      </c>
      <c r="AL94" s="51">
        <f t="shared" si="69"/>
        <v>57289.333333333336</v>
      </c>
      <c r="AM94" s="51">
        <f t="shared" si="69"/>
        <v>57289.333333333336</v>
      </c>
      <c r="AN94" s="51">
        <f>SUM(Financials2026[[#This Row],[Jan FC]:[Dec FC]])</f>
        <v>642692</v>
      </c>
      <c r="AO94" s="15">
        <f t="shared" si="58"/>
        <v>449358.66666666663</v>
      </c>
      <c r="AP94" s="60">
        <f>580000/12</f>
        <v>48333.333333333336</v>
      </c>
      <c r="AQ94" s="60">
        <f>580000/12</f>
        <v>48333.333333333336</v>
      </c>
      <c r="AR94" s="60">
        <f>580000/12</f>
        <v>48333.333333333336</v>
      </c>
      <c r="AS94" s="60">
        <f>580000/12</f>
        <v>48333.333333333336</v>
      </c>
      <c r="AT94" s="60">
        <f>580000/12</f>
        <v>48333.333333333336</v>
      </c>
      <c r="AU94" s="60"/>
      <c r="AV94" s="60"/>
      <c r="AW94" s="60"/>
      <c r="AX94" s="60"/>
      <c r="AY94" s="60"/>
      <c r="AZ94" s="60"/>
      <c r="BA94" s="60"/>
      <c r="BB94" s="79">
        <f>SUM(Financials2026[[#This Row],[Jan AC]:[Dec AC]])</f>
        <v>241666.66666666669</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-57289.333333333336</v>
      </c>
      <c r="BI94" s="71">
        <f>Financials2026[[#This Row],[Jul AC]]-Financials2026[[#This Row],[Jul FC]]</f>
        <v>-57289.333333333336</v>
      </c>
      <c r="BJ94" s="71">
        <f>Financials2026[[#This Row],[Aug AC]]-Financials2026[[#This Row],[Aug FC]]</f>
        <v>-57289.333333333336</v>
      </c>
      <c r="BK94" s="71">
        <f>Financials2026[[#This Row],[Sep AC]]-Financials2026[[#This Row],[Sep FC]]</f>
        <v>-57289.333333333336</v>
      </c>
      <c r="BL94" s="71">
        <f>Financials2026[[#This Row],[Oct AC]]-Financials2026[[#This Row],[Oct FC]]</f>
        <v>-57289.333333333336</v>
      </c>
      <c r="BM94" s="71">
        <f>Financials2026[[#This Row],[Nov AC]]-Financials2026[[#This Row],[Nov FC]]</f>
        <v>-57289.333333333336</v>
      </c>
      <c r="BN94" s="71">
        <f>Financials2026[[#This Row],[Dec AC]]-Financials2026[[#This Row],[Dec FC]]</f>
        <v>-57289.333333333336</v>
      </c>
      <c r="BO94" s="71">
        <f>SUM(Financials2026[[#This Row],[Jan Opp/Risk]:[Dec Opp./Risk]])</f>
        <v>-401025.33333333331</v>
      </c>
      <c r="BP94" s="90" t="s">
        <v>891</v>
      </c>
      <c r="BQ94" s="47">
        <f>SUM(Financials2026[[#This Row],[Jan AC]:[Apr AC]])</f>
        <v>193333.33333333334</v>
      </c>
      <c r="BS94" s="6"/>
      <c r="BT94" s="6"/>
      <c r="BU94" s="6"/>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63"/>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7"/>
        <v>488400</v>
      </c>
      <c r="X95" s="15">
        <f t="shared" si="60"/>
        <v>0</v>
      </c>
      <c r="Y95" s="15">
        <f t="shared" si="64"/>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8"/>
        <v>176000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543</v>
      </c>
      <c r="BQ95" s="47">
        <f>SUM(Financials2026[[#This Row],[Jan AC]:[Apr AC]])</f>
        <v>312400</v>
      </c>
      <c r="BS95" s="6"/>
      <c r="BT95" s="6"/>
      <c r="BU95" s="6"/>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63"/>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7"/>
        <v>960000</v>
      </c>
      <c r="X96" s="15">
        <f t="shared" si="60"/>
        <v>-384000</v>
      </c>
      <c r="Y96" s="15">
        <f t="shared" si="64"/>
        <v>0</v>
      </c>
      <c r="Z96" s="15">
        <f>SUM(Financials2026[[#This Row],[2026 Opportunity]:[2026 Risk]])</f>
        <v>-384000</v>
      </c>
      <c r="AA96" s="3" t="s">
        <v>451</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8"/>
        <v>320000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539</v>
      </c>
      <c r="BQ96" s="47">
        <f>SUM(Financials2026[[#This Row],[Jan AC]:[Apr AC]])</f>
        <v>640000</v>
      </c>
      <c r="BS96" s="6"/>
      <c r="BT96" s="6"/>
      <c r="BU96" s="6"/>
      <c r="BV96" s="6"/>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63"/>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7"/>
        <v>22318</v>
      </c>
      <c r="X97" s="15">
        <f t="shared" si="60"/>
        <v>0</v>
      </c>
      <c r="Y97" s="15">
        <f t="shared" si="64"/>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8"/>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63"/>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57"/>
        <v>923710</v>
      </c>
      <c r="X98" s="15">
        <f t="shared" si="60"/>
        <v>-17090</v>
      </c>
      <c r="Y98" s="15">
        <f t="shared" si="64"/>
        <v>0</v>
      </c>
      <c r="Z98" s="15">
        <f>SUM(Financials2026[[#This Row],[2026 Opportunity]:[2026 Risk]])</f>
        <v>-17090</v>
      </c>
      <c r="AA98" s="3" t="s">
        <v>426</v>
      </c>
      <c r="AB98" s="52">
        <f>940800/6</f>
        <v>156800</v>
      </c>
      <c r="AC98" s="52">
        <f t="shared" ref="AC98:AG98" si="70">940800/6</f>
        <v>156800</v>
      </c>
      <c r="AD98" s="52">
        <f t="shared" si="70"/>
        <v>156800</v>
      </c>
      <c r="AE98" s="52">
        <f t="shared" si="70"/>
        <v>156800</v>
      </c>
      <c r="AF98" s="52">
        <f t="shared" si="70"/>
        <v>156800</v>
      </c>
      <c r="AG98" s="52">
        <f t="shared" si="70"/>
        <v>156800</v>
      </c>
      <c r="AH98" s="52"/>
      <c r="AI98" s="52"/>
      <c r="AJ98" s="52"/>
      <c r="AK98" s="52"/>
      <c r="AL98" s="52"/>
      <c r="AM98" s="52"/>
      <c r="AN98" s="52">
        <f>SUM(Financials2026[[#This Row],[Jan FC]:[Dec FC]])</f>
        <v>940800</v>
      </c>
      <c r="AO98" s="15">
        <f t="shared" si="58"/>
        <v>313600</v>
      </c>
      <c r="AP98" s="62">
        <v>153008</v>
      </c>
      <c r="AQ98" s="62">
        <v>138848</v>
      </c>
      <c r="AR98" s="61">
        <v>154496</v>
      </c>
      <c r="AS98" s="61">
        <v>163758</v>
      </c>
      <c r="AT98" s="61"/>
      <c r="AU98" s="61"/>
      <c r="AV98" s="61"/>
      <c r="AW98" s="61"/>
      <c r="AX98" s="61"/>
      <c r="AY98" s="61"/>
      <c r="AZ98" s="61"/>
      <c r="BA98" s="61"/>
      <c r="BB98" s="80">
        <f>SUM(Financials2026[[#This Row],[Jan AC]:[Dec AC]])</f>
        <v>610110</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-156800</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-330690</v>
      </c>
      <c r="BP98" s="92" t="s">
        <v>546</v>
      </c>
      <c r="BQ98" s="47">
        <f>SUM(Financials2026[[#This Row],[Jan AC]:[Apr AC]])</f>
        <v>610110</v>
      </c>
      <c r="BS98" s="6"/>
      <c r="BT98" s="6"/>
      <c r="BU98" s="6"/>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63"/>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57"/>
        <v>137701.66666666669</v>
      </c>
      <c r="X99" s="15">
        <f t="shared" si="60"/>
        <v>-1329.5333333333256</v>
      </c>
      <c r="Y99" s="15">
        <f t="shared" si="64"/>
        <v>0</v>
      </c>
      <c r="Z99" s="15">
        <f>SUM(Financials2026[[#This Row],[2026 Opportunity]:[2026 Risk]])</f>
        <v>-1329.5333333333256</v>
      </c>
      <c r="AA99" s="3" t="s">
        <v>425</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ref="AO99:AO131" si="71">SUM(AF99:AM99)</f>
        <v>92117.666666666672</v>
      </c>
      <c r="AP99" s="61">
        <f t="shared" ref="AP99:AV99" si="72">136752/12</f>
        <v>11396</v>
      </c>
      <c r="AQ99" s="61">
        <f t="shared" si="72"/>
        <v>11396</v>
      </c>
      <c r="AR99" s="61">
        <f t="shared" si="72"/>
        <v>11396</v>
      </c>
      <c r="AS99" s="61">
        <f t="shared" si="72"/>
        <v>11396</v>
      </c>
      <c r="AT99" s="61">
        <f t="shared" si="72"/>
        <v>11396</v>
      </c>
      <c r="AU99" s="61">
        <f t="shared" si="72"/>
        <v>11396</v>
      </c>
      <c r="AV99" s="61">
        <f t="shared" si="72"/>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539</v>
      </c>
      <c r="BQ99" s="47">
        <f>SUM(Financials2026[[#This Row],[Jan AC]:[Apr AC]])</f>
        <v>45584</v>
      </c>
      <c r="BS99" s="6"/>
      <c r="BT99" s="6"/>
      <c r="BU99" s="6"/>
      <c r="BV99" s="6"/>
      <c r="BW99" s="6"/>
      <c r="BX99" s="6"/>
    </row>
    <row r="100" spans="1:76" x14ac:dyDescent="0.3">
      <c r="A100" s="22" t="s">
        <v>348</v>
      </c>
      <c r="B100" s="21" t="s">
        <v>349</v>
      </c>
      <c r="C100" s="21"/>
      <c r="D100" s="3" t="s">
        <v>423</v>
      </c>
      <c r="E100" s="3" t="s">
        <v>423</v>
      </c>
      <c r="F100" s="3" t="s">
        <v>423</v>
      </c>
      <c r="G100" s="3" t="s">
        <v>423</v>
      </c>
      <c r="H100" s="4"/>
      <c r="I100" s="4"/>
      <c r="J100" s="3"/>
      <c r="K100" s="3" t="str">
        <f t="shared" si="63"/>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57"/>
        <v>-4000000.0000000005</v>
      </c>
      <c r="X100" s="15">
        <f t="shared" si="60"/>
        <v>-4.6566128730773926E-10</v>
      </c>
      <c r="Y100" s="15">
        <f t="shared" si="64"/>
        <v>0</v>
      </c>
      <c r="Z100" s="15">
        <f>SUM(Financials2026[[#This Row],[2026 Opportunity]:[2026 Risk]])</f>
        <v>-4.6566128730773926E-10</v>
      </c>
      <c r="AA100" s="3" t="s">
        <v>352</v>
      </c>
      <c r="AB100" s="52">
        <f t="shared" ref="AB100:BA100" si="73">-4000000/12</f>
        <v>-333333.33333333331</v>
      </c>
      <c r="AC100" s="52">
        <f t="shared" si="73"/>
        <v>-333333.33333333331</v>
      </c>
      <c r="AD100" s="52">
        <f t="shared" si="73"/>
        <v>-333333.33333333331</v>
      </c>
      <c r="AE100" s="52">
        <f t="shared" si="73"/>
        <v>-333333.33333333331</v>
      </c>
      <c r="AF100" s="52">
        <f t="shared" si="73"/>
        <v>-333333.33333333331</v>
      </c>
      <c r="AG100" s="52">
        <f t="shared" si="73"/>
        <v>-333333.33333333331</v>
      </c>
      <c r="AH100" s="52">
        <f t="shared" si="73"/>
        <v>-333333.33333333331</v>
      </c>
      <c r="AI100" s="52">
        <f t="shared" si="73"/>
        <v>-333333.33333333331</v>
      </c>
      <c r="AJ100" s="52">
        <f t="shared" si="73"/>
        <v>-333333.33333333331</v>
      </c>
      <c r="AK100" s="52">
        <f t="shared" si="73"/>
        <v>-333333.33333333331</v>
      </c>
      <c r="AL100" s="52">
        <f t="shared" si="73"/>
        <v>-333333.33333333331</v>
      </c>
      <c r="AM100" s="52">
        <f t="shared" si="73"/>
        <v>-333333.33333333331</v>
      </c>
      <c r="AN100" s="52">
        <f>SUM(Financials2026[[#This Row],[Jan FC]:[Dec FC]])</f>
        <v>-4000000.0000000005</v>
      </c>
      <c r="AO100" s="15">
        <f t="shared" si="71"/>
        <v>-2666666.6666666665</v>
      </c>
      <c r="AP100" s="61">
        <f t="shared" si="73"/>
        <v>-333333.33333333331</v>
      </c>
      <c r="AQ100" s="61">
        <f t="shared" si="73"/>
        <v>-333333.33333333331</v>
      </c>
      <c r="AR100" s="61">
        <f t="shared" si="73"/>
        <v>-333333.33333333331</v>
      </c>
      <c r="AS100" s="61">
        <f t="shared" si="73"/>
        <v>-333333.33333333331</v>
      </c>
      <c r="AT100" s="61">
        <f t="shared" si="73"/>
        <v>-333333.33333333331</v>
      </c>
      <c r="AU100" s="61">
        <f t="shared" si="73"/>
        <v>-333333.33333333331</v>
      </c>
      <c r="AV100" s="61">
        <f t="shared" si="73"/>
        <v>-333333.33333333331</v>
      </c>
      <c r="AW100" s="61">
        <f t="shared" si="73"/>
        <v>-333333.33333333331</v>
      </c>
      <c r="AX100" s="61">
        <f t="shared" si="73"/>
        <v>-333333.33333333331</v>
      </c>
      <c r="AY100" s="61">
        <f t="shared" si="73"/>
        <v>-333333.33333333331</v>
      </c>
      <c r="AZ100" s="61">
        <f t="shared" si="73"/>
        <v>-333333.33333333331</v>
      </c>
      <c r="BA100" s="61">
        <f t="shared" si="73"/>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c r="BQ100" s="49">
        <f>SUM(Financials2026[[#This Row],[Jan AC]:[Apr AC]])</f>
        <v>-1333333.3333333333</v>
      </c>
      <c r="BS100" s="6"/>
      <c r="BT100" s="6"/>
      <c r="BU100" s="6"/>
      <c r="BV100" s="6"/>
      <c r="BW100" s="6"/>
      <c r="BX100" s="6"/>
    </row>
    <row r="101" spans="1:76" x14ac:dyDescent="0.3">
      <c r="A101" s="32" t="s">
        <v>375</v>
      </c>
      <c r="B101" s="32" t="s">
        <v>422</v>
      </c>
      <c r="C101" s="39"/>
      <c r="D101" s="32" t="s">
        <v>375</v>
      </c>
      <c r="E101" s="34" t="s">
        <v>423</v>
      </c>
      <c r="F101" s="34" t="s">
        <v>423</v>
      </c>
      <c r="G101" s="34" t="s">
        <v>423</v>
      </c>
      <c r="H101" s="34" t="s">
        <v>423</v>
      </c>
      <c r="I101" s="34" t="s">
        <v>423</v>
      </c>
      <c r="J101" s="34" t="s">
        <v>423</v>
      </c>
      <c r="K101" s="35" t="str">
        <f t="shared" si="63"/>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57"/>
        <v>1270153.4033333333</v>
      </c>
      <c r="X101" s="15">
        <f t="shared" si="60"/>
        <v>0</v>
      </c>
      <c r="Y101" s="15">
        <f t="shared" si="64"/>
        <v>26135.403333333321</v>
      </c>
      <c r="Z101" s="37">
        <f>SUM(Financials2026[[#This Row],[2026 Opportunity]:[2026 Risk]])</f>
        <v>26135.403333333321</v>
      </c>
      <c r="AA101" s="41"/>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75">
        <f>SUM(Financials2026[[#This Row],[Jan FC]:[Dec FC]])</f>
        <v>1244018</v>
      </c>
      <c r="AO101" s="15">
        <f t="shared" si="71"/>
        <v>829345.33333333326</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424</v>
      </c>
      <c r="BQ101" s="47">
        <f>SUM(Financials2026[[#This Row],[Jan AC]:[Apr AC]])</f>
        <v>440808.07</v>
      </c>
      <c r="BS101" s="6"/>
      <c r="BT101" s="6"/>
      <c r="BU101" s="6"/>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63"/>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57"/>
        <v>455823.33333333326</v>
      </c>
      <c r="X102" s="15">
        <f t="shared" si="60"/>
        <v>0</v>
      </c>
      <c r="Y102" s="15">
        <f t="shared" si="64"/>
        <v>44275.833333333256</v>
      </c>
      <c r="Z102" s="15">
        <f>SUM(Financials2026[[#This Row],[2026 Opportunity]:[2026 Risk]])</f>
        <v>44275.833333333256</v>
      </c>
      <c r="AA102" s="3" t="s">
        <v>355</v>
      </c>
      <c r="AB102" s="52">
        <f>411547.5/12</f>
        <v>34295.625</v>
      </c>
      <c r="AC102" s="52">
        <f t="shared" ref="AC102:AM102" si="74">411547.5/12</f>
        <v>34295.625</v>
      </c>
      <c r="AD102" s="52">
        <f t="shared" si="74"/>
        <v>34295.625</v>
      </c>
      <c r="AE102" s="52">
        <f t="shared" si="74"/>
        <v>34295.625</v>
      </c>
      <c r="AF102" s="52">
        <f t="shared" si="74"/>
        <v>34295.625</v>
      </c>
      <c r="AG102" s="52">
        <f t="shared" si="74"/>
        <v>34295.625</v>
      </c>
      <c r="AH102" s="52">
        <f t="shared" si="74"/>
        <v>34295.625</v>
      </c>
      <c r="AI102" s="52">
        <f t="shared" si="74"/>
        <v>34295.625</v>
      </c>
      <c r="AJ102" s="52">
        <f t="shared" si="74"/>
        <v>34295.625</v>
      </c>
      <c r="AK102" s="52">
        <f t="shared" si="74"/>
        <v>34295.625</v>
      </c>
      <c r="AL102" s="52">
        <f t="shared" si="74"/>
        <v>34295.625</v>
      </c>
      <c r="AM102" s="52">
        <f t="shared" si="74"/>
        <v>34295.625</v>
      </c>
      <c r="AN102" s="52">
        <f>SUM(Financials2026[[#This Row],[Jan FC]:[Dec FC]])</f>
        <v>411547.5</v>
      </c>
      <c r="AO102" s="15">
        <f t="shared" si="71"/>
        <v>274365</v>
      </c>
      <c r="AP102" s="61">
        <f>544375/12</f>
        <v>45364.583333333336</v>
      </c>
      <c r="AQ102" s="61">
        <f t="shared" ref="AQ102:BA102" si="75">544375/12</f>
        <v>45364.583333333336</v>
      </c>
      <c r="AR102" s="61">
        <f t="shared" si="75"/>
        <v>45364.583333333336</v>
      </c>
      <c r="AS102" s="61">
        <f t="shared" si="75"/>
        <v>45364.583333333336</v>
      </c>
      <c r="AT102" s="61">
        <f t="shared" si="75"/>
        <v>45364.583333333336</v>
      </c>
      <c r="AU102" s="61">
        <f t="shared" si="75"/>
        <v>45364.583333333336</v>
      </c>
      <c r="AV102" s="61">
        <f t="shared" si="75"/>
        <v>45364.583333333336</v>
      </c>
      <c r="AW102" s="61">
        <f t="shared" si="75"/>
        <v>45364.583333333336</v>
      </c>
      <c r="AX102" s="61">
        <f t="shared" si="75"/>
        <v>45364.583333333336</v>
      </c>
      <c r="AY102" s="61">
        <f t="shared" si="75"/>
        <v>45364.583333333336</v>
      </c>
      <c r="AZ102" s="61">
        <f t="shared" si="75"/>
        <v>45364.583333333336</v>
      </c>
      <c r="BA102" s="61">
        <f t="shared" si="75"/>
        <v>45364.583333333336</v>
      </c>
      <c r="BB102" s="80">
        <f>SUM(Financials2026[[#This Row],[Jan AC]:[Dec AC]])</f>
        <v>544374.99999999988</v>
      </c>
      <c r="BC102" s="71">
        <f>Financials2026[[#This Row],[Jan AC]]-Financials2026[[#This Row],[Jan FC]]</f>
        <v>11068.958333333336</v>
      </c>
      <c r="BD102" s="71">
        <f>Financials2026[[#This Row],[Feb AC]]-Financials2026[[#This Row],[Feb FC]]</f>
        <v>11068.958333333336</v>
      </c>
      <c r="BE102" s="71">
        <f>Financials2026[[#This Row],[Mar AC]]-Financials2026[[#This Row],[Mar FC]]</f>
        <v>11068.958333333336</v>
      </c>
      <c r="BF102" s="71">
        <f>Financials2026[[#This Row],[Apr AC]]-Financials2026[[#This Row],[Apr FC]]</f>
        <v>11068.958333333336</v>
      </c>
      <c r="BG102" s="71">
        <f>Financials2026[[#This Row],[May AC]]-Financials2026[[#This Row],[May FC]]</f>
        <v>11068.958333333336</v>
      </c>
      <c r="BH102" s="71">
        <f>Financials2026[[#This Row],[Jun AC]]-Financials2026[[#This Row],[Jun FC]]</f>
        <v>11068.958333333336</v>
      </c>
      <c r="BI102" s="71">
        <f>Financials2026[[#This Row],[Jul AC]]-Financials2026[[#This Row],[Jul FC]]</f>
        <v>11068.958333333336</v>
      </c>
      <c r="BJ102" s="71">
        <f>Financials2026[[#This Row],[Aug AC]]-Financials2026[[#This Row],[Aug FC]]</f>
        <v>11068.958333333336</v>
      </c>
      <c r="BK102" s="71">
        <f>Financials2026[[#This Row],[Sep AC]]-Financials2026[[#This Row],[Sep FC]]</f>
        <v>11068.958333333336</v>
      </c>
      <c r="BL102" s="71">
        <f>Financials2026[[#This Row],[Oct AC]]-Financials2026[[#This Row],[Oct FC]]</f>
        <v>11068.958333333336</v>
      </c>
      <c r="BM102" s="71">
        <f>Financials2026[[#This Row],[Nov AC]]-Financials2026[[#This Row],[Nov FC]]</f>
        <v>11068.958333333336</v>
      </c>
      <c r="BN102" s="71">
        <f>Financials2026[[#This Row],[Dec AC]]-Financials2026[[#This Row],[Dec FC]]</f>
        <v>11068.958333333336</v>
      </c>
      <c r="BO102" s="71">
        <f>SUM(Financials2026[[#This Row],[Jan Opp/Risk]:[Dec Opp./Risk]])</f>
        <v>132827.50000000006</v>
      </c>
      <c r="BP102" s="90" t="s">
        <v>539</v>
      </c>
      <c r="BQ102" s="47">
        <f>SUM(Financials2026[[#This Row],[Jan AC]:[Apr AC]])</f>
        <v>181458.33333333334</v>
      </c>
      <c r="BS102" s="6"/>
      <c r="BT102" s="6"/>
      <c r="BU102" s="6"/>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63"/>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57"/>
        <v>37142.130000000005</v>
      </c>
      <c r="X103" s="15">
        <f t="shared" si="60"/>
        <v>0</v>
      </c>
      <c r="Y103" s="15">
        <f t="shared" si="64"/>
        <v>797.13000000000466</v>
      </c>
      <c r="Z103" s="15">
        <f>SUM(Financials2026[[#This Row],[2026 Opportunity]:[2026 Risk]])</f>
        <v>797.13000000000466</v>
      </c>
      <c r="AA103" s="3" t="s">
        <v>564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71"/>
        <v>24230</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841</v>
      </c>
      <c r="BQ103" s="47">
        <f>SUM(Financials2026[[#This Row],[Jan AC]:[Apr AC]])</f>
        <v>9883.380000000001</v>
      </c>
      <c r="BS103" s="6"/>
      <c r="BT103" s="6"/>
      <c r="BU103" s="6"/>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63"/>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57"/>
        <v>4307.88</v>
      </c>
      <c r="X104" s="15">
        <f t="shared" si="60"/>
        <v>0</v>
      </c>
      <c r="Y104" s="15">
        <f t="shared" si="64"/>
        <v>77.880000000000109</v>
      </c>
      <c r="Z104" s="15">
        <f>SUM(Financials2026[[#This Row],[2026 Opportunity]:[2026 Risk]])</f>
        <v>77.880000000000109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71"/>
        <v>2818</v>
      </c>
      <c r="AP104" s="61">
        <v>370.83</v>
      </c>
      <c r="AQ104" s="61">
        <v>375.95</v>
      </c>
      <c r="AR104" s="61">
        <v>371.55</v>
      </c>
      <c r="AS104" s="61">
        <v>371.55</v>
      </c>
      <c r="AT104" s="132">
        <v>514.15</v>
      </c>
      <c r="AU104" s="61"/>
      <c r="AV104" s="61"/>
      <c r="AW104" s="61"/>
      <c r="AX104" s="61"/>
      <c r="AY104" s="61"/>
      <c r="AZ104" s="61"/>
      <c r="BA104" s="61"/>
      <c r="BB104" s="80">
        <f>SUM(Financials2026[[#This Row],[Jan AC]:[Dec AC]])</f>
        <v>2004.0299999999997</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-353</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-2225.9700000000003</v>
      </c>
      <c r="BP104" s="90"/>
      <c r="BQ104" s="47">
        <f>SUM(Financials2026[[#This Row],[Jan AC]:[Apr AC]])</f>
        <v>1489.8799999999999</v>
      </c>
      <c r="BS104" s="6"/>
      <c r="BT104" s="6"/>
      <c r="BU104" s="6"/>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63"/>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57"/>
        <v>7200.0167000000001</v>
      </c>
      <c r="X105" s="15">
        <f t="shared" si="60"/>
        <v>0</v>
      </c>
      <c r="Y105" s="15">
        <f t="shared" si="64"/>
        <v>157.01670000000013</v>
      </c>
      <c r="Z105" s="15">
        <f>SUM(Financials2026[[#This Row],[2026 Opportunity]:[2026 Risk]])</f>
        <v>157.01670000000013</v>
      </c>
      <c r="AA105" s="3" t="s">
        <v>559</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71"/>
        <v>4695</v>
      </c>
      <c r="AP105" s="61">
        <v>620.09</v>
      </c>
      <c r="AQ105" s="61">
        <v>628.66</v>
      </c>
      <c r="AR105" s="61">
        <v>627.61749999999995</v>
      </c>
      <c r="AS105" s="61">
        <f>628.6492</f>
        <v>628.64919999999995</v>
      </c>
      <c r="AT105" s="61">
        <v>859.75</v>
      </c>
      <c r="AU105" s="61"/>
      <c r="AV105" s="61"/>
      <c r="AW105" s="61"/>
      <c r="AX105" s="61"/>
      <c r="AY105" s="61"/>
      <c r="AZ105" s="61"/>
      <c r="BA105" s="61"/>
      <c r="BB105" s="80">
        <f>SUM(Financials2026[[#This Row],[Jan AC]:[Dec AC]])</f>
        <v>3364.7666999999997</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272.75</v>
      </c>
      <c r="BH105" s="71">
        <f>Financials2026[[#This Row],[Jun AC]]-Financials2026[[#This Row],[Jun FC]]</f>
        <v>-587</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-3678.2332999999999</v>
      </c>
      <c r="BP105" s="90" t="s">
        <v>539</v>
      </c>
      <c r="BQ105" s="47">
        <f>SUM(Financials2026[[#This Row],[Jan AC]:[Apr AC]])</f>
        <v>2505.0166999999997</v>
      </c>
      <c r="BS105" s="6"/>
      <c r="BT105" s="6"/>
      <c r="BU105" s="6"/>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63"/>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57"/>
        <v>292</v>
      </c>
      <c r="X106" s="15">
        <f t="shared" si="60"/>
        <v>0</v>
      </c>
      <c r="Y106" s="15">
        <f t="shared" si="64"/>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71"/>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63"/>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57"/>
        <v>7017.74</v>
      </c>
      <c r="X107" s="15">
        <f t="shared" si="60"/>
        <v>0</v>
      </c>
      <c r="Y107" s="15">
        <f t="shared" si="64"/>
        <v>4117.74</v>
      </c>
      <c r="Z107" s="15">
        <f>SUM(Financials2026[[#This Row],[2026 Opportunity]:[2026 Risk]])</f>
        <v>4117.74</v>
      </c>
      <c r="AA107" s="3" t="s">
        <v>120</v>
      </c>
      <c r="AB107" s="52"/>
      <c r="AC107" s="52">
        <v>17</v>
      </c>
      <c r="AD107" s="52"/>
      <c r="AE107" s="52">
        <f>2900-17</f>
        <v>2883</v>
      </c>
      <c r="AF107" s="52"/>
      <c r="AG107" s="52"/>
      <c r="AH107" s="52"/>
      <c r="AI107" s="52"/>
      <c r="AJ107" s="52"/>
      <c r="AK107" s="52"/>
      <c r="AL107" s="52"/>
      <c r="AM107" s="52"/>
      <c r="AN107" s="52">
        <f>SUM(Financials2026[[#This Row],[Jan FC]:[Dec FC]])</f>
        <v>2900</v>
      </c>
      <c r="AO107" s="15">
        <f t="shared" si="71"/>
        <v>0</v>
      </c>
      <c r="AP107" s="61"/>
      <c r="AQ107" s="61">
        <v>16.739999999999998</v>
      </c>
      <c r="AR107" s="61"/>
      <c r="AS107" s="61">
        <v>7001</v>
      </c>
      <c r="AT107" s="61"/>
      <c r="AU107" s="61"/>
      <c r="AV107" s="61"/>
      <c r="AW107" s="61"/>
      <c r="AX107" s="61"/>
      <c r="AY107" s="61"/>
      <c r="AZ107" s="61"/>
      <c r="BA107" s="61"/>
      <c r="BB107" s="80">
        <f>SUM(Financials2026[[#This Row],[Jan AC]:[Dec AC]])</f>
        <v>7017.74</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0</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4117.74</v>
      </c>
      <c r="BP107" s="90" t="s">
        <v>835</v>
      </c>
      <c r="BQ107" s="47">
        <f>SUM(Financials2026[[#This Row],[Jan AC]:[Apr AC]])</f>
        <v>7017.74</v>
      </c>
      <c r="BS107" s="6"/>
      <c r="BT107" s="6"/>
      <c r="BU107" s="6"/>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ref="K108:K129" si="76">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57"/>
        <v>8000</v>
      </c>
      <c r="X108" s="15">
        <f t="shared" si="60"/>
        <v>-400</v>
      </c>
      <c r="Y108" s="15">
        <f t="shared" ref="Y108:Y129" si="77">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71"/>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539</v>
      </c>
      <c r="BQ108" s="47">
        <f>SUM(Financials2026[[#This Row],[Jan AC]:[Apr AC]])</f>
        <v>8000</v>
      </c>
      <c r="BS108" s="6"/>
      <c r="BT108" s="6"/>
      <c r="BU108" s="6"/>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76"/>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57"/>
        <v>3000</v>
      </c>
      <c r="X109" s="15">
        <f t="shared" si="60"/>
        <v>-150</v>
      </c>
      <c r="Y109" s="15">
        <f t="shared" si="77"/>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71"/>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539</v>
      </c>
      <c r="BQ109" s="47">
        <f>SUM(Financials2026[[#This Row],[Jan AC]:[Apr AC]])</f>
        <v>3000</v>
      </c>
      <c r="BS109" s="6"/>
      <c r="BT109" s="6"/>
      <c r="BU109" s="6"/>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76"/>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57"/>
        <v>0</v>
      </c>
      <c r="X110" s="15">
        <f t="shared" si="60"/>
        <v>-1674</v>
      </c>
      <c r="Y110" s="15">
        <f t="shared" si="77"/>
        <v>0</v>
      </c>
      <c r="Z110" s="15">
        <f>SUM(Financials2026[[#This Row],[2026 Opportunity]:[2026 Risk]])</f>
        <v>-1674</v>
      </c>
      <c r="AA110" s="3" t="s">
        <v>565</v>
      </c>
      <c r="AB110" s="52"/>
      <c r="AC110" s="52"/>
      <c r="AD110" s="52"/>
      <c r="AE110" s="52"/>
      <c r="AF110" s="52"/>
      <c r="AG110" s="52"/>
      <c r="AH110" s="52"/>
      <c r="AI110" s="52"/>
      <c r="AJ110" s="52"/>
      <c r="AK110" s="52"/>
      <c r="AL110" s="52"/>
      <c r="AM110" s="52"/>
      <c r="AN110" s="52">
        <f>SUM(Financials2026[[#This Row],[Jan FC]:[Dec FC]])</f>
        <v>0</v>
      </c>
      <c r="AO110" s="15">
        <f t="shared" si="71"/>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565</v>
      </c>
      <c r="BQ110" s="47">
        <f>SUM(Financials2026[[#This Row],[Jan AC]:[Apr AC]])</f>
        <v>0</v>
      </c>
      <c r="BS110" s="6"/>
      <c r="BT110" s="6"/>
      <c r="BU110" s="6"/>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76"/>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57"/>
        <v>19510.98</v>
      </c>
      <c r="X111" s="15">
        <f t="shared" si="60"/>
        <v>0</v>
      </c>
      <c r="Y111" s="15">
        <f t="shared" si="77"/>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71"/>
        <v>12829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539</v>
      </c>
      <c r="BQ111" s="47">
        <f>SUM(Financials2026[[#This Row],[Jan AC]:[Apr AC]])</f>
        <v>6681.98</v>
      </c>
      <c r="BS111" s="6"/>
      <c r="BT111" s="6"/>
      <c r="BU111" s="6"/>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76"/>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57"/>
        <v>33990.466666666667</v>
      </c>
      <c r="X112" s="15">
        <f t="shared" si="60"/>
        <v>-546.53333333333285</v>
      </c>
      <c r="Y112" s="15">
        <f t="shared" si="77"/>
        <v>0</v>
      </c>
      <c r="Z112" s="15">
        <f>SUM(Financials2026[[#This Row],[2026 Opportunity]:[2026 Risk]])</f>
        <v>-546.53333333333285</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71"/>
        <v>23024.666666666664</v>
      </c>
      <c r="AP112" s="61">
        <v>2741.45</v>
      </c>
      <c r="AQ112" s="61">
        <v>2741.45</v>
      </c>
      <c r="AR112" s="61">
        <v>2741.45</v>
      </c>
      <c r="AS112" s="61">
        <v>2741.45</v>
      </c>
      <c r="AT112" s="61"/>
      <c r="AU112" s="61"/>
      <c r="AV112" s="61"/>
      <c r="AW112" s="61"/>
      <c r="AX112" s="61"/>
      <c r="AY112" s="61"/>
      <c r="AZ112" s="61"/>
      <c r="BA112" s="61"/>
      <c r="BB112" s="80">
        <f>SUM(Financials2026[[#This Row],[Jan AC]:[Dec AC]])</f>
        <v>10965.8</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-2878.0833333333335</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-23571.200000000001</v>
      </c>
      <c r="BP112" s="90" t="s">
        <v>539</v>
      </c>
      <c r="BQ112" s="47">
        <f>SUM(Financials2026[[#This Row],[Jan AC]:[Apr AC]])</f>
        <v>10965.8</v>
      </c>
      <c r="BS112" s="6"/>
      <c r="BT112" s="6"/>
      <c r="BU112" s="6"/>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76"/>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57"/>
        <v>421712.7533333333</v>
      </c>
      <c r="X113" s="15">
        <f t="shared" si="60"/>
        <v>-0.32166666677221656</v>
      </c>
      <c r="Y113" s="15">
        <f t="shared" si="77"/>
        <v>0</v>
      </c>
      <c r="Z113" s="15">
        <f>SUM(Financials2026[[#This Row],[2026 Opportunity]:[2026 Risk]])</f>
        <v>-0.32166666677221656</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71"/>
        <v>285316.66666666669</v>
      </c>
      <c r="AP113" s="61">
        <v>30215.78</v>
      </c>
      <c r="AQ113" s="61">
        <v>35893.14</v>
      </c>
      <c r="AR113" s="61"/>
      <c r="AS113" s="61"/>
      <c r="AT113" s="61"/>
      <c r="AU113" s="61"/>
      <c r="AV113" s="61"/>
      <c r="AW113" s="61"/>
      <c r="AX113" s="61"/>
      <c r="AY113" s="61"/>
      <c r="AZ113" s="61"/>
      <c r="BA113" s="61"/>
      <c r="BB113" s="80">
        <f>SUM(Financials2026[[#This Row],[Jan AC]:[Dec AC]])</f>
        <v>66108.92</v>
      </c>
      <c r="BC113" s="71">
        <f>Financials2026[[#This Row],[Jan AC]]-Financials2026[[#This Row],[Jan FC]]</f>
        <v>0</v>
      </c>
      <c r="BD113" s="71">
        <f>Financials2026[[#This Row],[Feb AC]]-Financials2026[[#This Row],[Feb FC]]</f>
        <v>0</v>
      </c>
      <c r="BE113" s="71">
        <f>Financials2026[[#This Row],[Mar AC]]-Financials2026[[#This Row],[Mar FC]]</f>
        <v>-35143.583333333336</v>
      </c>
      <c r="BF113" s="71">
        <f>Financials2026[[#This Row],[Apr AC]]-Financials2026[[#This Row],[Apr FC]]</f>
        <v>-35143.583333333336</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-355603.83333333331</v>
      </c>
      <c r="BP113" s="91"/>
      <c r="BQ113" s="47">
        <f>SUM(Financials2026[[#This Row],[Jan AC]:[Apr AC]])</f>
        <v>66108.92</v>
      </c>
      <c r="BS113" s="6"/>
      <c r="BT113" s="6"/>
      <c r="BU113" s="6"/>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76"/>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57"/>
        <v>4982.8</v>
      </c>
      <c r="X114" s="15">
        <f t="shared" si="60"/>
        <v>0</v>
      </c>
      <c r="Y114" s="15">
        <f t="shared" si="77"/>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71"/>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539</v>
      </c>
      <c r="BQ114" s="47">
        <f>SUM(Financials2026[[#This Row],[Jan AC]:[Apr AC]])</f>
        <v>4982.8</v>
      </c>
      <c r="BS114" s="6"/>
      <c r="BT114" s="6"/>
      <c r="BU114" s="6"/>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76"/>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57"/>
        <v>359</v>
      </c>
      <c r="X115" s="15">
        <f t="shared" si="60"/>
        <v>0</v>
      </c>
      <c r="Y115" s="15">
        <f t="shared" si="77"/>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71"/>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76"/>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57"/>
        <v>67964.899999999994</v>
      </c>
      <c r="X116" s="15">
        <f t="shared" si="60"/>
        <v>0</v>
      </c>
      <c r="Y116" s="15">
        <f t="shared" si="77"/>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71"/>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76"/>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57"/>
        <v>25000</v>
      </c>
      <c r="X117" s="15">
        <f t="shared" si="60"/>
        <v>0</v>
      </c>
      <c r="Y117" s="15">
        <f t="shared" si="77"/>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71"/>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76"/>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57"/>
        <v>25341.853333333336</v>
      </c>
      <c r="X118" s="15">
        <f t="shared" si="60"/>
        <v>-9304.1466666666638</v>
      </c>
      <c r="Y118" s="15">
        <f t="shared" si="77"/>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71"/>
        <v>23097.333333333336</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842</v>
      </c>
      <c r="BQ118" s="47">
        <f>SUM(Financials2026[[#This Row],[Jan AC]:[Apr AC]])</f>
        <v>2244.52</v>
      </c>
      <c r="BS118" s="6"/>
      <c r="BT118" s="6"/>
      <c r="BU118" s="6"/>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76"/>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57"/>
        <v>15583.84</v>
      </c>
      <c r="X119" s="15">
        <f t="shared" si="60"/>
        <v>0</v>
      </c>
      <c r="Y119" s="15">
        <f t="shared" si="77"/>
        <v>15583.84</v>
      </c>
      <c r="Z119" s="15">
        <f>SUM(Financials2026[[#This Row],[2026 Opportunity]:[2026 Risk]])</f>
        <v>15583.84</v>
      </c>
      <c r="AA119" s="3" t="s">
        <v>554</v>
      </c>
      <c r="AB119" s="52"/>
      <c r="AC119" s="52"/>
      <c r="AD119" s="52"/>
      <c r="AE119" s="52"/>
      <c r="AF119" s="52"/>
      <c r="AG119" s="52"/>
      <c r="AH119" s="52"/>
      <c r="AI119" s="52"/>
      <c r="AJ119" s="52"/>
      <c r="AK119" s="52"/>
      <c r="AL119" s="52"/>
      <c r="AM119" s="52"/>
      <c r="AN119" s="52">
        <f>SUM(Financials2026[[#This Row],[Jan FC]:[Dec FC]])</f>
        <v>0</v>
      </c>
      <c r="AO119" s="15">
        <f t="shared" si="71"/>
        <v>0</v>
      </c>
      <c r="AP119" s="61">
        <v>0</v>
      </c>
      <c r="AQ119" s="61">
        <v>0</v>
      </c>
      <c r="AR119" s="61">
        <f>5153.97+1278.65+336.91</f>
        <v>6769.5300000000007</v>
      </c>
      <c r="AS119" s="61">
        <v>8814.31</v>
      </c>
      <c r="AT119" s="61">
        <v>0</v>
      </c>
      <c r="AU119" s="61">
        <v>0</v>
      </c>
      <c r="AV119" s="61">
        <v>0</v>
      </c>
      <c r="AW119" s="61">
        <v>0</v>
      </c>
      <c r="AX119" s="61">
        <v>0</v>
      </c>
      <c r="AY119" s="61">
        <v>0</v>
      </c>
      <c r="AZ119" s="61">
        <v>0</v>
      </c>
      <c r="BA119" s="61">
        <v>0</v>
      </c>
      <c r="BB119" s="80">
        <f>SUM(Financials2026[[#This Row],[Jan AC]:[Dec AC]])</f>
        <v>15583.84</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0</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15583.84</v>
      </c>
      <c r="BP119" s="90" t="s">
        <v>837</v>
      </c>
      <c r="BQ119" s="47">
        <f>SUM(Financials2026[[#This Row],[Jan AC]:[Apr AC]])</f>
        <v>15583.84</v>
      </c>
      <c r="BS119" s="6"/>
      <c r="BT119" s="6"/>
      <c r="BU119" s="6"/>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76"/>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57"/>
        <v>95.86</v>
      </c>
      <c r="X120" s="15">
        <f t="shared" si="60"/>
        <v>0</v>
      </c>
      <c r="Y120" s="15">
        <f t="shared" si="77"/>
        <v>95.86</v>
      </c>
      <c r="Z120" s="15">
        <f>SUM(Financials2026[[#This Row],[2026 Opportunity]:[2026 Risk]])</f>
        <v>95.86</v>
      </c>
      <c r="AA120" s="3" t="s">
        <v>380</v>
      </c>
      <c r="AB120" s="52"/>
      <c r="AC120" s="52"/>
      <c r="AD120" s="52"/>
      <c r="AE120" s="52"/>
      <c r="AF120" s="52"/>
      <c r="AG120" s="52"/>
      <c r="AH120" s="52"/>
      <c r="AI120" s="52"/>
      <c r="AJ120" s="52"/>
      <c r="AK120" s="52"/>
      <c r="AL120" s="52"/>
      <c r="AM120" s="52"/>
      <c r="AN120" s="52">
        <f>SUM(Financials2026[[#This Row],[Jan FC]:[Dec FC]])</f>
        <v>0</v>
      </c>
      <c r="AO120" s="15">
        <f t="shared" si="71"/>
        <v>0</v>
      </c>
      <c r="AP120" s="61">
        <v>26.13</v>
      </c>
      <c r="AQ120" s="61">
        <v>24.41</v>
      </c>
      <c r="AR120" s="61">
        <v>23.21</v>
      </c>
      <c r="AS120" s="61">
        <v>22.110000000000003</v>
      </c>
      <c r="AT120" s="61"/>
      <c r="AU120" s="61"/>
      <c r="AV120" s="61"/>
      <c r="AW120" s="61"/>
      <c r="AX120" s="61"/>
      <c r="AY120" s="61"/>
      <c r="AZ120" s="61"/>
      <c r="BA120" s="61"/>
      <c r="BB120" s="80">
        <f>SUM(Financials2026[[#This Row],[Jan AC]:[Dec AC]])</f>
        <v>95.86</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22.110000000000003</v>
      </c>
      <c r="BG120" s="71">
        <f>Financials2026[[#This Row],[May AC]]-Financials2026[[#This Row],[May FC]]</f>
        <v>0</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95.86</v>
      </c>
      <c r="BP120" s="90" t="s">
        <v>557</v>
      </c>
      <c r="BQ120" s="47">
        <f>SUM(Financials2026[[#This Row],[Jan AC]:[Apr AC]])</f>
        <v>95.86</v>
      </c>
      <c r="BS120" s="6"/>
      <c r="BT120" s="6"/>
      <c r="BU120" s="6"/>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76"/>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57"/>
        <v>66307.210000000006</v>
      </c>
      <c r="X121" s="15">
        <f t="shared" si="60"/>
        <v>-15282.789999999994</v>
      </c>
      <c r="Y121" s="15">
        <f t="shared" si="77"/>
        <v>0</v>
      </c>
      <c r="Z121" s="15">
        <f>SUM(Financials2026[[#This Row],[2026 Opportunity]:[2026 Risk]])</f>
        <v>-15282.789999999994</v>
      </c>
      <c r="AA121" s="14" t="s">
        <v>120</v>
      </c>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71"/>
        <v>61192.5</v>
      </c>
      <c r="AP121" s="61"/>
      <c r="AQ121" s="61"/>
      <c r="AR121" s="61">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539</v>
      </c>
      <c r="BQ121" s="47">
        <f>SUM(Financials2026[[#This Row],[Jan AC]:[Apr AC]])</f>
        <v>5114.71</v>
      </c>
      <c r="BS121" s="6"/>
      <c r="BT121" s="6"/>
      <c r="BU121" s="6"/>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76"/>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57"/>
        <v>160000</v>
      </c>
      <c r="X122" s="15">
        <f t="shared" si="60"/>
        <v>0</v>
      </c>
      <c r="Y122" s="15">
        <f t="shared" si="77"/>
        <v>0</v>
      </c>
      <c r="Z122" s="15">
        <f>SUM(Financials2026[[#This Row],[2026 Opportunity]:[2026 Risk]])</f>
        <v>0</v>
      </c>
      <c r="AA122" s="3" t="s">
        <v>383</v>
      </c>
      <c r="AB122" s="52">
        <f t="shared" ref="AB122:AJ122" si="78">150000/12</f>
        <v>12500</v>
      </c>
      <c r="AC122" s="52">
        <f t="shared" si="78"/>
        <v>12500</v>
      </c>
      <c r="AD122" s="52">
        <f t="shared" si="78"/>
        <v>12500</v>
      </c>
      <c r="AE122" s="52">
        <f t="shared" si="78"/>
        <v>12500</v>
      </c>
      <c r="AF122" s="52">
        <f t="shared" si="78"/>
        <v>12500</v>
      </c>
      <c r="AG122" s="52">
        <f t="shared" si="78"/>
        <v>12500</v>
      </c>
      <c r="AH122" s="52">
        <f t="shared" si="78"/>
        <v>12500</v>
      </c>
      <c r="AI122" s="52">
        <f t="shared" si="78"/>
        <v>12500</v>
      </c>
      <c r="AJ122" s="52">
        <f t="shared" si="78"/>
        <v>12500</v>
      </c>
      <c r="AK122" s="52">
        <v>15833</v>
      </c>
      <c r="AL122" s="52">
        <v>15833</v>
      </c>
      <c r="AM122" s="52">
        <v>15834</v>
      </c>
      <c r="AN122" s="52">
        <f>SUM(Financials2026[[#This Row],[Jan FC]:[Dec FC]])</f>
        <v>160000</v>
      </c>
      <c r="AO122" s="15">
        <f t="shared" si="71"/>
        <v>110000</v>
      </c>
      <c r="AP122" s="61">
        <f t="shared" ref="AP122:AX122" si="79">150000/12</f>
        <v>12500</v>
      </c>
      <c r="AQ122" s="61">
        <f t="shared" si="79"/>
        <v>12500</v>
      </c>
      <c r="AR122" s="61">
        <f t="shared" si="79"/>
        <v>12500</v>
      </c>
      <c r="AS122" s="61">
        <f t="shared" si="79"/>
        <v>12500</v>
      </c>
      <c r="AT122" s="61">
        <f t="shared" si="79"/>
        <v>12500</v>
      </c>
      <c r="AU122" s="61">
        <f t="shared" si="79"/>
        <v>12500</v>
      </c>
      <c r="AV122" s="61">
        <f t="shared" si="79"/>
        <v>12500</v>
      </c>
      <c r="AW122" s="61">
        <f t="shared" si="79"/>
        <v>12500</v>
      </c>
      <c r="AX122" s="61">
        <f t="shared" si="79"/>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76"/>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57"/>
        <v>208333.33333333334</v>
      </c>
      <c r="X123" s="15">
        <f t="shared" si="60"/>
        <v>-41666.666666666657</v>
      </c>
      <c r="Y123" s="15">
        <f t="shared" si="77"/>
        <v>0</v>
      </c>
      <c r="Z123" s="15">
        <f>SUM(Financials2026[[#This Row],[2026 Opportunity]:[2026 Risk]])</f>
        <v>-41666.666666666657</v>
      </c>
      <c r="AA123" s="3" t="s">
        <v>385</v>
      </c>
      <c r="AB123" s="53"/>
      <c r="AC123" s="53"/>
      <c r="AD123" s="53">
        <f t="shared" ref="AD123:AM123" si="80">250000/12</f>
        <v>20833.333333333332</v>
      </c>
      <c r="AE123" s="53">
        <f t="shared" si="80"/>
        <v>20833.333333333332</v>
      </c>
      <c r="AF123" s="53">
        <f t="shared" si="80"/>
        <v>20833.333333333332</v>
      </c>
      <c r="AG123" s="53">
        <f t="shared" si="80"/>
        <v>20833.333333333332</v>
      </c>
      <c r="AH123" s="53">
        <f t="shared" si="80"/>
        <v>20833.333333333332</v>
      </c>
      <c r="AI123" s="53">
        <f t="shared" si="80"/>
        <v>20833.333333333332</v>
      </c>
      <c r="AJ123" s="53">
        <f t="shared" si="80"/>
        <v>20833.333333333332</v>
      </c>
      <c r="AK123" s="53">
        <f t="shared" si="80"/>
        <v>20833.333333333332</v>
      </c>
      <c r="AL123" s="53">
        <f t="shared" si="80"/>
        <v>20833.333333333332</v>
      </c>
      <c r="AM123" s="53">
        <f t="shared" si="80"/>
        <v>20833.333333333332</v>
      </c>
      <c r="AN123" s="76">
        <f>SUM(Financials2026[[#This Row],[Jan FC]:[Dec FC]])</f>
        <v>208333.33333333334</v>
      </c>
      <c r="AO123" s="15">
        <f t="shared" si="71"/>
        <v>166666.66666666666</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-20833.333333333332</v>
      </c>
      <c r="BF123" s="71">
        <f>Financials2026[[#This Row],[Apr AC]]-Financials2026[[#This Row],[Apr FC]]</f>
        <v>-20833.333333333332</v>
      </c>
      <c r="BG123" s="71">
        <f>Financials2026[[#This Row],[May AC]]-Financials2026[[#This Row],[May FC]]</f>
        <v>-20833.333333333332</v>
      </c>
      <c r="BH123" s="71">
        <f>Financials2026[[#This Row],[Jun AC]]-Financials2026[[#This Row],[Jun FC]]</f>
        <v>-20833.333333333332</v>
      </c>
      <c r="BI123" s="71">
        <f>Financials2026[[#This Row],[Jul AC]]-Financials2026[[#This Row],[Jul FC]]</f>
        <v>-20833.333333333332</v>
      </c>
      <c r="BJ123" s="71">
        <f>Financials2026[[#This Row],[Aug AC]]-Financials2026[[#This Row],[Aug FC]]</f>
        <v>-20833.333333333332</v>
      </c>
      <c r="BK123" s="71">
        <f>Financials2026[[#This Row],[Sep AC]]-Financials2026[[#This Row],[Sep FC]]</f>
        <v>-20833.333333333332</v>
      </c>
      <c r="BL123" s="71">
        <f>Financials2026[[#This Row],[Oct AC]]-Financials2026[[#This Row],[Oct FC]]</f>
        <v>-20833.333333333332</v>
      </c>
      <c r="BM123" s="71">
        <f>Financials2026[[#This Row],[Nov AC]]-Financials2026[[#This Row],[Nov FC]]</f>
        <v>-20833.333333333332</v>
      </c>
      <c r="BN123" s="71">
        <f>Financials2026[[#This Row],[Dec AC]]-Financials2026[[#This Row],[Dec FC]]</f>
        <v>-20833.333333333332</v>
      </c>
      <c r="BO123" s="71">
        <f>SUM(Financials2026[[#This Row],[Jan Opp/Risk]:[Dec Opp./Risk]])</f>
        <v>-208333.33333333334</v>
      </c>
      <c r="BP123" s="90" t="s">
        <v>548</v>
      </c>
      <c r="BQ123" s="47">
        <f>SUM(Financials2026[[#This Row],[Jan AC]:[Apr AC]])</f>
        <v>0</v>
      </c>
      <c r="BS123" s="6"/>
      <c r="BT123" s="6"/>
      <c r="BU123" s="6"/>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76"/>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57"/>
        <v>165000</v>
      </c>
      <c r="X124" s="15">
        <f t="shared" si="60"/>
        <v>0</v>
      </c>
      <c r="Y124" s="15">
        <f t="shared" si="77"/>
        <v>0</v>
      </c>
      <c r="Z124" s="15">
        <f>SUM(Financials2026[[#This Row],[2026 Opportunity]:[2026 Risk]])</f>
        <v>0</v>
      </c>
      <c r="AA124" s="3" t="s">
        <v>385</v>
      </c>
      <c r="AB124" s="52"/>
      <c r="AC124" s="52"/>
      <c r="AD124" s="52"/>
      <c r="AE124" s="52"/>
      <c r="AF124" s="52"/>
      <c r="AG124" s="52"/>
      <c r="AH124" s="52"/>
      <c r="AI124" s="52"/>
      <c r="AJ124" s="52"/>
      <c r="AK124" s="52"/>
      <c r="AL124" s="52"/>
      <c r="AM124" s="52">
        <v>165000</v>
      </c>
      <c r="AN124" s="52">
        <f>SUM(Financials2026[[#This Row],[Jan FC]:[Dec FC]])</f>
        <v>165000</v>
      </c>
      <c r="AO124" s="15">
        <f t="shared" si="71"/>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c r="BQ124" s="47">
        <f>SUM(Financials2026[[#This Row],[Jan AC]:[Apr AC]])</f>
        <v>0</v>
      </c>
      <c r="BS124" s="6"/>
      <c r="BT124" s="6"/>
      <c r="BU124" s="6"/>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76"/>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57"/>
        <v>50000</v>
      </c>
      <c r="X125" s="15">
        <f t="shared" si="60"/>
        <v>0</v>
      </c>
      <c r="Y125" s="15">
        <f t="shared" si="77"/>
        <v>0</v>
      </c>
      <c r="Z125" s="15">
        <f>SUM(Financials2026[[#This Row],[2026 Opportunity]:[2026 Risk]])</f>
        <v>0</v>
      </c>
      <c r="AA125" s="3" t="s">
        <v>388</v>
      </c>
      <c r="AB125" s="52"/>
      <c r="AC125" s="52"/>
      <c r="AD125" s="52"/>
      <c r="AE125" s="52"/>
      <c r="AF125" s="52"/>
      <c r="AG125" s="52">
        <v>50000</v>
      </c>
      <c r="AH125" s="52"/>
      <c r="AI125" s="52"/>
      <c r="AJ125" s="52"/>
      <c r="AK125" s="52"/>
      <c r="AL125" s="52"/>
      <c r="AM125" s="52"/>
      <c r="AN125" s="52">
        <f>SUM(Financials2026[[#This Row],[Jan FC]:[Dec FC]])</f>
        <v>50000</v>
      </c>
      <c r="AO125" s="15">
        <f t="shared" si="71"/>
        <v>50000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-50000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-50000</v>
      </c>
      <c r="BP125" s="90"/>
      <c r="BQ125" s="47">
        <f>SUM(Financials2026[[#This Row],[Jan AC]:[Apr AC]])</f>
        <v>0</v>
      </c>
      <c r="BS125" s="6"/>
      <c r="BT125" s="6"/>
      <c r="BU125" s="6"/>
      <c r="BV125" s="6"/>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76"/>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57"/>
        <v>600000</v>
      </c>
      <c r="X126" s="15">
        <f t="shared" si="60"/>
        <v>0</v>
      </c>
      <c r="Y126" s="15">
        <f t="shared" si="77"/>
        <v>100400</v>
      </c>
      <c r="Z126" s="15">
        <f>SUM(Financials2026[[#This Row],[2026 Opportunity]:[2026 Risk]])</f>
        <v>100400</v>
      </c>
      <c r="AA126" s="3" t="s">
        <v>385</v>
      </c>
      <c r="AB126" s="52"/>
      <c r="AC126" s="52"/>
      <c r="AD126" s="52">
        <v>100000</v>
      </c>
      <c r="AE126" s="52">
        <v>200000</v>
      </c>
      <c r="AF126" s="52">
        <v>200000</v>
      </c>
      <c r="AG126" s="52">
        <v>100000</v>
      </c>
      <c r="AH126" s="52"/>
      <c r="AI126" s="52"/>
      <c r="AJ126" s="52"/>
      <c r="AK126" s="52"/>
      <c r="AL126" s="52"/>
      <c r="AM126" s="52"/>
      <c r="AN126" s="75">
        <f>SUM(Financials2026[[#This Row],[Jan FC]:[Dec FC]])</f>
        <v>600000</v>
      </c>
      <c r="AO126" s="15">
        <f t="shared" si="71"/>
        <v>300000</v>
      </c>
      <c r="AP126" s="61"/>
      <c r="AQ126" s="61"/>
      <c r="AR126" s="61"/>
      <c r="AS126" s="61"/>
      <c r="AT126" s="61"/>
      <c r="AU126" s="61"/>
      <c r="AV126" s="61"/>
      <c r="AW126" s="61"/>
      <c r="AX126" s="61"/>
      <c r="AY126" s="61"/>
      <c r="AZ126" s="61"/>
      <c r="BA126" s="61"/>
      <c r="BB126" s="80">
        <f>SUM(Financials2026[[#This Row],[Jan AC]:[Dec AC]])</f>
        <v>0</v>
      </c>
      <c r="BC126" s="71">
        <f>Financials2026[[#This Row],[Jan AC]]-Financials2026[[#This Row],[Jan FC]]</f>
        <v>0</v>
      </c>
      <c r="BD126" s="71">
        <f>Financials2026[[#This Row],[Feb AC]]-Financials2026[[#This Row],[Feb FC]]</f>
        <v>0</v>
      </c>
      <c r="BE126" s="71">
        <f>Financials2026[[#This Row],[Mar AC]]-Financials2026[[#This Row],[Mar FC]]</f>
        <v>-100000</v>
      </c>
      <c r="BF126" s="71">
        <f>Financials2026[[#This Row],[Apr AC]]-Financials2026[[#This Row],[Apr FC]]</f>
        <v>-200000</v>
      </c>
      <c r="BG126" s="71">
        <f>Financials2026[[#This Row],[May AC]]-Financials2026[[#This Row],[May FC]]</f>
        <v>-200000</v>
      </c>
      <c r="BH126" s="71">
        <f>Financials2026[[#This Row],[Jun AC]]-Financials2026[[#This Row],[Jun FC]]</f>
        <v>-100000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0</v>
      </c>
      <c r="BO126" s="71">
        <f>SUM(Financials2026[[#This Row],[Jan Opp/Risk]:[Dec Opp./Risk]])</f>
        <v>-600000</v>
      </c>
      <c r="BP126" s="90" t="s">
        <v>548</v>
      </c>
      <c r="BQ126" s="47">
        <f>SUM(Financials2026[[#This Row],[Jan AC]:[Apr AC]])</f>
        <v>0</v>
      </c>
      <c r="BS126" s="6"/>
      <c r="BT126" s="6"/>
      <c r="BU126" s="6"/>
      <c r="BV126" s="6"/>
      <c r="BW126" s="6"/>
      <c r="BX126" s="6"/>
    </row>
    <row r="127" spans="1:76" x14ac:dyDescent="0.3">
      <c r="A127" s="22" t="s">
        <v>101</v>
      </c>
      <c r="B127" s="21" t="s">
        <v>208</v>
      </c>
      <c r="C127" s="21"/>
      <c r="D127" s="10" t="s">
        <v>35</v>
      </c>
      <c r="E127" s="7" t="s">
        <v>389</v>
      </c>
      <c r="F127" s="3" t="s">
        <v>205</v>
      </c>
      <c r="G127" s="3" t="s">
        <v>50</v>
      </c>
      <c r="H127" s="4">
        <v>46157</v>
      </c>
      <c r="I127" s="4">
        <v>46234</v>
      </c>
      <c r="J127" s="3"/>
      <c r="K127" s="3" t="str">
        <f t="shared" ref="K127" si="81">D127 &amp; "-" &amp;E127</f>
        <v>Prj000482-Implement - WSO Own Instance (AM)</v>
      </c>
      <c r="L127" s="21" t="s">
        <v>124</v>
      </c>
      <c r="M127" s="21" t="s">
        <v>2</v>
      </c>
      <c r="N127" s="21" t="s">
        <v>341</v>
      </c>
      <c r="O127" s="21"/>
      <c r="P127" s="21" t="s">
        <v>107</v>
      </c>
      <c r="Q127" s="21" t="s">
        <v>134</v>
      </c>
      <c r="R127" s="21" t="s">
        <v>128</v>
      </c>
      <c r="S127" s="3" t="s">
        <v>385</v>
      </c>
      <c r="T127" s="5"/>
      <c r="U127" s="17">
        <v>0</v>
      </c>
      <c r="V127" s="17">
        <v>120000</v>
      </c>
      <c r="W127" s="15">
        <f t="shared" ref="W127" si="82">AO127+IF(ISBLANK(AP127),AB127,AP127)+IF(ISBLANK(AQ127),AC127,AQ127)+IF(ISBLANK(AR127),AD127,AR127)+IF(ISBLANK(AS127),AE127,AS127)</f>
        <v>120000</v>
      </c>
      <c r="X127" s="15">
        <f t="shared" ref="X127" si="83">IF(V127 &gt;= W127, V127 - W127, 0)*-1</f>
        <v>0</v>
      </c>
      <c r="Y127" s="15">
        <f t="shared" ref="Y127" si="84">IF(W127 &gt; V127, W127 - V127, 0)</f>
        <v>0</v>
      </c>
      <c r="Z127" s="15">
        <f>SUM(Financials2026[[#This Row],[2026 Opportunity]:[2026 Risk]])</f>
        <v>0</v>
      </c>
      <c r="AA127" s="3" t="s">
        <v>385</v>
      </c>
      <c r="AB127" s="52"/>
      <c r="AC127" s="52"/>
      <c r="AD127" s="52"/>
      <c r="AE127" s="52"/>
      <c r="AF127" s="52">
        <v>40000</v>
      </c>
      <c r="AG127" s="52">
        <v>40000</v>
      </c>
      <c r="AH127" s="52">
        <v>40000</v>
      </c>
      <c r="AI127" s="52"/>
      <c r="AJ127" s="52"/>
      <c r="AK127" s="52"/>
      <c r="AL127" s="52"/>
      <c r="AM127" s="52"/>
      <c r="AN127" s="75">
        <f>SUM(Financials2026[[#This Row],[Jan FC]:[Dec FC]])</f>
        <v>120000</v>
      </c>
      <c r="AO127" s="15">
        <f t="shared" ref="AO127" si="85">SUM(AF127:AM127)</f>
        <v>120000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889</v>
      </c>
      <c r="BQ127" s="47">
        <f>SUM(Financials2026[[#This Row],[Jan AC]:[Apr AC]])</f>
        <v>0</v>
      </c>
      <c r="BS127" s="6"/>
      <c r="BT127" s="6"/>
      <c r="BU127" s="6"/>
      <c r="BV127" s="6"/>
      <c r="BW127" s="6"/>
      <c r="BX127" s="6"/>
    </row>
    <row r="128" spans="1:76" x14ac:dyDescent="0.3">
      <c r="A128" s="22" t="s">
        <v>101</v>
      </c>
      <c r="B128" s="21" t="s">
        <v>334</v>
      </c>
      <c r="C128" s="21" t="s">
        <v>335</v>
      </c>
      <c r="D128" s="10" t="s">
        <v>9</v>
      </c>
      <c r="E128" s="7" t="s">
        <v>390</v>
      </c>
      <c r="F128" s="3" t="s">
        <v>205</v>
      </c>
      <c r="G128" s="3" t="s">
        <v>50</v>
      </c>
      <c r="H128" s="4"/>
      <c r="I128" s="4"/>
      <c r="J128" s="3"/>
      <c r="K128" s="3" t="str">
        <f t="shared" si="76"/>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57"/>
        <v>420000</v>
      </c>
      <c r="X128" s="15">
        <f t="shared" si="60"/>
        <v>-80000</v>
      </c>
      <c r="Y128" s="15">
        <f t="shared" si="77"/>
        <v>0</v>
      </c>
      <c r="Z128" s="15">
        <f>SUM(Financials2026[[#This Row],[2026 Opportunity]:[2026 Risk]])</f>
        <v>-80000</v>
      </c>
      <c r="AA128" s="3" t="s">
        <v>388</v>
      </c>
      <c r="AB128" s="52"/>
      <c r="AC128" s="52"/>
      <c r="AD128" s="52"/>
      <c r="AE128" s="52"/>
      <c r="AF128" s="52"/>
      <c r="AG128" s="52">
        <v>60000</v>
      </c>
      <c r="AH128" s="52">
        <v>60000</v>
      </c>
      <c r="AI128" s="52">
        <v>60000</v>
      </c>
      <c r="AJ128" s="52">
        <v>60000</v>
      </c>
      <c r="AK128" s="52">
        <v>60000</v>
      </c>
      <c r="AL128" s="52">
        <v>60000</v>
      </c>
      <c r="AM128" s="52">
        <f>60000</f>
        <v>60000</v>
      </c>
      <c r="AN128" s="75">
        <f>SUM(Financials2026[[#This Row],[Jan FC]:[Dec FC]])</f>
        <v>420000</v>
      </c>
      <c r="AO128" s="15">
        <f t="shared" si="71"/>
        <v>420000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-60000</v>
      </c>
      <c r="BI128" s="71">
        <f>Financials2026[[#This Row],[Jul AC]]-Financials2026[[#This Row],[Jul FC]]</f>
        <v>-60000</v>
      </c>
      <c r="BJ128" s="71">
        <f>Financials2026[[#This Row],[Aug AC]]-Financials2026[[#This Row],[Aug FC]]</f>
        <v>-60000</v>
      </c>
      <c r="BK128" s="71">
        <f>Financials2026[[#This Row],[Sep AC]]-Financials2026[[#This Row],[Sep FC]]</f>
        <v>-60000</v>
      </c>
      <c r="BL128" s="71">
        <f>Financials2026[[#This Row],[Oct AC]]-Financials2026[[#This Row],[Oct FC]]</f>
        <v>-60000</v>
      </c>
      <c r="BM128" s="71">
        <f>Financials2026[[#This Row],[Nov AC]]-Financials2026[[#This Row],[Nov FC]]</f>
        <v>-60000</v>
      </c>
      <c r="BN128" s="71">
        <f>Financials2026[[#This Row],[Dec AC]]-Financials2026[[#This Row],[Dec FC]]</f>
        <v>-60000</v>
      </c>
      <c r="BO128" s="71">
        <f>SUM(Financials2026[[#This Row],[Jan Opp/Risk]:[Dec Opp./Risk]])</f>
        <v>-420000</v>
      </c>
      <c r="BP128" s="90" t="s">
        <v>548</v>
      </c>
      <c r="BQ128" s="47">
        <f>SUM(Financials2026[[#This Row],[Jan AC]:[Apr AC]])</f>
        <v>0</v>
      </c>
      <c r="BS128" s="6"/>
      <c r="BT128" s="6"/>
      <c r="BU128" s="6"/>
      <c r="BV128" s="6"/>
      <c r="BW128" s="6"/>
      <c r="BX128" s="6"/>
    </row>
    <row r="129" spans="1:76" x14ac:dyDescent="0.3">
      <c r="A129" s="22" t="s">
        <v>101</v>
      </c>
      <c r="B129" s="21" t="s">
        <v>208</v>
      </c>
      <c r="C129" s="21" t="s">
        <v>209</v>
      </c>
      <c r="D129" s="10" t="s">
        <v>34</v>
      </c>
      <c r="E129" s="7" t="s">
        <v>391</v>
      </c>
      <c r="F129" s="3" t="s">
        <v>211</v>
      </c>
      <c r="G129" s="3" t="s">
        <v>48</v>
      </c>
      <c r="H129" s="4"/>
      <c r="I129" s="4"/>
      <c r="J129" s="3" t="s">
        <v>392</v>
      </c>
      <c r="K129" s="3" t="str">
        <f t="shared" si="76"/>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57"/>
        <v>300000</v>
      </c>
      <c r="X129" s="15">
        <f t="shared" si="60"/>
        <v>-300000</v>
      </c>
      <c r="Y129" s="15">
        <f t="shared" si="77"/>
        <v>0</v>
      </c>
      <c r="Z129" s="15">
        <f>SUM(Financials2026[[#This Row],[2026 Opportunity]:[2026 Risk]])</f>
        <v>-300000</v>
      </c>
      <c r="AA129" s="3" t="s">
        <v>388</v>
      </c>
      <c r="AB129" s="52"/>
      <c r="AC129" s="52"/>
      <c r="AD129" s="52"/>
      <c r="AE129" s="52"/>
      <c r="AF129" s="52"/>
      <c r="AG129" s="52"/>
      <c r="AH129" s="52">
        <v>50000</v>
      </c>
      <c r="AI129" s="52">
        <v>50000</v>
      </c>
      <c r="AJ129" s="52">
        <v>50000</v>
      </c>
      <c r="AK129" s="52">
        <v>50000</v>
      </c>
      <c r="AL129" s="52">
        <v>50000</v>
      </c>
      <c r="AM129" s="52">
        <v>50000</v>
      </c>
      <c r="AN129" s="75">
        <f>SUM(Financials2026[[#This Row],[Jan FC]:[Dec FC]])</f>
        <v>300000</v>
      </c>
      <c r="AO129" s="15">
        <f t="shared" si="71"/>
        <v>300000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-50000</v>
      </c>
      <c r="BJ129" s="71">
        <f>Financials2026[[#This Row],[Aug AC]]-Financials2026[[#This Row],[Aug FC]]</f>
        <v>-50000</v>
      </c>
      <c r="BK129" s="71">
        <f>Financials2026[[#This Row],[Sep AC]]-Financials2026[[#This Row],[Sep FC]]</f>
        <v>-50000</v>
      </c>
      <c r="BL129" s="71">
        <f>Financials2026[[#This Row],[Oct AC]]-Financials2026[[#This Row],[Oct FC]]</f>
        <v>-50000</v>
      </c>
      <c r="BM129" s="71">
        <f>Financials2026[[#This Row],[Nov AC]]-Financials2026[[#This Row],[Nov FC]]</f>
        <v>-50000</v>
      </c>
      <c r="BN129" s="71">
        <f>Financials2026[[#This Row],[Dec AC]]-Financials2026[[#This Row],[Dec FC]]</f>
        <v>-50000</v>
      </c>
      <c r="BO129" s="71">
        <f>SUM(Financials2026[[#This Row],[Jan Opp/Risk]:[Dec Opp./Risk]])</f>
        <v>-300000</v>
      </c>
      <c r="BP129" s="90" t="s">
        <v>548</v>
      </c>
      <c r="BQ129" s="47">
        <f>SUM(Financials2026[[#This Row],[Jan AC]:[Apr AC]])</f>
        <v>0</v>
      </c>
      <c r="BS129" s="6"/>
      <c r="BT129" s="6"/>
      <c r="BU129" s="6"/>
      <c r="BV129" s="6"/>
      <c r="BW129" s="6"/>
      <c r="BX129" s="6"/>
    </row>
    <row r="130" spans="1:76" x14ac:dyDescent="0.3">
      <c r="A130" s="22" t="s">
        <v>101</v>
      </c>
      <c r="B130" s="21" t="s">
        <v>208</v>
      </c>
      <c r="C130" s="21" t="s">
        <v>209</v>
      </c>
      <c r="D130" s="10" t="s">
        <v>37</v>
      </c>
      <c r="E130" s="7" t="s">
        <v>213</v>
      </c>
      <c r="F130" s="3" t="s">
        <v>211</v>
      </c>
      <c r="G130" s="3" t="s">
        <v>48</v>
      </c>
      <c r="H130" s="4"/>
      <c r="I130" s="4"/>
      <c r="J130" s="3" t="s">
        <v>392</v>
      </c>
      <c r="K130" s="3" t="str">
        <f t="shared" ref="K130:K141" si="86">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si="57"/>
        <v>300000</v>
      </c>
      <c r="X130" s="15">
        <f t="shared" si="60"/>
        <v>-200000</v>
      </c>
      <c r="Y130" s="15">
        <f t="shared" ref="Y130:Y146" si="87">IF(W130 &gt; V130, W130 - V130, 0)</f>
        <v>0</v>
      </c>
      <c r="Z130" s="15">
        <f>SUM(Financials2026[[#This Row],[2026 Opportunity]:[2026 Risk]])</f>
        <v>-200000</v>
      </c>
      <c r="AA130" s="3" t="s">
        <v>385</v>
      </c>
      <c r="AB130" s="52"/>
      <c r="AC130" s="52"/>
      <c r="AD130" s="52"/>
      <c r="AE130" s="52"/>
      <c r="AF130" s="52"/>
      <c r="AG130" s="52"/>
      <c r="AH130" s="52">
        <v>50000</v>
      </c>
      <c r="AI130" s="52">
        <v>50000</v>
      </c>
      <c r="AJ130" s="52">
        <v>50000</v>
      </c>
      <c r="AK130" s="52">
        <v>50000</v>
      </c>
      <c r="AL130" s="52">
        <v>50000</v>
      </c>
      <c r="AM130" s="52">
        <v>50000</v>
      </c>
      <c r="AN130" s="75">
        <f>SUM(Financials2026[[#This Row],[Jan FC]:[Dec FC]])</f>
        <v>300000</v>
      </c>
      <c r="AO130" s="15">
        <f t="shared" si="71"/>
        <v>300000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-50000</v>
      </c>
      <c r="BJ130" s="71">
        <f>Financials2026[[#This Row],[Aug AC]]-Financials2026[[#This Row],[Aug FC]]</f>
        <v>-50000</v>
      </c>
      <c r="BK130" s="71">
        <f>Financials2026[[#This Row],[Sep AC]]-Financials2026[[#This Row],[Sep FC]]</f>
        <v>-50000</v>
      </c>
      <c r="BL130" s="71">
        <f>Financials2026[[#This Row],[Oct AC]]-Financials2026[[#This Row],[Oct FC]]</f>
        <v>-50000</v>
      </c>
      <c r="BM130" s="71">
        <f>Financials2026[[#This Row],[Nov AC]]-Financials2026[[#This Row],[Nov FC]]</f>
        <v>-50000</v>
      </c>
      <c r="BN130" s="71">
        <f>Financials2026[[#This Row],[Dec AC]]-Financials2026[[#This Row],[Dec FC]]</f>
        <v>-50000</v>
      </c>
      <c r="BO130" s="71">
        <f>SUM(Financials2026[[#This Row],[Jan Opp/Risk]:[Dec Opp./Risk]])</f>
        <v>-300000</v>
      </c>
      <c r="BP130" s="90" t="s">
        <v>548</v>
      </c>
      <c r="BQ130" s="47">
        <f>SUM(Financials2026[[#This Row],[Jan AC]:[Apr AC]])</f>
        <v>0</v>
      </c>
      <c r="BS130" s="6"/>
      <c r="BT130" s="6"/>
      <c r="BU130" s="6"/>
      <c r="BV130" s="6"/>
      <c r="BW130" s="6"/>
      <c r="BX130" s="6"/>
    </row>
    <row r="131" spans="1:76" x14ac:dyDescent="0.3">
      <c r="A131" s="22" t="s">
        <v>101</v>
      </c>
      <c r="B131" s="21" t="s">
        <v>74</v>
      </c>
      <c r="C131" s="21" t="s">
        <v>265</v>
      </c>
      <c r="D131" s="10" t="s">
        <v>28</v>
      </c>
      <c r="E131" s="7" t="s">
        <v>393</v>
      </c>
      <c r="F131" s="3" t="s">
        <v>104</v>
      </c>
      <c r="G131" s="3" t="s">
        <v>49</v>
      </c>
      <c r="H131" s="4">
        <v>46023</v>
      </c>
      <c r="I131" s="4">
        <v>46194</v>
      </c>
      <c r="J131" s="3" t="s">
        <v>394</v>
      </c>
      <c r="K131" s="3" t="str">
        <f t="shared" si="86"/>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57"/>
        <v>174169.56</v>
      </c>
      <c r="X131" s="15">
        <f t="shared" si="60"/>
        <v>-4330.4400000000023</v>
      </c>
      <c r="Y131" s="15">
        <f t="shared" si="87"/>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71"/>
        <v>58056.52</v>
      </c>
      <c r="AP131" s="61">
        <v>29028.26</v>
      </c>
      <c r="AQ131" s="61">
        <v>29028.26</v>
      </c>
      <c r="AR131" s="61">
        <v>29028.26</v>
      </c>
      <c r="AS131" s="61">
        <v>29028.26</v>
      </c>
      <c r="AT131" s="61"/>
      <c r="AU131" s="61"/>
      <c r="AV131" s="61"/>
      <c r="AW131" s="61"/>
      <c r="AX131" s="61"/>
      <c r="AY131" s="61"/>
      <c r="AZ131" s="61"/>
      <c r="BA131" s="61"/>
      <c r="BB131" s="80">
        <f>SUM(Financials2026[[#This Row],[Jan AC]:[Dec AC]])</f>
        <v>116113.04</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-29028.26</v>
      </c>
      <c r="BH131" s="71">
        <f>Financials2026[[#This Row],[Jun AC]]-Financials2026[[#This Row],[Jun FC]]</f>
        <v>-29028.26</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-58056.52</v>
      </c>
      <c r="BP131" s="90" t="s">
        <v>539</v>
      </c>
      <c r="BQ131" s="47">
        <f>SUM(Financials2026[[#This Row],[Jan AC]:[Apr AC]])</f>
        <v>116113.04</v>
      </c>
      <c r="BS131" s="6"/>
      <c r="BT131" s="6"/>
      <c r="BU131" s="6"/>
      <c r="BV131" s="6"/>
      <c r="BW131" s="6"/>
      <c r="BX131" s="6"/>
    </row>
    <row r="132" spans="1:76" x14ac:dyDescent="0.3">
      <c r="A132" s="22" t="s">
        <v>101</v>
      </c>
      <c r="B132" s="21" t="s">
        <v>278</v>
      </c>
      <c r="C132" s="21" t="s">
        <v>279</v>
      </c>
      <c r="D132" s="10" t="s">
        <v>33</v>
      </c>
      <c r="E132" s="7" t="s">
        <v>396</v>
      </c>
      <c r="F132" s="3" t="s">
        <v>211</v>
      </c>
      <c r="G132" s="3" t="s">
        <v>48</v>
      </c>
      <c r="H132" s="4">
        <v>45943</v>
      </c>
      <c r="I132" s="4">
        <v>46109</v>
      </c>
      <c r="J132" s="3" t="s">
        <v>397</v>
      </c>
      <c r="K132" s="3" t="str">
        <f t="shared" si="86"/>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ref="W132:W148" si="88">AO132+IF(ISBLANK(AP132),AB132,AP132)+IF(ISBLANK(AQ132),AC132,AQ132)+IF(ISBLANK(AR132),AD132,AR132)+IF(ISBLANK(AS132),AE132,AS132)</f>
        <v>7470</v>
      </c>
      <c r="X132" s="15">
        <f t="shared" si="60"/>
        <v>0</v>
      </c>
      <c r="Y132" s="15">
        <f t="shared" si="87"/>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ref="AO132:AO148" si="89">SUM(AF132:AM132)</f>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
      <c r="A133" s="22" t="s">
        <v>101</v>
      </c>
      <c r="B133" s="21" t="s">
        <v>208</v>
      </c>
      <c r="C133" s="21" t="s">
        <v>209</v>
      </c>
      <c r="D133" s="10" t="s">
        <v>21</v>
      </c>
      <c r="E133" s="7" t="s">
        <v>399</v>
      </c>
      <c r="F133" s="3" t="s">
        <v>168</v>
      </c>
      <c r="G133" s="3" t="s">
        <v>51</v>
      </c>
      <c r="H133" s="4"/>
      <c r="I133" s="4"/>
      <c r="J133" s="3"/>
      <c r="K133" s="3" t="str">
        <f t="shared" si="86"/>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8"/>
        <v>100000</v>
      </c>
      <c r="X133" s="15">
        <f t="shared" si="60"/>
        <v>0</v>
      </c>
      <c r="Y133" s="15">
        <f t="shared" si="87"/>
        <v>0</v>
      </c>
      <c r="Z133" s="15">
        <f>SUM(Financials2026[[#This Row],[2026 Opportunity]:[2026 Risk]])</f>
        <v>0</v>
      </c>
      <c r="AA133" s="3" t="s">
        <v>385</v>
      </c>
      <c r="AB133" s="52"/>
      <c r="AC133" s="52"/>
      <c r="AD133" s="52"/>
      <c r="AE133" s="52"/>
      <c r="AF133" s="52"/>
      <c r="AG133" s="52"/>
      <c r="AH133" s="52"/>
      <c r="AI133" s="52"/>
      <c r="AJ133" s="52"/>
      <c r="AK133" s="52"/>
      <c r="AL133" s="52"/>
      <c r="AM133" s="52">
        <v>100000</v>
      </c>
      <c r="AN133" s="52">
        <f>SUM(Financials2026[[#This Row],[Jan FC]:[Dec FC]])</f>
        <v>100000</v>
      </c>
      <c r="AO133" s="15">
        <f t="shared" si="89"/>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c r="BQ133" s="47">
        <f>SUM(Financials2026[[#This Row],[Jan AC]:[Apr AC]])</f>
        <v>0</v>
      </c>
      <c r="BS133" s="6"/>
      <c r="BT133" s="6"/>
      <c r="BU133" s="6"/>
      <c r="BV133" s="6"/>
      <c r="BW133" s="6"/>
      <c r="BX133" s="6"/>
    </row>
    <row r="134" spans="1:76" x14ac:dyDescent="0.3">
      <c r="A134" s="22" t="s">
        <v>101</v>
      </c>
      <c r="B134" s="21" t="s">
        <v>400</v>
      </c>
      <c r="C134" s="21"/>
      <c r="D134" s="10" t="s">
        <v>12</v>
      </c>
      <c r="E134" s="7" t="s">
        <v>401</v>
      </c>
      <c r="F134" s="3" t="s">
        <v>123</v>
      </c>
      <c r="G134" s="3" t="s">
        <v>50</v>
      </c>
      <c r="H134" s="4"/>
      <c r="I134" s="4"/>
      <c r="J134" s="3"/>
      <c r="K134" s="3" t="str">
        <f t="shared" si="86"/>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8"/>
        <v>250000</v>
      </c>
      <c r="X134" s="15">
        <f t="shared" si="60"/>
        <v>0</v>
      </c>
      <c r="Y134" s="15">
        <f t="shared" si="87"/>
        <v>0</v>
      </c>
      <c r="Z134" s="15">
        <f>SUM(Financials2026[[#This Row],[2026 Opportunity]:[2026 Risk]])</f>
        <v>0</v>
      </c>
      <c r="AA134" s="3" t="s">
        <v>388</v>
      </c>
      <c r="AB134" s="52"/>
      <c r="AC134" s="52"/>
      <c r="AD134" s="52"/>
      <c r="AE134" s="52"/>
      <c r="AF134" s="52"/>
      <c r="AG134" s="52"/>
      <c r="AH134" s="52"/>
      <c r="AI134" s="52"/>
      <c r="AJ134" s="52"/>
      <c r="AK134" s="52">
        <v>250000</v>
      </c>
      <c r="AL134" s="52"/>
      <c r="AM134" s="52"/>
      <c r="AN134" s="52">
        <f>SUM(Financials2026[[#This Row],[Jan FC]:[Dec FC]])</f>
        <v>250000</v>
      </c>
      <c r="AO134" s="15">
        <f t="shared" si="89"/>
        <v>250000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-250000</v>
      </c>
      <c r="BM134" s="71">
        <f>Financials2026[[#This Row],[Nov AC]]-Financials2026[[#This Row],[Nov FC]]</f>
        <v>0</v>
      </c>
      <c r="BN134" s="71">
        <f>Financials2026[[#This Row],[Dec AC]]-Financials2026[[#This Row],[Dec FC]]</f>
        <v>0</v>
      </c>
      <c r="BO134" s="71">
        <f>SUM(Financials2026[[#This Row],[Jan Opp/Risk]:[Dec Opp./Risk]])</f>
        <v>-250000</v>
      </c>
      <c r="BP134" s="90" t="s">
        <v>548</v>
      </c>
      <c r="BQ134" s="47">
        <f>SUM(Financials2026[[#This Row],[Jan AC]:[Apr AC]])</f>
        <v>0</v>
      </c>
      <c r="BS134" s="6"/>
      <c r="BT134" s="6"/>
      <c r="BU134" s="6"/>
      <c r="BV134" s="6"/>
      <c r="BW134" s="6"/>
      <c r="BX134" s="6"/>
    </row>
    <row r="135" spans="1:76" x14ac:dyDescent="0.3">
      <c r="A135" s="22" t="s">
        <v>101</v>
      </c>
      <c r="B135" s="21" t="s">
        <v>402</v>
      </c>
      <c r="C135" s="21"/>
      <c r="D135" s="10" t="s">
        <v>14</v>
      </c>
      <c r="E135" s="7" t="s">
        <v>403</v>
      </c>
      <c r="F135" s="3" t="s">
        <v>114</v>
      </c>
      <c r="G135" s="3" t="s">
        <v>53</v>
      </c>
      <c r="H135" s="4">
        <v>45971</v>
      </c>
      <c r="I135" s="4">
        <v>46190</v>
      </c>
      <c r="J135" s="3"/>
      <c r="K135" s="3" t="str">
        <f t="shared" si="86"/>
        <v>Prj000296-Support - PMO Governance &amp; Reporting Activities</v>
      </c>
      <c r="L135" s="21" t="s">
        <v>106</v>
      </c>
      <c r="M135" s="21" t="s">
        <v>7</v>
      </c>
      <c r="N135" s="21" t="s">
        <v>7</v>
      </c>
      <c r="O135" s="21"/>
      <c r="P135" s="21" t="s">
        <v>107</v>
      </c>
      <c r="Q135" s="21" t="s">
        <v>201</v>
      </c>
      <c r="R135" s="21" t="s">
        <v>201</v>
      </c>
      <c r="S135" s="3" t="s">
        <v>385</v>
      </c>
      <c r="T135" s="5">
        <v>52988.05</v>
      </c>
      <c r="U135" s="5">
        <v>100000</v>
      </c>
      <c r="V135" s="5">
        <v>100000</v>
      </c>
      <c r="W135" s="15">
        <f t="shared" si="88"/>
        <v>100000</v>
      </c>
      <c r="X135" s="15">
        <f t="shared" si="60"/>
        <v>0</v>
      </c>
      <c r="Y135" s="15">
        <f t="shared" si="87"/>
        <v>0</v>
      </c>
      <c r="Z135" s="15">
        <f>SUM(Financials2026[[#This Row],[2026 Opportunity]:[2026 Risk]])</f>
        <v>0</v>
      </c>
      <c r="AA135" s="3" t="s">
        <v>385</v>
      </c>
      <c r="AB135" s="52"/>
      <c r="AC135" s="52"/>
      <c r="AD135" s="52"/>
      <c r="AE135" s="52"/>
      <c r="AF135" s="52"/>
      <c r="AG135" s="52"/>
      <c r="AH135" s="52"/>
      <c r="AI135" s="52"/>
      <c r="AJ135" s="52"/>
      <c r="AK135" s="52"/>
      <c r="AL135" s="52">
        <v>100000</v>
      </c>
      <c r="AM135" s="52"/>
      <c r="AN135" s="52">
        <f>SUM(Financials2026[[#This Row],[Jan FC]:[Dec FC]])</f>
        <v>100000</v>
      </c>
      <c r="AO135" s="15">
        <f t="shared" si="89"/>
        <v>100000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0</v>
      </c>
      <c r="BK135" s="71">
        <f>Financials2026[[#This Row],[Sep AC]]-Financials2026[[#This Row],[Sep FC]]</f>
        <v>0</v>
      </c>
      <c r="BL135" s="71">
        <f>Financials2026[[#This Row],[Oct AC]]-Financials2026[[#This Row],[Oct FC]]</f>
        <v>0</v>
      </c>
      <c r="BM135" s="71">
        <f>Financials2026[[#This Row],[Nov AC]]-Financials2026[[#This Row],[Nov FC]]</f>
        <v>-100000</v>
      </c>
      <c r="BN135" s="71">
        <f>Financials2026[[#This Row],[Dec AC]]-Financials2026[[#This Row],[Dec FC]]</f>
        <v>0</v>
      </c>
      <c r="BO135" s="71">
        <f>SUM(Financials2026[[#This Row],[Jan Opp/Risk]:[Dec Opp./Risk]])</f>
        <v>-100000</v>
      </c>
      <c r="BP135" s="90"/>
      <c r="BQ135" s="47">
        <f>SUM(Financials2026[[#This Row],[Jan AC]:[Apr AC]])</f>
        <v>0</v>
      </c>
      <c r="BS135" s="6"/>
      <c r="BT135" s="6"/>
      <c r="BU135" s="6"/>
      <c r="BV135" s="6"/>
      <c r="BW135" s="6"/>
      <c r="BX135" s="6"/>
    </row>
    <row r="136" spans="1:76" ht="43.2" x14ac:dyDescent="0.3">
      <c r="A136" s="22" t="s">
        <v>101</v>
      </c>
      <c r="B136" s="21" t="s">
        <v>181</v>
      </c>
      <c r="C136" s="21"/>
      <c r="D136" s="10" t="s">
        <v>18</v>
      </c>
      <c r="E136" s="7" t="s">
        <v>386</v>
      </c>
      <c r="F136" s="3" t="s">
        <v>183</v>
      </c>
      <c r="G136" s="3" t="s">
        <v>48</v>
      </c>
      <c r="H136" s="4">
        <v>46023</v>
      </c>
      <c r="I136" s="4">
        <v>46112</v>
      </c>
      <c r="J136" s="3"/>
      <c r="K136" s="3" t="str">
        <f t="shared" si="86"/>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8"/>
        <v>152500</v>
      </c>
      <c r="X136" s="15">
        <f t="shared" ref="X136:X148" si="90">IF(V136 &gt;= W136, V136 - W136, 0)*-1</f>
        <v>-97500</v>
      </c>
      <c r="Y136" s="15">
        <f t="shared" si="87"/>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9"/>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421</v>
      </c>
      <c r="BQ136" s="47">
        <f>SUM(Financials2026[[#This Row],[Jan AC]:[Apr AC]])</f>
        <v>0</v>
      </c>
      <c r="BS136" s="6"/>
      <c r="BT136" s="6"/>
      <c r="BU136" s="6"/>
      <c r="BV136" s="6"/>
      <c r="BW136" s="6"/>
      <c r="BX136" s="6"/>
    </row>
    <row r="137" spans="1:76" x14ac:dyDescent="0.3">
      <c r="A137" s="22" t="s">
        <v>101</v>
      </c>
      <c r="B137" s="21" t="s">
        <v>181</v>
      </c>
      <c r="C137" s="21"/>
      <c r="D137" s="10" t="s">
        <v>14</v>
      </c>
      <c r="E137" s="7" t="s">
        <v>403</v>
      </c>
      <c r="F137" s="3" t="s">
        <v>114</v>
      </c>
      <c r="G137" s="3" t="s">
        <v>53</v>
      </c>
      <c r="H137" s="4"/>
      <c r="I137" s="4"/>
      <c r="J137" s="3"/>
      <c r="K137" s="3" t="str">
        <f t="shared" si="86"/>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8"/>
        <v>100000</v>
      </c>
      <c r="X137" s="15">
        <f t="shared" si="90"/>
        <v>0</v>
      </c>
      <c r="Y137" s="15">
        <f t="shared" si="87"/>
        <v>0</v>
      </c>
      <c r="Z137" s="15">
        <f>SUM(Financials2026[[#This Row],[2026 Opportunity]:[2026 Risk]])</f>
        <v>0</v>
      </c>
      <c r="AA137" s="3" t="s">
        <v>405</v>
      </c>
      <c r="AB137" s="52"/>
      <c r="AC137" s="52"/>
      <c r="AD137" s="52"/>
      <c r="AE137" s="52"/>
      <c r="AF137" s="52"/>
      <c r="AG137" s="52"/>
      <c r="AH137" s="52"/>
      <c r="AI137" s="52"/>
      <c r="AJ137" s="52"/>
      <c r="AK137" s="52"/>
      <c r="AL137" s="52"/>
      <c r="AM137" s="52">
        <v>100000</v>
      </c>
      <c r="AN137" s="52">
        <f>SUM(Financials2026[[#This Row],[Jan FC]:[Dec FC]])</f>
        <v>100000</v>
      </c>
      <c r="AO137" s="15">
        <f t="shared" si="89"/>
        <v>100000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-100000</v>
      </c>
      <c r="BO137" s="71">
        <f>SUM(Financials2026[[#This Row],[Jan Opp/Risk]:[Dec Opp./Risk]])</f>
        <v>-100000</v>
      </c>
      <c r="BP137" s="90"/>
      <c r="BQ137" s="47">
        <f>SUM(Financials2026[[#This Row],[Jan AC]:[Apr AC]])</f>
        <v>0</v>
      </c>
      <c r="BS137" s="6"/>
      <c r="BT137" s="6"/>
      <c r="BU137" s="6"/>
      <c r="BV137" s="6"/>
      <c r="BW137" s="6"/>
      <c r="BX137" s="6"/>
    </row>
    <row r="138" spans="1:76" x14ac:dyDescent="0.3">
      <c r="A138" s="22" t="s">
        <v>101</v>
      </c>
      <c r="B138" s="21" t="s">
        <v>57</v>
      </c>
      <c r="C138" s="21"/>
      <c r="D138" s="10" t="s">
        <v>17</v>
      </c>
      <c r="E138" s="7" t="s">
        <v>103</v>
      </c>
      <c r="F138" s="3" t="s">
        <v>104</v>
      </c>
      <c r="G138" s="3" t="s">
        <v>49</v>
      </c>
      <c r="H138" s="4" t="s">
        <v>115</v>
      </c>
      <c r="I138" s="4" t="s">
        <v>115</v>
      </c>
      <c r="J138" s="3"/>
      <c r="K138" s="3" t="str">
        <f t="shared" si="86"/>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8"/>
        <v>75000</v>
      </c>
      <c r="X138" s="15">
        <f t="shared" si="90"/>
        <v>0</v>
      </c>
      <c r="Y138" s="15">
        <f t="shared" si="87"/>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9"/>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552</v>
      </c>
      <c r="BQ138" s="47">
        <f>SUM(Financials2026[[#This Row],[Jan AC]:[Apr AC]])</f>
        <v>0</v>
      </c>
      <c r="BS138" s="6"/>
      <c r="BT138" s="6"/>
      <c r="BU138" s="6"/>
      <c r="BV138" s="6"/>
      <c r="BW138" s="6"/>
      <c r="BX138" s="6"/>
    </row>
    <row r="139" spans="1:76" x14ac:dyDescent="0.3">
      <c r="A139" s="22" t="s">
        <v>101</v>
      </c>
      <c r="B139" s="21" t="s">
        <v>407</v>
      </c>
      <c r="C139" s="21"/>
      <c r="D139" s="10" t="s">
        <v>20</v>
      </c>
      <c r="E139" s="7" t="s">
        <v>160</v>
      </c>
      <c r="F139" s="3" t="s">
        <v>161</v>
      </c>
      <c r="G139" s="3" t="s">
        <v>50</v>
      </c>
      <c r="H139" s="4">
        <v>46023</v>
      </c>
      <c r="I139" s="4">
        <v>46387</v>
      </c>
      <c r="J139" s="3" t="s">
        <v>408</v>
      </c>
      <c r="K139" s="3" t="str">
        <f t="shared" si="86"/>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8"/>
        <v>1864672.0199999998</v>
      </c>
      <c r="X139" s="15">
        <f t="shared" si="90"/>
        <v>0</v>
      </c>
      <c r="Y139" s="15">
        <f t="shared" si="87"/>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75">
        <f>SUM(Financials2026[[#This Row],[Jan FC]:[Dec FC]])</f>
        <v>1864672.0199999998</v>
      </c>
      <c r="AO139" s="15">
        <f t="shared" si="89"/>
        <v>1243114.68</v>
      </c>
      <c r="AP139" s="61">
        <f t="shared" ref="AP139:BA139" si="91">1864672.02/12</f>
        <v>155389.33499999999</v>
      </c>
      <c r="AQ139" s="61">
        <f t="shared" si="91"/>
        <v>155389.33499999999</v>
      </c>
      <c r="AR139" s="61">
        <f t="shared" si="91"/>
        <v>155389.33499999999</v>
      </c>
      <c r="AS139" s="61">
        <f t="shared" si="91"/>
        <v>155389.33499999999</v>
      </c>
      <c r="AT139" s="61">
        <f t="shared" si="91"/>
        <v>155389.33499999999</v>
      </c>
      <c r="AU139" s="61">
        <f t="shared" si="91"/>
        <v>155389.33499999999</v>
      </c>
      <c r="AV139" s="61">
        <f t="shared" si="91"/>
        <v>155389.33499999999</v>
      </c>
      <c r="AW139" s="61">
        <f t="shared" si="91"/>
        <v>155389.33499999999</v>
      </c>
      <c r="AX139" s="61">
        <f t="shared" si="91"/>
        <v>155389.33499999999</v>
      </c>
      <c r="AY139" s="61">
        <f t="shared" si="91"/>
        <v>155389.33499999999</v>
      </c>
      <c r="AZ139" s="61">
        <f t="shared" si="91"/>
        <v>155389.33499999999</v>
      </c>
      <c r="BA139" s="61">
        <f t="shared" si="91"/>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539</v>
      </c>
      <c r="BQ139" s="47">
        <f>SUM(Financials2026[[#This Row],[Jan AC]:[Apr AC]])</f>
        <v>621557.34</v>
      </c>
      <c r="BS139" s="6"/>
      <c r="BT139" s="6"/>
      <c r="BU139" s="6"/>
      <c r="BV139" s="6"/>
      <c r="BW139" s="6"/>
      <c r="BX139" s="6"/>
    </row>
    <row r="140" spans="1:76" x14ac:dyDescent="0.3">
      <c r="A140" s="22" t="s">
        <v>101</v>
      </c>
      <c r="B140" s="21" t="s">
        <v>410</v>
      </c>
      <c r="C140" s="21" t="s">
        <v>411</v>
      </c>
      <c r="D140" s="10" t="s">
        <v>16</v>
      </c>
      <c r="E140" s="7" t="s">
        <v>122</v>
      </c>
      <c r="F140" s="3" t="s">
        <v>123</v>
      </c>
      <c r="G140" s="3" t="s">
        <v>50</v>
      </c>
      <c r="H140" s="4">
        <v>46013</v>
      </c>
      <c r="I140" s="4">
        <v>46377</v>
      </c>
      <c r="J140" s="3"/>
      <c r="K140" s="3" t="str">
        <f t="shared" si="86"/>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8"/>
        <v>284328.36999999994</v>
      </c>
      <c r="X140" s="15">
        <f t="shared" si="90"/>
        <v>-14216.030000000086</v>
      </c>
      <c r="Y140" s="15">
        <f t="shared" si="87"/>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75">
        <f>SUM(Financials2026[[#This Row],[Jan FC]:[Dec FC]])</f>
        <v>284328.36999999994</v>
      </c>
      <c r="AO140" s="15">
        <f t="shared" si="89"/>
        <v>189552.24666666664</v>
      </c>
      <c r="AP140" s="61">
        <f t="shared" ref="AP140:BA140" si="92">284328.37/12</f>
        <v>23694.030833333334</v>
      </c>
      <c r="AQ140" s="61">
        <f t="shared" si="92"/>
        <v>23694.030833333334</v>
      </c>
      <c r="AR140" s="61">
        <f t="shared" si="92"/>
        <v>23694.030833333334</v>
      </c>
      <c r="AS140" s="61">
        <f t="shared" si="92"/>
        <v>23694.030833333334</v>
      </c>
      <c r="AT140" s="61">
        <f t="shared" si="92"/>
        <v>23694.030833333334</v>
      </c>
      <c r="AU140" s="61">
        <f t="shared" si="92"/>
        <v>23694.030833333334</v>
      </c>
      <c r="AV140" s="61">
        <f t="shared" si="92"/>
        <v>23694.030833333334</v>
      </c>
      <c r="AW140" s="61">
        <f t="shared" si="92"/>
        <v>23694.030833333334</v>
      </c>
      <c r="AX140" s="61">
        <f t="shared" si="92"/>
        <v>23694.030833333334</v>
      </c>
      <c r="AY140" s="61">
        <f t="shared" si="92"/>
        <v>23694.030833333334</v>
      </c>
      <c r="AZ140" s="61">
        <f t="shared" si="92"/>
        <v>23694.030833333334</v>
      </c>
      <c r="BA140" s="61">
        <f t="shared" si="92"/>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539</v>
      </c>
      <c r="BQ140" s="47">
        <f>SUM(Financials2026[[#This Row],[Jan AC]:[Apr AC]])</f>
        <v>94776.123333333337</v>
      </c>
      <c r="BS140" s="6"/>
      <c r="BT140" s="6"/>
      <c r="BU140" s="6"/>
      <c r="BV140" s="6"/>
      <c r="BW140" s="6"/>
      <c r="BX140" s="6"/>
    </row>
    <row r="141" spans="1:76" x14ac:dyDescent="0.3">
      <c r="A141" s="22" t="s">
        <v>101</v>
      </c>
      <c r="B141" s="21" t="s">
        <v>334</v>
      </c>
      <c r="C141" s="21" t="s">
        <v>412</v>
      </c>
      <c r="D141" s="10" t="s">
        <v>31</v>
      </c>
      <c r="E141" s="7" t="s">
        <v>204</v>
      </c>
      <c r="F141" s="3" t="s">
        <v>205</v>
      </c>
      <c r="G141" s="3" t="s">
        <v>50</v>
      </c>
      <c r="H141" s="4"/>
      <c r="I141" s="4"/>
      <c r="J141" s="3"/>
      <c r="K141" s="3" t="str">
        <f t="shared" si="86"/>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8"/>
        <v>232487.75</v>
      </c>
      <c r="X141" s="15">
        <f t="shared" si="90"/>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9"/>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556</v>
      </c>
      <c r="BQ141" s="47">
        <f>SUM(Financials2026[[#This Row],[Jan AC]:[Apr AC]])</f>
        <v>232487.75</v>
      </c>
      <c r="BS141" s="6"/>
      <c r="BT141" s="6"/>
      <c r="BU141" s="6"/>
      <c r="BV141" s="6"/>
      <c r="BW141" s="6"/>
      <c r="BX141" s="6"/>
    </row>
    <row r="142" spans="1:76" x14ac:dyDescent="0.3">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8"/>
        <v>940800</v>
      </c>
      <c r="X142" s="15">
        <f t="shared" si="90"/>
        <v>0</v>
      </c>
      <c r="Y142" s="15">
        <f t="shared" si="87"/>
        <v>940800</v>
      </c>
      <c r="Z142" s="15">
        <f>SUM(Financials2026[[#This Row],[2026 Opportunity]:[2026 Risk]])</f>
        <v>940800</v>
      </c>
      <c r="AA142" s="3" t="s">
        <v>414</v>
      </c>
      <c r="AB142" s="52"/>
      <c r="AC142" s="52"/>
      <c r="AD142" s="52"/>
      <c r="AE142" s="52"/>
      <c r="AF142" s="52"/>
      <c r="AG142" s="52"/>
      <c r="AH142" s="52">
        <f>940800/6</f>
        <v>156800</v>
      </c>
      <c r="AI142" s="52">
        <f t="shared" ref="AI142:AM142" si="93">940800/6</f>
        <v>156800</v>
      </c>
      <c r="AJ142" s="52">
        <f t="shared" si="93"/>
        <v>156800</v>
      </c>
      <c r="AK142" s="52">
        <f t="shared" si="93"/>
        <v>156800</v>
      </c>
      <c r="AL142" s="52">
        <f t="shared" si="93"/>
        <v>156800</v>
      </c>
      <c r="AM142" s="52">
        <f t="shared" si="93"/>
        <v>156800</v>
      </c>
      <c r="AN142" s="52">
        <f>SUM(Financials2026[[#This Row],[Jan FC]:[Dec FC]])</f>
        <v>940800</v>
      </c>
      <c r="AO142" s="15">
        <f t="shared" si="89"/>
        <v>940800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-156800</v>
      </c>
      <c r="BJ142" s="71">
        <f>Financials2026[[#This Row],[Aug AC]]-Financials2026[[#This Row],[Aug FC]]</f>
        <v>-156800</v>
      </c>
      <c r="BK142" s="71">
        <f>Financials2026[[#This Row],[Sep AC]]-Financials2026[[#This Row],[Sep FC]]</f>
        <v>-156800</v>
      </c>
      <c r="BL142" s="71">
        <f>Financials2026[[#This Row],[Oct AC]]-Financials2026[[#This Row],[Oct FC]]</f>
        <v>-156800</v>
      </c>
      <c r="BM142" s="71">
        <f>Financials2026[[#This Row],[Nov AC]]-Financials2026[[#This Row],[Nov FC]]</f>
        <v>-156800</v>
      </c>
      <c r="BN142" s="71">
        <f>Financials2026[[#This Row],[Dec AC]]-Financials2026[[#This Row],[Dec FC]]</f>
        <v>-156800</v>
      </c>
      <c r="BO142" s="71">
        <f>SUM(Financials2026[[#This Row],[Jan Opp/Risk]:[Dec Opp./Risk]])</f>
        <v>-940800</v>
      </c>
      <c r="BP142" s="90" t="s">
        <v>542</v>
      </c>
      <c r="BQ142" s="47">
        <f>SUM(Financials2026[[#This Row],[Jan AC]:[Apr AC]])</f>
        <v>0</v>
      </c>
      <c r="BS142" s="6"/>
      <c r="BT142" s="6"/>
      <c r="BU142" s="6"/>
      <c r="BV142" s="6"/>
      <c r="BW142" s="6"/>
      <c r="BX142" s="6"/>
    </row>
    <row r="143" spans="1:76" x14ac:dyDescent="0.3">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8"/>
        <v>528000</v>
      </c>
      <c r="X143" s="15">
        <f t="shared" si="90"/>
        <v>0</v>
      </c>
      <c r="Y143" s="15">
        <f t="shared" si="87"/>
        <v>528000</v>
      </c>
      <c r="Z143" s="15">
        <f>SUM(Financials2026[[#This Row],[2026 Opportunity]:[2026 Risk]])</f>
        <v>528000</v>
      </c>
      <c r="AA143" s="3" t="s">
        <v>415</v>
      </c>
      <c r="AB143" s="52"/>
      <c r="AC143" s="52"/>
      <c r="AD143" s="52"/>
      <c r="AE143" s="52"/>
      <c r="AF143" s="52"/>
      <c r="AG143" s="52"/>
      <c r="AH143" s="52">
        <v>88000</v>
      </c>
      <c r="AI143" s="52">
        <v>88000</v>
      </c>
      <c r="AJ143" s="52">
        <v>88000</v>
      </c>
      <c r="AK143" s="52">
        <v>88000</v>
      </c>
      <c r="AL143" s="52">
        <v>88000</v>
      </c>
      <c r="AM143" s="52">
        <v>88000</v>
      </c>
      <c r="AN143" s="52">
        <f>SUM(Financials2026[[#This Row],[Jan FC]:[Dec FC]])</f>
        <v>528000</v>
      </c>
      <c r="AO143" s="15">
        <f t="shared" si="89"/>
        <v>528000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-88000</v>
      </c>
      <c r="BJ143" s="71">
        <f>Financials2026[[#This Row],[Aug AC]]-Financials2026[[#This Row],[Aug FC]]</f>
        <v>-88000</v>
      </c>
      <c r="BK143" s="71">
        <f>Financials2026[[#This Row],[Sep AC]]-Financials2026[[#This Row],[Sep FC]]</f>
        <v>-88000</v>
      </c>
      <c r="BL143" s="71">
        <f>Financials2026[[#This Row],[Oct AC]]-Financials2026[[#This Row],[Oct FC]]</f>
        <v>-88000</v>
      </c>
      <c r="BM143" s="71">
        <f>Financials2026[[#This Row],[Nov AC]]-Financials2026[[#This Row],[Nov FC]]</f>
        <v>-88000</v>
      </c>
      <c r="BN143" s="71">
        <f>Financials2026[[#This Row],[Dec AC]]-Financials2026[[#This Row],[Dec FC]]</f>
        <v>-88000</v>
      </c>
      <c r="BO143" s="71">
        <f>SUM(Financials2026[[#This Row],[Jan Opp/Risk]:[Dec Opp./Risk]])</f>
        <v>-528000</v>
      </c>
      <c r="BP143" s="90" t="s">
        <v>542</v>
      </c>
      <c r="BQ143" s="47">
        <f>SUM(Financials2026[[#This Row],[Jan AC]:[Apr AC]])</f>
        <v>0</v>
      </c>
      <c r="BS143" s="6"/>
      <c r="BT143" s="6"/>
      <c r="BU143" s="6"/>
      <c r="BV143" s="6"/>
      <c r="BW143" s="6"/>
      <c r="BX143" s="6"/>
    </row>
    <row r="144" spans="1:76" x14ac:dyDescent="0.3">
      <c r="A144" s="22" t="s">
        <v>101</v>
      </c>
      <c r="B144" s="21" t="s">
        <v>400</v>
      </c>
      <c r="C144" s="21"/>
      <c r="D144" s="10" t="s">
        <v>14</v>
      </c>
      <c r="E144" s="7" t="s">
        <v>403</v>
      </c>
      <c r="F144" s="3" t="s">
        <v>114</v>
      </c>
      <c r="G144" s="3" t="s">
        <v>53</v>
      </c>
      <c r="H144" s="4" t="s">
        <v>115</v>
      </c>
      <c r="I144" s="4" t="s">
        <v>115</v>
      </c>
      <c r="J144" s="3"/>
      <c r="K144" s="3" t="str">
        <f t="shared" ref="K144:K145" si="94">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8"/>
        <v>12896</v>
      </c>
      <c r="X144" s="15">
        <f t="shared" si="90"/>
        <v>0</v>
      </c>
      <c r="Y144" s="15">
        <f t="shared" si="87"/>
        <v>0</v>
      </c>
      <c r="Z144" s="15">
        <f>SUM(Financials2026[[#This Row],[2026 Opportunity]:[2026 Risk]])</f>
        <v>0</v>
      </c>
      <c r="AA144" s="3" t="s">
        <v>416</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9"/>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547</v>
      </c>
      <c r="BQ144" s="47">
        <f>SUM(Financials2026[[#This Row],[Jan AC]:[Apr AC]])</f>
        <v>0</v>
      </c>
      <c r="BS144" s="6"/>
      <c r="BT144" s="6"/>
      <c r="BU144" s="6"/>
      <c r="BV144" s="6"/>
      <c r="BW144" s="6"/>
      <c r="BX144" s="6"/>
    </row>
    <row r="145" spans="1:76" x14ac:dyDescent="0.3">
      <c r="A145" s="22" t="s">
        <v>101</v>
      </c>
      <c r="B145" s="21" t="s">
        <v>73</v>
      </c>
      <c r="C145" s="21" t="s">
        <v>190</v>
      </c>
      <c r="D145" s="10" t="s">
        <v>186</v>
      </c>
      <c r="E145" s="7" t="s">
        <v>186</v>
      </c>
      <c r="F145" s="3" t="s">
        <v>187</v>
      </c>
      <c r="G145" s="3" t="s">
        <v>53</v>
      </c>
      <c r="H145" s="4">
        <v>46097</v>
      </c>
      <c r="I145" s="4">
        <v>46387</v>
      </c>
      <c r="J145" s="3"/>
      <c r="K145" s="3" t="str">
        <f t="shared" si="94"/>
        <v>T&amp;M-T&amp;M</v>
      </c>
      <c r="L145" s="21" t="s">
        <v>124</v>
      </c>
      <c r="M145" s="21" t="s">
        <v>46</v>
      </c>
      <c r="N145" s="21" t="s">
        <v>189</v>
      </c>
      <c r="O145" s="21" t="s">
        <v>186</v>
      </c>
      <c r="P145" s="21" t="s">
        <v>126</v>
      </c>
      <c r="Q145" s="21" t="s">
        <v>127</v>
      </c>
      <c r="R145" s="21" t="s">
        <v>128</v>
      </c>
      <c r="S145" s="21" t="s">
        <v>129</v>
      </c>
      <c r="T145" s="5"/>
      <c r="U145" s="15"/>
      <c r="V145" s="15">
        <v>0</v>
      </c>
      <c r="W145" s="15">
        <f t="shared" si="88"/>
        <v>71440</v>
      </c>
      <c r="X145" s="15">
        <f t="shared" si="90"/>
        <v>0</v>
      </c>
      <c r="Y145" s="15">
        <f t="shared" si="87"/>
        <v>71440</v>
      </c>
      <c r="Z145" s="15">
        <f>SUM(Financials2026[[#This Row],[2026 Opportunity]:[2026 Risk]])</f>
        <v>71440</v>
      </c>
      <c r="AA145" s="3" t="s">
        <v>417</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9"/>
        <v>60160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541</v>
      </c>
      <c r="BQ145" s="47">
        <f>SUM(Financials2026[[#This Row],[Jan AC]:[Apr AC]])</f>
        <v>0</v>
      </c>
      <c r="BS145" s="6"/>
      <c r="BT145" s="6"/>
      <c r="BU145" s="6"/>
      <c r="BV145" s="6"/>
      <c r="BW145" s="6"/>
      <c r="BX145" s="6"/>
    </row>
    <row r="146" spans="1:76" x14ac:dyDescent="0.3">
      <c r="A146" s="22" t="s">
        <v>101</v>
      </c>
      <c r="B146" s="21" t="s">
        <v>73</v>
      </c>
      <c r="C146" s="21" t="s">
        <v>190</v>
      </c>
      <c r="D146" s="10" t="s">
        <v>186</v>
      </c>
      <c r="E146" s="7" t="s">
        <v>186</v>
      </c>
      <c r="F146" s="3" t="s">
        <v>187</v>
      </c>
      <c r="G146" s="3" t="s">
        <v>49</v>
      </c>
      <c r="H146" s="4">
        <v>46057</v>
      </c>
      <c r="I146" s="4">
        <v>46234</v>
      </c>
      <c r="J146" s="3"/>
      <c r="K146" s="3" t="str">
        <f t="shared" ref="K146" si="95">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8"/>
        <v>37224</v>
      </c>
      <c r="X146" s="15">
        <f t="shared" si="90"/>
        <v>0</v>
      </c>
      <c r="Y146" s="15">
        <f t="shared" si="87"/>
        <v>37224</v>
      </c>
      <c r="Z146" s="15">
        <f>SUM(Financials2026[[#This Row],[2026 Opportunity]:[2026 Risk]])</f>
        <v>37224</v>
      </c>
      <c r="AA146" s="14" t="s">
        <v>418</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9"/>
        <v>22560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566</v>
      </c>
      <c r="BQ146" s="47">
        <f>SUM(Financials2026[[#This Row],[Jan AC]:[Apr AC]])</f>
        <v>7144</v>
      </c>
      <c r="BS146" s="6"/>
      <c r="BT146" s="6"/>
      <c r="BU146" s="6"/>
      <c r="BV146" s="6"/>
      <c r="BW146" s="6"/>
      <c r="BX146" s="6"/>
    </row>
    <row r="147" spans="1:76" x14ac:dyDescent="0.3">
      <c r="A147" s="32" t="s">
        <v>101</v>
      </c>
      <c r="B147" s="21" t="s">
        <v>490</v>
      </c>
      <c r="C147" s="33" t="s">
        <v>428</v>
      </c>
      <c r="D147" s="10" t="s">
        <v>31</v>
      </c>
      <c r="E147" s="7" t="s">
        <v>204</v>
      </c>
      <c r="F147" s="3" t="s">
        <v>205</v>
      </c>
      <c r="G147" s="3" t="s">
        <v>50</v>
      </c>
      <c r="H147" s="4">
        <v>46082</v>
      </c>
      <c r="I147" s="4">
        <v>46387</v>
      </c>
      <c r="J147" s="35"/>
      <c r="K147" s="35" t="s">
        <v>483</v>
      </c>
      <c r="L147" s="33" t="s">
        <v>106</v>
      </c>
      <c r="M147" s="33" t="s">
        <v>6</v>
      </c>
      <c r="N147" s="33" t="s">
        <v>6</v>
      </c>
      <c r="O147" s="33" t="s">
        <v>373</v>
      </c>
      <c r="P147" s="33" t="s">
        <v>163</v>
      </c>
      <c r="Q147" s="33" t="s">
        <v>163</v>
      </c>
      <c r="R147" s="33" t="s">
        <v>164</v>
      </c>
      <c r="S147" s="33" t="s">
        <v>154</v>
      </c>
      <c r="T147" s="36">
        <v>0</v>
      </c>
      <c r="U147" s="36">
        <v>0</v>
      </c>
      <c r="V147" s="5">
        <v>0</v>
      </c>
      <c r="W147" s="15">
        <f t="shared" si="88"/>
        <v>15208</v>
      </c>
      <c r="X147" s="15">
        <f t="shared" ref="X147" si="96">IF(V147 &gt;= W147, V147 - W147, 0)*-1</f>
        <v>0</v>
      </c>
      <c r="Y147" s="15">
        <f t="shared" ref="Y147" si="97">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9"/>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491</v>
      </c>
      <c r="BQ147" s="47">
        <f>SUM(Financials2026[[#This Row],[Jan AC]:[Apr AC]])</f>
        <v>15208</v>
      </c>
    </row>
    <row r="148" spans="1:76" s="127" customFormat="1" ht="28.8" x14ac:dyDescent="0.3">
      <c r="A148" s="32" t="s">
        <v>101</v>
      </c>
      <c r="B148" s="21" t="s">
        <v>419</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8"/>
        <v>92000</v>
      </c>
      <c r="X148" s="15">
        <f t="shared" si="90"/>
        <v>0</v>
      </c>
      <c r="Y148" s="38">
        <f>IF(W148 &gt; V148, W148 - V148, 0)</f>
        <v>92000</v>
      </c>
      <c r="Z148" s="38">
        <f>SUM(Financials2026[[#This Row],[2026 Opportunity]:[2026 Risk]])</f>
        <v>92000</v>
      </c>
      <c r="AA148" s="41" t="s">
        <v>420</v>
      </c>
      <c r="AB148" s="54"/>
      <c r="AC148" s="54"/>
      <c r="AD148" s="54"/>
      <c r="AE148" s="54">
        <v>92000</v>
      </c>
      <c r="AF148" s="54"/>
      <c r="AG148" s="54"/>
      <c r="AH148" s="54"/>
      <c r="AI148" s="54"/>
      <c r="AJ148" s="54"/>
      <c r="AK148" s="54"/>
      <c r="AL148" s="54"/>
      <c r="AM148" s="54"/>
      <c r="AN148" s="54">
        <f>SUM(Financials2026[[#This Row],[Jan FC]:[Dec FC]])</f>
        <v>92000</v>
      </c>
      <c r="AO148" s="15">
        <f t="shared" si="89"/>
        <v>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0</v>
      </c>
      <c r="BO148" s="84">
        <f>SUM(Financials2026[[#This Row],[Jan Opp/Risk]:[Dec Opp./Risk]])</f>
        <v>0</v>
      </c>
      <c r="BP148" s="98" t="s">
        <v>553</v>
      </c>
      <c r="BQ148" s="47">
        <f>SUM(Financials2026[[#This Row],[Jan AC]:[Apr AC]])</f>
        <v>92000</v>
      </c>
    </row>
    <row r="149" spans="1:76" s="124" customFormat="1" x14ac:dyDescent="0.3">
      <c r="A149"/>
      <c r="B149"/>
      <c r="C149"/>
      <c r="D149" s="9"/>
      <c r="E149"/>
      <c r="F149"/>
      <c r="G149" s="9"/>
      <c r="H149" s="13"/>
      <c r="I149" s="13"/>
      <c r="J149"/>
      <c r="K149"/>
      <c r="L149"/>
      <c r="M149"/>
      <c r="N149"/>
      <c r="O149"/>
      <c r="P149"/>
      <c r="Q149"/>
      <c r="R149"/>
      <c r="S149"/>
      <c r="T149"/>
      <c r="U149"/>
      <c r="V149" s="6"/>
      <c r="W149" s="6"/>
      <c r="X149" s="6"/>
      <c r="Y149" s="6"/>
      <c r="Z149" s="6"/>
      <c r="AA149" s="6"/>
      <c r="AB149" s="6"/>
      <c r="AC149" s="6"/>
      <c r="AD149" s="6"/>
      <c r="AE149" s="6"/>
      <c r="AF149" s="6"/>
      <c r="AG149"/>
      <c r="AH149"/>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c r="BJ149"/>
      <c r="BK149"/>
      <c r="BL149"/>
      <c r="BM149"/>
      <c r="BN149"/>
      <c r="BO149"/>
      <c r="BP149"/>
      <c r="BQ149"/>
      <c r="BR149" s="86">
        <f t="shared" ref="BR149" si="98">SUBTOTAL(9,BR2:BR138)</f>
        <v>0</v>
      </c>
      <c r="BS149" s="86"/>
      <c r="BT149" s="86"/>
      <c r="BU149" s="86"/>
      <c r="BV149" s="86"/>
      <c r="BW149" s="86"/>
      <c r="BX149" s="86"/>
    </row>
    <row r="150" spans="1:76" x14ac:dyDescent="0.3">
      <c r="A150" s="127"/>
      <c r="B150" s="127" t="s">
        <v>836</v>
      </c>
      <c r="C150" s="127"/>
      <c r="D150" s="128"/>
      <c r="E150" s="127"/>
      <c r="F150" s="127"/>
      <c r="G150" s="128"/>
      <c r="H150" s="129"/>
      <c r="I150" s="129"/>
      <c r="J150" s="127"/>
      <c r="K150" s="127"/>
      <c r="L150" s="127"/>
      <c r="M150" s="127"/>
      <c r="N150" s="127"/>
      <c r="O150" s="127"/>
      <c r="P150" s="127"/>
      <c r="Q150" s="127"/>
      <c r="R150" s="127"/>
      <c r="S150" s="127"/>
      <c r="T150" s="130">
        <f t="shared" ref="T150:AY150" si="99">SUBTOTAL(9,T2:T140)</f>
        <v>46382982.072500005</v>
      </c>
      <c r="U150" s="130">
        <f t="shared" si="99"/>
        <v>39318697.557166502</v>
      </c>
      <c r="V150" s="130">
        <f t="shared" si="99"/>
        <v>40775501.956149995</v>
      </c>
      <c r="W150" s="130">
        <f t="shared" si="99"/>
        <v>40265365.90678335</v>
      </c>
      <c r="X150" s="130">
        <f t="shared" si="99"/>
        <v>-2430249.1008999995</v>
      </c>
      <c r="Y150" s="130">
        <f t="shared" si="99"/>
        <v>1920113.0515333326</v>
      </c>
      <c r="Z150" s="130">
        <f t="shared" si="99"/>
        <v>-510136.04936666676</v>
      </c>
      <c r="AA150" s="130">
        <f t="shared" si="99"/>
        <v>0</v>
      </c>
      <c r="AB150" s="130">
        <f t="shared" si="99"/>
        <v>3110430.5483333324</v>
      </c>
      <c r="AC150" s="130">
        <f t="shared" si="99"/>
        <v>3087895.7683333326</v>
      </c>
      <c r="AD150" s="130">
        <f t="shared" si="99"/>
        <v>3348613.7312499997</v>
      </c>
      <c r="AE150" s="130">
        <f t="shared" si="99"/>
        <v>3625965.7485833326</v>
      </c>
      <c r="AF150" s="130">
        <f t="shared" si="99"/>
        <v>3459215.4585833331</v>
      </c>
      <c r="AG150" s="130">
        <f t="shared" si="99"/>
        <v>3382522.5052499995</v>
      </c>
      <c r="AH150" s="130">
        <f t="shared" si="99"/>
        <v>3039376.5485833334</v>
      </c>
      <c r="AI150" s="130">
        <f t="shared" si="99"/>
        <v>3422278.3619166664</v>
      </c>
      <c r="AJ150" s="130">
        <f t="shared" si="99"/>
        <v>2794520.8009166666</v>
      </c>
      <c r="AK150" s="130">
        <f t="shared" si="99"/>
        <v>3377094.7319166665</v>
      </c>
      <c r="AL150" s="130">
        <f t="shared" si="99"/>
        <v>2889518.3044166663</v>
      </c>
      <c r="AM150" s="130">
        <f t="shared" si="99"/>
        <v>4839866.6940833339</v>
      </c>
      <c r="AN150" s="130">
        <f t="shared" si="99"/>
        <v>40377299.202166654</v>
      </c>
      <c r="AO150" s="130">
        <f t="shared" si="99"/>
        <v>27204393.405666668</v>
      </c>
      <c r="AP150" s="130">
        <f t="shared" si="99"/>
        <v>3142385.5691666664</v>
      </c>
      <c r="AQ150" s="130">
        <f t="shared" si="99"/>
        <v>2986679.9791666684</v>
      </c>
      <c r="AR150" s="130">
        <f t="shared" si="99"/>
        <v>3126264.4266666672</v>
      </c>
      <c r="AS150" s="130">
        <f t="shared" si="99"/>
        <v>2740979.2225333326</v>
      </c>
      <c r="AT150" s="130">
        <f t="shared" si="99"/>
        <v>1615797.7833333327</v>
      </c>
      <c r="AU150" s="130">
        <f t="shared" si="99"/>
        <v>954873.3400000002</v>
      </c>
      <c r="AV150" s="130">
        <f t="shared" si="99"/>
        <v>575452.03333333344</v>
      </c>
      <c r="AW150" s="130">
        <f t="shared" si="99"/>
        <v>555956.03333333344</v>
      </c>
      <c r="AX150" s="130">
        <f t="shared" si="99"/>
        <v>544315.70000000007</v>
      </c>
      <c r="AY150" s="130">
        <f t="shared" si="99"/>
        <v>517246.95</v>
      </c>
      <c r="AZ150" s="130">
        <f t="shared" ref="AZ150:BQ150" si="100">SUBTOTAL(9,AZ2:AZ140)</f>
        <v>435883.46</v>
      </c>
      <c r="BA150" s="130">
        <f t="shared" si="100"/>
        <v>393912.46416666667</v>
      </c>
      <c r="BB150" s="130">
        <f t="shared" si="100"/>
        <v>17589746.961700007</v>
      </c>
      <c r="BC150" s="130">
        <f t="shared" si="100"/>
        <v>31955.020833333325</v>
      </c>
      <c r="BD150" s="130">
        <f t="shared" si="100"/>
        <v>-101215.7891666666</v>
      </c>
      <c r="BE150" s="130">
        <f t="shared" si="100"/>
        <v>-222349.30458333326</v>
      </c>
      <c r="BF150" s="130">
        <f t="shared" si="100"/>
        <v>-884986.52604999999</v>
      </c>
      <c r="BG150" s="130">
        <f t="shared" si="100"/>
        <v>-1843417.6752500001</v>
      </c>
      <c r="BH150" s="130">
        <f t="shared" si="100"/>
        <v>-2427649.1652500001</v>
      </c>
      <c r="BI150" s="130">
        <f t="shared" si="100"/>
        <v>-2463924.5152500006</v>
      </c>
      <c r="BJ150" s="130">
        <f t="shared" si="100"/>
        <v>-2866322.3285833332</v>
      </c>
      <c r="BK150" s="130">
        <f t="shared" si="100"/>
        <v>-2250205.1009166669</v>
      </c>
      <c r="BL150" s="130">
        <f t="shared" si="100"/>
        <v>-2859847.7819166672</v>
      </c>
      <c r="BM150" s="130">
        <f t="shared" si="100"/>
        <v>-2453634.8444166668</v>
      </c>
      <c r="BN150" s="130">
        <f t="shared" si="100"/>
        <v>-4445954.2299166676</v>
      </c>
      <c r="BO150" s="130">
        <f t="shared" si="100"/>
        <v>-22787552.240466665</v>
      </c>
      <c r="BP150" s="130">
        <f t="shared" si="100"/>
        <v>0</v>
      </c>
      <c r="BQ150" s="130">
        <f t="shared" si="100"/>
        <v>11996309.197533341</v>
      </c>
    </row>
    <row r="152" spans="1:76" x14ac:dyDescent="0.3">
      <c r="T152" s="6"/>
      <c r="U152" s="159"/>
      <c r="AG152" s="6"/>
    </row>
    <row r="153" spans="1:76" x14ac:dyDescent="0.3">
      <c r="U153" s="43"/>
      <c r="AE153"/>
      <c r="AF153"/>
      <c r="AG153" s="6"/>
      <c r="AH153" s="160"/>
    </row>
    <row r="154" spans="1:76" x14ac:dyDescent="0.3">
      <c r="U154" s="6"/>
    </row>
  </sheetData>
  <phoneticPr fontId="11" type="noConversion"/>
  <conditionalFormatting sqref="Y1:Z148">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M2" activePane="bottomRight" state="frozen"/>
      <selection pane="topRight" activeCell="C1" sqref="C1"/>
      <selection pane="bottomLeft" activeCell="A2" sqref="A2"/>
      <selection pane="bottomRight" activeCell="Z3" sqref="Z3"/>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3320312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480</v>
      </c>
      <c r="AA1" s="139" t="s">
        <v>452</v>
      </c>
      <c r="AB1" s="136" t="s">
        <v>453</v>
      </c>
      <c r="AC1" s="136" t="s">
        <v>454</v>
      </c>
      <c r="AD1" s="136" t="s">
        <v>455</v>
      </c>
      <c r="AE1" s="136" t="s">
        <v>468</v>
      </c>
      <c r="AF1" s="135" t="s">
        <v>469</v>
      </c>
      <c r="AG1" s="135" t="s">
        <v>470</v>
      </c>
      <c r="AH1" s="135" t="s">
        <v>471</v>
      </c>
      <c r="AI1" s="135" t="s">
        <v>472</v>
      </c>
      <c r="AJ1" s="135" t="s">
        <v>473</v>
      </c>
      <c r="AK1" s="135" t="s">
        <v>474</v>
      </c>
      <c r="AL1" s="135" t="s">
        <v>475</v>
      </c>
      <c r="AM1" s="135" t="s">
        <v>476</v>
      </c>
      <c r="AN1" s="135" t="s">
        <v>478</v>
      </c>
      <c r="AO1" s="140" t="s">
        <v>834</v>
      </c>
      <c r="AP1" s="141" t="s">
        <v>456</v>
      </c>
      <c r="AQ1" s="141" t="s">
        <v>457</v>
      </c>
      <c r="AR1" s="141" t="s">
        <v>458</v>
      </c>
      <c r="AS1" s="141" t="s">
        <v>459</v>
      </c>
      <c r="AT1" s="142" t="s">
        <v>460</v>
      </c>
      <c r="AU1" s="142" t="s">
        <v>461</v>
      </c>
      <c r="AV1" s="142" t="s">
        <v>462</v>
      </c>
      <c r="AW1" s="142" t="s">
        <v>463</v>
      </c>
      <c r="AX1" s="142" t="s">
        <v>464</v>
      </c>
      <c r="AY1" s="142" t="s">
        <v>465</v>
      </c>
      <c r="AZ1" s="142" t="s">
        <v>466</v>
      </c>
      <c r="BA1" s="142" t="s">
        <v>467</v>
      </c>
      <c r="BB1" s="143" t="s">
        <v>479</v>
      </c>
      <c r="BC1" s="144" t="s">
        <v>477</v>
      </c>
    </row>
    <row r="2" spans="1:55" x14ac:dyDescent="0.3">
      <c r="A2" s="145" t="s">
        <v>855</v>
      </c>
      <c r="B2" s="145" t="s">
        <v>856</v>
      </c>
      <c r="C2" s="145"/>
      <c r="D2" s="10" t="s">
        <v>869</v>
      </c>
      <c r="E2" s="7" t="s">
        <v>870</v>
      </c>
      <c r="F2" s="146" t="s">
        <v>114</v>
      </c>
      <c r="G2" s="146" t="s">
        <v>53</v>
      </c>
      <c r="H2" s="147"/>
      <c r="I2" s="147"/>
      <c r="J2" s="145"/>
      <c r="K2" s="146"/>
      <c r="L2" s="145" t="s">
        <v>106</v>
      </c>
      <c r="M2" s="145" t="s">
        <v>7</v>
      </c>
      <c r="N2" s="145" t="s">
        <v>7</v>
      </c>
      <c r="O2" s="145" t="s">
        <v>423</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
      <c r="A3" s="145" t="s">
        <v>101</v>
      </c>
      <c r="B3" s="145" t="s">
        <v>868</v>
      </c>
      <c r="C3" s="145"/>
      <c r="D3" s="10" t="s">
        <v>869</v>
      </c>
      <c r="E3" s="7" t="s">
        <v>870</v>
      </c>
      <c r="F3" s="146" t="s">
        <v>114</v>
      </c>
      <c r="G3" s="146" t="s">
        <v>53</v>
      </c>
      <c r="H3" s="147">
        <v>46111</v>
      </c>
      <c r="I3" s="147">
        <v>46252</v>
      </c>
      <c r="J3" s="145"/>
      <c r="K3" s="146"/>
      <c r="L3" s="145" t="s">
        <v>106</v>
      </c>
      <c r="M3" s="145" t="s">
        <v>7</v>
      </c>
      <c r="N3" s="145" t="s">
        <v>186</v>
      </c>
      <c r="O3" s="145" t="s">
        <v>875</v>
      </c>
      <c r="P3" s="145" t="s">
        <v>107</v>
      </c>
      <c r="Q3" s="145" t="s">
        <v>108</v>
      </c>
      <c r="R3" s="145" t="s">
        <v>108</v>
      </c>
      <c r="S3" s="145" t="s">
        <v>875</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7" si="9">SUM(AP3:BA3)</f>
        <v>0</v>
      </c>
      <c r="BC3" s="151"/>
    </row>
    <row r="4" spans="1:55" x14ac:dyDescent="0.3">
      <c r="A4" s="145" t="s">
        <v>101</v>
      </c>
      <c r="B4" s="145" t="s">
        <v>858</v>
      </c>
      <c r="C4" s="145"/>
      <c r="D4" s="10" t="s">
        <v>869</v>
      </c>
      <c r="E4" s="7" t="s">
        <v>870</v>
      </c>
      <c r="F4" s="146" t="s">
        <v>114</v>
      </c>
      <c r="G4" s="146" t="s">
        <v>53</v>
      </c>
      <c r="H4" s="147">
        <v>46083</v>
      </c>
      <c r="I4" s="147">
        <v>46129</v>
      </c>
      <c r="J4" s="145"/>
      <c r="K4" s="146"/>
      <c r="L4" s="145" t="s">
        <v>106</v>
      </c>
      <c r="M4" s="145" t="s">
        <v>7</v>
      </c>
      <c r="N4" s="145" t="s">
        <v>878</v>
      </c>
      <c r="O4" s="145" t="s">
        <v>879</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880</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
      <c r="A5" s="145" t="s">
        <v>101</v>
      </c>
      <c r="B5" s="145" t="s">
        <v>859</v>
      </c>
      <c r="C5" s="145" t="s">
        <v>871</v>
      </c>
      <c r="D5" s="10" t="s">
        <v>869</v>
      </c>
      <c r="E5" s="7" t="s">
        <v>870</v>
      </c>
      <c r="F5" s="146" t="s">
        <v>114</v>
      </c>
      <c r="G5" s="146" t="s">
        <v>53</v>
      </c>
      <c r="H5" s="147">
        <v>46155</v>
      </c>
      <c r="I5" s="147">
        <v>47374</v>
      </c>
      <c r="J5" s="145"/>
      <c r="K5" s="146"/>
      <c r="L5" s="145" t="s">
        <v>106</v>
      </c>
      <c r="M5" s="145" t="s">
        <v>7</v>
      </c>
      <c r="N5" s="145" t="s">
        <v>165</v>
      </c>
      <c r="O5" s="145" t="s">
        <v>200</v>
      </c>
      <c r="P5" s="145" t="s">
        <v>107</v>
      </c>
      <c r="Q5" s="145" t="s">
        <v>108</v>
      </c>
      <c r="R5" s="145" t="s">
        <v>108</v>
      </c>
      <c r="S5" s="145" t="s">
        <v>877</v>
      </c>
      <c r="T5" s="152">
        <v>0</v>
      </c>
      <c r="U5" s="152">
        <v>0</v>
      </c>
      <c r="V5" s="149">
        <f>183812</f>
        <v>183812</v>
      </c>
      <c r="W5" s="149">
        <f t="shared" si="3"/>
        <v>183812</v>
      </c>
      <c r="X5" s="149">
        <f t="shared" si="4"/>
        <v>0</v>
      </c>
      <c r="Y5" s="149">
        <f t="shared" si="5"/>
        <v>0</v>
      </c>
      <c r="Z5" s="149">
        <f t="shared" si="6"/>
        <v>0</v>
      </c>
      <c r="AA5" s="146" t="s">
        <v>876</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888</v>
      </c>
    </row>
    <row r="6" spans="1:55" x14ac:dyDescent="0.3">
      <c r="A6" s="145" t="s">
        <v>101</v>
      </c>
      <c r="B6" s="145" t="s">
        <v>860</v>
      </c>
      <c r="C6" s="145"/>
      <c r="D6" s="10" t="s">
        <v>869</v>
      </c>
      <c r="E6" s="7" t="s">
        <v>870</v>
      </c>
      <c r="F6" s="146" t="s">
        <v>114</v>
      </c>
      <c r="G6" s="146" t="s">
        <v>53</v>
      </c>
      <c r="H6" s="147">
        <v>46174</v>
      </c>
      <c r="I6" s="147">
        <v>47269</v>
      </c>
      <c r="J6" s="145"/>
      <c r="K6" s="146"/>
      <c r="L6" s="145" t="s">
        <v>106</v>
      </c>
      <c r="M6" s="145" t="s">
        <v>7</v>
      </c>
      <c r="N6" s="145" t="s">
        <v>165</v>
      </c>
      <c r="O6" s="145" t="s">
        <v>885</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886</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887</v>
      </c>
    </row>
    <row r="7" spans="1:55" x14ac:dyDescent="0.3">
      <c r="A7" s="145" t="s">
        <v>101</v>
      </c>
      <c r="B7" s="145" t="s">
        <v>857</v>
      </c>
      <c r="C7" s="145"/>
      <c r="D7" s="10" t="s">
        <v>869</v>
      </c>
      <c r="E7" s="7" t="s">
        <v>870</v>
      </c>
      <c r="F7" s="146" t="s">
        <v>114</v>
      </c>
      <c r="G7" s="146" t="s">
        <v>53</v>
      </c>
      <c r="H7" s="147">
        <v>46143</v>
      </c>
      <c r="I7" s="147">
        <v>46234</v>
      </c>
      <c r="J7" s="145"/>
      <c r="K7" s="146"/>
      <c r="L7" s="145" t="s">
        <v>106</v>
      </c>
      <c r="M7" s="145" t="s">
        <v>7</v>
      </c>
      <c r="N7" s="145" t="s">
        <v>165</v>
      </c>
      <c r="O7" s="145" t="s">
        <v>165</v>
      </c>
      <c r="P7" s="145" t="s">
        <v>107</v>
      </c>
      <c r="Q7" s="145" t="s">
        <v>108</v>
      </c>
      <c r="R7" s="145" t="s">
        <v>108</v>
      </c>
      <c r="S7" s="145" t="s">
        <v>873</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872</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
      <c r="A8" s="145" t="s">
        <v>101</v>
      </c>
      <c r="B8" s="145" t="s">
        <v>883</v>
      </c>
      <c r="C8" s="145" t="s">
        <v>884</v>
      </c>
      <c r="D8" s="10" t="s">
        <v>869</v>
      </c>
      <c r="E8" s="7" t="s">
        <v>870</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c r="AB8" s="51"/>
      <c r="AC8" s="51"/>
      <c r="AD8" s="51"/>
      <c r="AE8" s="51"/>
      <c r="AF8" s="51"/>
      <c r="AG8" s="51"/>
      <c r="AH8" s="51"/>
      <c r="AI8" s="51"/>
      <c r="AJ8" s="51"/>
      <c r="AK8" s="51"/>
      <c r="AL8" s="51"/>
      <c r="AM8" s="51"/>
      <c r="AN8" s="51"/>
      <c r="AO8" s="149"/>
      <c r="AP8" s="60"/>
      <c r="AQ8" s="60"/>
      <c r="AR8" s="60"/>
      <c r="AS8" s="60"/>
      <c r="AT8" s="60"/>
      <c r="AU8" s="60"/>
      <c r="AV8" s="60"/>
      <c r="AW8" s="60"/>
      <c r="AX8" s="60"/>
      <c r="AY8" s="60"/>
      <c r="AZ8" s="60"/>
      <c r="BA8" s="60"/>
      <c r="BB8" s="150"/>
      <c r="BC8" s="151"/>
    </row>
    <row r="9" spans="1:55" x14ac:dyDescent="0.3">
      <c r="A9" s="155"/>
      <c r="B9" s="155"/>
      <c r="C9" s="155"/>
      <c r="D9" s="9"/>
      <c r="H9" s="13"/>
      <c r="I9" s="13"/>
      <c r="J9" s="155"/>
      <c r="L9" s="155"/>
      <c r="M9" s="155"/>
      <c r="N9" s="155"/>
      <c r="O9" s="155"/>
      <c r="P9" s="155"/>
      <c r="Q9" s="155"/>
      <c r="R9" s="155"/>
      <c r="S9" s="155"/>
      <c r="T9" s="156"/>
      <c r="U9" s="156"/>
      <c r="V9" s="157"/>
      <c r="W9" s="157"/>
      <c r="X9" s="157"/>
      <c r="Y9" s="157"/>
      <c r="Z9" s="157"/>
      <c r="AB9" s="6"/>
      <c r="AC9" s="6"/>
      <c r="AD9" s="6"/>
      <c r="AE9" s="6"/>
      <c r="AF9" s="6"/>
      <c r="AG9" s="6"/>
      <c r="AH9" s="6"/>
      <c r="AI9" s="6"/>
      <c r="AJ9" s="6"/>
      <c r="AK9" s="6"/>
      <c r="AL9" s="6"/>
      <c r="AM9" s="6"/>
      <c r="AN9" s="6"/>
      <c r="AO9" s="157"/>
      <c r="AP9" s="6"/>
      <c r="AQ9" s="6"/>
      <c r="AR9" s="6"/>
      <c r="AS9" s="6"/>
      <c r="AT9" s="6"/>
      <c r="AU9" s="6"/>
      <c r="AV9" s="6"/>
      <c r="AW9" s="6"/>
      <c r="AX9" s="6"/>
      <c r="AY9" s="6"/>
      <c r="AZ9" s="6"/>
      <c r="BA9" s="6"/>
      <c r="BB9" s="6"/>
      <c r="BC9" s="158"/>
    </row>
    <row r="10" spans="1:55" s="153" customFormat="1" x14ac:dyDescent="0.3">
      <c r="U10" s="153" t="s">
        <v>874</v>
      </c>
      <c r="V10" s="154">
        <f>SUM(V2:V8)</f>
        <v>-395388.94</v>
      </c>
      <c r="W10" s="154">
        <f t="shared" ref="W10:BB10" si="14">SUM(W2:W8)</f>
        <v>-479788.94000000024</v>
      </c>
      <c r="X10" s="154">
        <f t="shared" si="14"/>
        <v>-84400.000000000233</v>
      </c>
      <c r="Y10" s="154">
        <f t="shared" si="14"/>
        <v>0</v>
      </c>
      <c r="Z10" s="154">
        <f t="shared" si="14"/>
        <v>-84400.000000000233</v>
      </c>
      <c r="AA10" s="154"/>
      <c r="AB10" s="154">
        <f t="shared" si="14"/>
        <v>-166914.16666666666</v>
      </c>
      <c r="AC10" s="154">
        <f t="shared" si="14"/>
        <v>-166914.16666666666</v>
      </c>
      <c r="AD10" s="154">
        <f t="shared" si="14"/>
        <v>-166914.16666666666</v>
      </c>
      <c r="AE10" s="154">
        <f t="shared" si="14"/>
        <v>31565.833333333343</v>
      </c>
      <c r="AF10" s="154">
        <f t="shared" si="14"/>
        <v>-164086.10666666666</v>
      </c>
      <c r="AG10" s="154">
        <f t="shared" si="14"/>
        <v>-126914.16666666666</v>
      </c>
      <c r="AH10" s="154">
        <f t="shared" si="14"/>
        <v>-166914.16666666666</v>
      </c>
      <c r="AI10" s="154">
        <f t="shared" si="14"/>
        <v>731146.83333333337</v>
      </c>
      <c r="AJ10" s="154">
        <f t="shared" si="14"/>
        <v>16897.833333333343</v>
      </c>
      <c r="AK10" s="154">
        <f t="shared" si="14"/>
        <v>33085.833333333343</v>
      </c>
      <c r="AL10" s="154">
        <f t="shared" si="14"/>
        <v>-166914.16666666666</v>
      </c>
      <c r="AM10" s="154">
        <f t="shared" si="14"/>
        <v>-166914.16666666666</v>
      </c>
      <c r="AN10" s="154">
        <f t="shared" si="14"/>
        <v>-479788.94000000024</v>
      </c>
      <c r="AO10" s="154">
        <f t="shared" si="14"/>
        <v>-10612.273333333256</v>
      </c>
      <c r="AP10" s="154">
        <f t="shared" si="14"/>
        <v>0</v>
      </c>
      <c r="AQ10" s="154">
        <f t="shared" si="14"/>
        <v>0</v>
      </c>
      <c r="AR10" s="154">
        <f t="shared" si="14"/>
        <v>0</v>
      </c>
      <c r="AS10" s="154">
        <f t="shared" si="14"/>
        <v>0</v>
      </c>
      <c r="AT10" s="154">
        <f t="shared" si="14"/>
        <v>2913.55</v>
      </c>
      <c r="AU10" s="154">
        <f t="shared" si="14"/>
        <v>0</v>
      </c>
      <c r="AV10" s="154">
        <f t="shared" si="14"/>
        <v>0</v>
      </c>
      <c r="AW10" s="154">
        <f t="shared" si="14"/>
        <v>0</v>
      </c>
      <c r="AX10" s="154">
        <f t="shared" si="14"/>
        <v>183812</v>
      </c>
      <c r="AY10" s="154">
        <f t="shared" si="14"/>
        <v>0</v>
      </c>
      <c r="AZ10" s="154">
        <f t="shared" si="14"/>
        <v>0</v>
      </c>
      <c r="BA10" s="154">
        <f t="shared" si="14"/>
        <v>0</v>
      </c>
      <c r="BB10" s="154">
        <f t="shared" si="14"/>
        <v>186725.55</v>
      </c>
    </row>
  </sheetData>
  <conditionalFormatting sqref="Y1:Z9">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Q5" sqref="Q5"/>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12"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493</v>
      </c>
      <c r="O1" s="8" t="s">
        <v>54</v>
      </c>
      <c r="P1" t="s">
        <v>43</v>
      </c>
    </row>
    <row r="2" spans="1:21" x14ac:dyDescent="0.3">
      <c r="O2" s="8" t="s">
        <v>47</v>
      </c>
      <c r="P2" t="s">
        <v>43</v>
      </c>
    </row>
    <row r="3" spans="1:21" x14ac:dyDescent="0.3">
      <c r="C3" s="8" t="s">
        <v>505</v>
      </c>
      <c r="E3" s="103"/>
      <c r="H3" s="103"/>
      <c r="J3" s="111"/>
      <c r="K3" s="111"/>
      <c r="L3" s="111"/>
    </row>
    <row r="4" spans="1:21" x14ac:dyDescent="0.3">
      <c r="A4" s="8" t="s">
        <v>54</v>
      </c>
      <c r="B4" s="8" t="s">
        <v>81</v>
      </c>
      <c r="C4" t="s">
        <v>0</v>
      </c>
      <c r="D4" t="s">
        <v>498</v>
      </c>
      <c r="E4" t="s">
        <v>529</v>
      </c>
      <c r="F4" t="s">
        <v>506</v>
      </c>
      <c r="G4" t="s">
        <v>508</v>
      </c>
      <c r="H4" t="s">
        <v>510</v>
      </c>
      <c r="I4" s="111" t="s">
        <v>530</v>
      </c>
      <c r="J4" s="111" t="s">
        <v>507</v>
      </c>
      <c r="K4" s="111" t="s">
        <v>509</v>
      </c>
      <c r="L4" s="111" t="s">
        <v>511</v>
      </c>
      <c r="P4" s="8" t="s">
        <v>505</v>
      </c>
    </row>
    <row r="5" spans="1:21" x14ac:dyDescent="0.3">
      <c r="A5" t="s">
        <v>48</v>
      </c>
      <c r="B5" t="s">
        <v>18</v>
      </c>
      <c r="C5" s="102">
        <v>415000</v>
      </c>
      <c r="D5" s="102">
        <v>-97500</v>
      </c>
      <c r="E5" s="102">
        <v>317500</v>
      </c>
      <c r="F5" s="102"/>
      <c r="G5" s="102"/>
      <c r="H5" s="102"/>
      <c r="I5" s="102">
        <v>0</v>
      </c>
      <c r="J5" s="102"/>
      <c r="K5" s="102"/>
      <c r="L5" s="102"/>
      <c r="N5" s="102"/>
      <c r="O5" s="8" t="s">
        <v>55</v>
      </c>
      <c r="P5" t="s">
        <v>0</v>
      </c>
      <c r="Q5" t="s">
        <v>506</v>
      </c>
      <c r="R5" t="s">
        <v>508</v>
      </c>
      <c r="S5" t="s">
        <v>507</v>
      </c>
      <c r="T5" t="s">
        <v>509</v>
      </c>
      <c r="U5" t="s">
        <v>530</v>
      </c>
    </row>
    <row r="6" spans="1:21" x14ac:dyDescent="0.3">
      <c r="B6" t="s">
        <v>22</v>
      </c>
      <c r="C6" s="102">
        <v>1869054.4455000001</v>
      </c>
      <c r="D6" s="102">
        <v>-19889.375500000002</v>
      </c>
      <c r="E6" s="102">
        <v>1854459.24</v>
      </c>
      <c r="F6" s="102">
        <v>144479.74</v>
      </c>
      <c r="G6" s="102">
        <v>238610.75</v>
      </c>
      <c r="H6" s="102">
        <v>136495</v>
      </c>
      <c r="I6" s="102">
        <v>678604.32000000007</v>
      </c>
      <c r="J6" s="102">
        <v>144479.74</v>
      </c>
      <c r="K6" s="102">
        <v>233808.29</v>
      </c>
      <c r="L6" s="102">
        <v>136240.20000000001</v>
      </c>
      <c r="N6" s="102"/>
      <c r="O6" t="s">
        <v>400</v>
      </c>
      <c r="P6" s="102">
        <v>262896</v>
      </c>
      <c r="Q6" s="102">
        <v>0</v>
      </c>
      <c r="R6" s="102">
        <v>0</v>
      </c>
      <c r="S6" s="102">
        <v>0</v>
      </c>
      <c r="T6" s="102">
        <v>0</v>
      </c>
      <c r="U6" s="102">
        <v>0</v>
      </c>
    </row>
    <row r="7" spans="1:21" x14ac:dyDescent="0.3">
      <c r="B7" t="s">
        <v>29</v>
      </c>
      <c r="C7" s="102">
        <v>1655008.7341499999</v>
      </c>
      <c r="D7" s="102">
        <v>-263153.10415000003</v>
      </c>
      <c r="E7" s="102">
        <v>1391321.6125</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
      <c r="B8" t="s">
        <v>30</v>
      </c>
      <c r="C8" s="102">
        <v>370532.91749999998</v>
      </c>
      <c r="D8" s="102">
        <v>-88632.477499999994</v>
      </c>
      <c r="E8" s="102">
        <v>297183</v>
      </c>
      <c r="F8" s="102">
        <v>15957</v>
      </c>
      <c r="G8" s="102">
        <v>15000</v>
      </c>
      <c r="H8" s="102">
        <v>35397.5</v>
      </c>
      <c r="I8" s="102">
        <v>81071.94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
      <c r="B11" t="s">
        <v>34</v>
      </c>
      <c r="C11" s="102">
        <v>600000</v>
      </c>
      <c r="D11" s="102">
        <v>-300000</v>
      </c>
      <c r="E11" s="102">
        <v>300000</v>
      </c>
      <c r="F11" s="102"/>
      <c r="G11" s="102"/>
      <c r="H11" s="102"/>
      <c r="I11" s="102">
        <v>0</v>
      </c>
      <c r="J11" s="102"/>
      <c r="K11" s="102"/>
      <c r="L11" s="102"/>
      <c r="N11" s="102"/>
      <c r="O11" t="s">
        <v>121</v>
      </c>
      <c r="P11" s="102">
        <v>100000</v>
      </c>
      <c r="Q11" s="102">
        <v>7600</v>
      </c>
      <c r="R11" s="102">
        <v>7600</v>
      </c>
      <c r="S11" s="102">
        <v>7600</v>
      </c>
      <c r="T11" s="102">
        <v>7600</v>
      </c>
      <c r="U11" s="102">
        <v>46815</v>
      </c>
    </row>
    <row r="12" spans="1:21" x14ac:dyDescent="0.3">
      <c r="B12" t="s">
        <v>37</v>
      </c>
      <c r="C12" s="102">
        <v>748667.5</v>
      </c>
      <c r="D12" s="102">
        <v>-200000.00000000003</v>
      </c>
      <c r="E12" s="102">
        <v>548667.5</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
      <c r="B13" t="s">
        <v>186</v>
      </c>
      <c r="C13" s="102">
        <v>2998080</v>
      </c>
      <c r="D13" s="102">
        <v>1824736.3599999999</v>
      </c>
      <c r="E13" s="102">
        <v>4778880</v>
      </c>
      <c r="F13" s="102">
        <v>398240</v>
      </c>
      <c r="G13" s="102">
        <v>398240</v>
      </c>
      <c r="H13" s="102">
        <v>398240</v>
      </c>
      <c r="I13" s="102">
        <v>1517056.3599999999</v>
      </c>
      <c r="J13" s="102">
        <v>398128.56</v>
      </c>
      <c r="K13" s="102">
        <v>406181.8</v>
      </c>
      <c r="L13" s="102">
        <v>430028</v>
      </c>
      <c r="N13" s="102"/>
      <c r="O13" t="s">
        <v>58</v>
      </c>
      <c r="P13" s="102">
        <v>36345</v>
      </c>
      <c r="Q13" s="102">
        <v>3028.75</v>
      </c>
      <c r="R13" s="102">
        <v>3028.75</v>
      </c>
      <c r="S13" s="102">
        <v>3283.4</v>
      </c>
      <c r="T13" s="102">
        <v>2291.8200000000002</v>
      </c>
      <c r="U13" s="102">
        <v>9883.380000000001</v>
      </c>
    </row>
    <row r="14" spans="1:21" x14ac:dyDescent="0.3">
      <c r="A14" t="s">
        <v>499</v>
      </c>
      <c r="C14" s="102">
        <v>10007813.59715</v>
      </c>
      <c r="D14" s="102">
        <v>471561.40284999995</v>
      </c>
      <c r="E14" s="102">
        <v>10455481.352499999</v>
      </c>
      <c r="F14" s="102">
        <v>858455.56333333335</v>
      </c>
      <c r="G14" s="102">
        <v>929854.57333333336</v>
      </c>
      <c r="H14" s="102">
        <v>892596.47333333339</v>
      </c>
      <c r="I14" s="102">
        <v>4380243.1941666659</v>
      </c>
      <c r="J14" s="102">
        <v>858344.35333333327</v>
      </c>
      <c r="K14" s="102">
        <v>932993.91333333333</v>
      </c>
      <c r="L14" s="102">
        <v>911099.7333333334</v>
      </c>
      <c r="N14" s="102"/>
      <c r="O14" t="s">
        <v>59</v>
      </c>
      <c r="P14" s="102">
        <v>4230</v>
      </c>
      <c r="Q14" s="102">
        <v>353</v>
      </c>
      <c r="R14" s="102">
        <v>353</v>
      </c>
      <c r="S14" s="102">
        <v>370.83</v>
      </c>
      <c r="T14" s="102">
        <v>375.95</v>
      </c>
      <c r="U14" s="102">
        <v>2004.0299999999997</v>
      </c>
    </row>
    <row r="15" spans="1:21" x14ac:dyDescent="0.3">
      <c r="A15" t="s">
        <v>49</v>
      </c>
      <c r="B15" t="s">
        <v>15</v>
      </c>
      <c r="C15" s="102">
        <v>7538504.3190000001</v>
      </c>
      <c r="D15" s="102">
        <v>-22605.289999999106</v>
      </c>
      <c r="E15" s="102">
        <v>7521728.3190000001</v>
      </c>
      <c r="F15" s="102">
        <v>625000</v>
      </c>
      <c r="G15" s="102">
        <v>625000</v>
      </c>
      <c r="H15" s="102">
        <v>625000</v>
      </c>
      <c r="I15" s="102">
        <v>2494744.56</v>
      </c>
      <c r="J15" s="102">
        <v>660370.4</v>
      </c>
      <c r="K15" s="102">
        <v>603859.57000000007</v>
      </c>
      <c r="L15" s="102">
        <v>627545.69000000006</v>
      </c>
      <c r="N15" s="102"/>
      <c r="O15" t="s">
        <v>60</v>
      </c>
      <c r="P15" s="102">
        <v>2863</v>
      </c>
      <c r="Q15" s="102"/>
      <c r="R15" s="102"/>
      <c r="S15" s="102"/>
      <c r="T15" s="102"/>
      <c r="U15" s="102">
        <v>0</v>
      </c>
    </row>
    <row r="16" spans="1:21" x14ac:dyDescent="0.3">
      <c r="B16" t="s">
        <v>17</v>
      </c>
      <c r="C16" s="102">
        <v>5688039.6425000001</v>
      </c>
      <c r="D16" s="102">
        <v>460717.19395000016</v>
      </c>
      <c r="E16" s="102">
        <v>6166862.4366666665</v>
      </c>
      <c r="F16" s="102">
        <v>357224.22249999997</v>
      </c>
      <c r="G16" s="102">
        <v>367026.5625</v>
      </c>
      <c r="H16" s="102">
        <v>409446.80608333327</v>
      </c>
      <c r="I16" s="102">
        <v>1919594.8008666667</v>
      </c>
      <c r="J16" s="102">
        <v>350017.71583333344</v>
      </c>
      <c r="K16" s="102">
        <v>357861.39583333331</v>
      </c>
      <c r="L16" s="102">
        <v>328048.49333333335</v>
      </c>
      <c r="N16" s="102"/>
      <c r="O16" t="s">
        <v>159</v>
      </c>
      <c r="P16" s="102">
        <v>14886</v>
      </c>
      <c r="Q16" s="102">
        <v>1088.76</v>
      </c>
      <c r="R16" s="102">
        <v>1088.76</v>
      </c>
      <c r="S16" s="102">
        <v>1088.76</v>
      </c>
      <c r="T16" s="102">
        <v>1088.74</v>
      </c>
      <c r="U16" s="102">
        <v>4355</v>
      </c>
    </row>
    <row r="17" spans="1:21" x14ac:dyDescent="0.3">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
      <c r="B18" t="s">
        <v>24</v>
      </c>
      <c r="C18" s="102">
        <v>335404.32850000006</v>
      </c>
      <c r="D18" s="102">
        <v>-3630.2785000000604</v>
      </c>
      <c r="E18" s="102">
        <v>331774.05</v>
      </c>
      <c r="F18" s="102">
        <v>24908.333333333332</v>
      </c>
      <c r="G18" s="102">
        <v>24908.333333333332</v>
      </c>
      <c r="H18" s="102">
        <v>24908.333333333332</v>
      </c>
      <c r="I18" s="102">
        <v>124541.66666666666</v>
      </c>
      <c r="J18" s="102">
        <v>24908.333333333332</v>
      </c>
      <c r="K18" s="102">
        <v>24908.333333333332</v>
      </c>
      <c r="L18" s="102">
        <v>24908.333333333332</v>
      </c>
      <c r="N18" s="102"/>
      <c r="O18" t="s">
        <v>324</v>
      </c>
      <c r="P18" s="102">
        <v>50400</v>
      </c>
      <c r="Q18" s="102"/>
      <c r="R18" s="102"/>
      <c r="S18" s="102"/>
      <c r="T18" s="102"/>
      <c r="U18" s="102">
        <v>0</v>
      </c>
    </row>
    <row r="19" spans="1:21" x14ac:dyDescent="0.3">
      <c r="B19" t="s">
        <v>28</v>
      </c>
      <c r="C19" s="102">
        <v>178500</v>
      </c>
      <c r="D19" s="102">
        <v>-4330.4400000000023</v>
      </c>
      <c r="E19" s="102">
        <v>174169.56</v>
      </c>
      <c r="F19" s="102">
        <v>29028.26</v>
      </c>
      <c r="G19" s="102">
        <v>29028.26</v>
      </c>
      <c r="H19" s="102">
        <v>29028.26</v>
      </c>
      <c r="I19" s="102">
        <v>116113.04</v>
      </c>
      <c r="J19" s="102">
        <v>29028.26</v>
      </c>
      <c r="K19" s="102">
        <v>29028.26</v>
      </c>
      <c r="L19" s="102">
        <v>29028.26</v>
      </c>
      <c r="N19" s="102"/>
      <c r="O19" t="s">
        <v>222</v>
      </c>
      <c r="P19" s="102">
        <v>131625</v>
      </c>
      <c r="Q19" s="102">
        <v>40500</v>
      </c>
      <c r="R19" s="102">
        <v>8100</v>
      </c>
      <c r="S19" s="102">
        <v>40109.25</v>
      </c>
      <c r="T19" s="102">
        <v>8100</v>
      </c>
      <c r="U19" s="102">
        <v>88709.25</v>
      </c>
    </row>
    <row r="20" spans="1:21" x14ac:dyDescent="0.3">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61140.41</v>
      </c>
    </row>
    <row r="21" spans="1:21" x14ac:dyDescent="0.3">
      <c r="A21" t="s">
        <v>500</v>
      </c>
      <c r="C21" s="102">
        <v>14217853.790000001</v>
      </c>
      <c r="D21" s="102">
        <v>385993.18545000098</v>
      </c>
      <c r="E21" s="102">
        <v>14647299.865666667</v>
      </c>
      <c r="F21" s="102">
        <v>1074720.8158333334</v>
      </c>
      <c r="G21" s="102">
        <v>1084523.1558333333</v>
      </c>
      <c r="H21" s="102">
        <v>1135563.8694166664</v>
      </c>
      <c r="I21" s="102">
        <v>4759776.5375333335</v>
      </c>
      <c r="J21" s="102">
        <v>1094660.7091666667</v>
      </c>
      <c r="K21" s="102">
        <v>1042923.5591666667</v>
      </c>
      <c r="L21" s="102">
        <v>1056711.2466666666</v>
      </c>
      <c r="N21" s="102"/>
      <c r="O21" t="s">
        <v>61</v>
      </c>
      <c r="P21" s="102">
        <v>1674</v>
      </c>
      <c r="Q21" s="102"/>
      <c r="R21" s="102"/>
      <c r="S21" s="102"/>
      <c r="T21" s="102"/>
      <c r="U21" s="102">
        <v>0</v>
      </c>
    </row>
    <row r="22" spans="1:21" x14ac:dyDescent="0.3">
      <c r="A22" t="s">
        <v>50</v>
      </c>
      <c r="B22" t="s">
        <v>9</v>
      </c>
      <c r="C22" s="102">
        <v>500000</v>
      </c>
      <c r="D22" s="102">
        <v>-80000</v>
      </c>
      <c r="E22" s="102">
        <v>420000</v>
      </c>
      <c r="F22" s="102"/>
      <c r="G22" s="102"/>
      <c r="H22" s="102"/>
      <c r="I22" s="102">
        <v>0</v>
      </c>
      <c r="J22" s="102"/>
      <c r="K22" s="102"/>
      <c r="L22" s="102"/>
      <c r="N22" s="102"/>
      <c r="O22" t="s">
        <v>170</v>
      </c>
      <c r="P22" s="102">
        <v>236250</v>
      </c>
      <c r="Q22" s="102"/>
      <c r="R22" s="102"/>
      <c r="S22" s="102"/>
      <c r="T22" s="102"/>
      <c r="U22" s="102">
        <v>0</v>
      </c>
    </row>
    <row r="23" spans="1:21" x14ac:dyDescent="0.3">
      <c r="B23" t="s">
        <v>12</v>
      </c>
      <c r="C23" s="102">
        <v>250000</v>
      </c>
      <c r="D23" s="102">
        <v>0</v>
      </c>
      <c r="E23" s="102">
        <v>250000</v>
      </c>
      <c r="F23" s="102"/>
      <c r="G23" s="102"/>
      <c r="H23" s="102"/>
      <c r="I23" s="102">
        <v>0</v>
      </c>
      <c r="J23" s="102"/>
      <c r="K23" s="102"/>
      <c r="L23" s="102"/>
      <c r="N23" s="102"/>
      <c r="O23" t="s">
        <v>308</v>
      </c>
      <c r="P23" s="102">
        <v>32760</v>
      </c>
      <c r="Q23" s="102"/>
      <c r="R23" s="102"/>
      <c r="S23" s="102"/>
      <c r="T23" s="102"/>
      <c r="U23" s="102">
        <v>0</v>
      </c>
    </row>
    <row r="24" spans="1:21" x14ac:dyDescent="0.3">
      <c r="B24" t="s">
        <v>16</v>
      </c>
      <c r="C24" s="102">
        <v>539598.4</v>
      </c>
      <c r="D24" s="102">
        <v>-22099.280000000086</v>
      </c>
      <c r="E24" s="102">
        <v>516582.36999999994</v>
      </c>
      <c r="F24" s="102">
        <v>31294.030833333334</v>
      </c>
      <c r="G24" s="102">
        <v>45283.030833333338</v>
      </c>
      <c r="H24" s="102">
        <v>31294.030833333334</v>
      </c>
      <c r="I24" s="102">
        <v>447627.11999999994</v>
      </c>
      <c r="J24" s="102">
        <v>31294.030833333334</v>
      </c>
      <c r="K24" s="102">
        <v>44766.880833333329</v>
      </c>
      <c r="L24" s="102">
        <v>32369.030833333334</v>
      </c>
      <c r="N24" s="102"/>
      <c r="O24" t="s">
        <v>234</v>
      </c>
      <c r="P24" s="102">
        <v>10080</v>
      </c>
      <c r="Q24" s="102"/>
      <c r="R24" s="102"/>
      <c r="S24" s="102"/>
      <c r="T24" s="102"/>
      <c r="U24" s="102">
        <v>4800</v>
      </c>
    </row>
    <row r="25" spans="1:21" x14ac:dyDescent="0.3">
      <c r="B25" t="s">
        <v>20</v>
      </c>
      <c r="C25" s="102">
        <v>2204879.4000000004</v>
      </c>
      <c r="D25" s="102">
        <v>128681.0333333329</v>
      </c>
      <c r="E25" s="102">
        <v>2289284.6399999997</v>
      </c>
      <c r="F25" s="102">
        <v>190773.72</v>
      </c>
      <c r="G25" s="102">
        <v>190773.72</v>
      </c>
      <c r="H25" s="102">
        <v>190773.72</v>
      </c>
      <c r="I25" s="102">
        <v>2413402.0199999996</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
      <c r="B26" t="s">
        <v>31</v>
      </c>
      <c r="C26" s="102">
        <v>7231110.7000000002</v>
      </c>
      <c r="D26" s="102">
        <v>666584.36333333328</v>
      </c>
      <c r="E26" s="102">
        <v>7958727.959999999</v>
      </c>
      <c r="F26" s="102">
        <v>655130.44666666666</v>
      </c>
      <c r="G26" s="102">
        <v>625443.29666666663</v>
      </c>
      <c r="H26" s="102">
        <v>625443.29666666663</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
      <c r="B27" t="s">
        <v>35</v>
      </c>
      <c r="C27" s="102">
        <v>850000</v>
      </c>
      <c r="D27" s="102">
        <v>-130000</v>
      </c>
      <c r="E27" s="102">
        <v>720000</v>
      </c>
      <c r="F27" s="102"/>
      <c r="G27" s="102"/>
      <c r="H27" s="102">
        <v>100000</v>
      </c>
      <c r="I27" s="102">
        <v>0</v>
      </c>
      <c r="J27" s="102"/>
      <c r="K27" s="102"/>
      <c r="L27" s="102"/>
      <c r="N27" s="102"/>
      <c r="O27" t="s">
        <v>419</v>
      </c>
      <c r="P27" s="102">
        <v>0</v>
      </c>
      <c r="Q27" s="102"/>
      <c r="R27" s="102"/>
      <c r="S27" s="102"/>
      <c r="T27" s="102"/>
      <c r="U27" s="102">
        <v>92000</v>
      </c>
    </row>
    <row r="28" spans="1:21" x14ac:dyDescent="0.3">
      <c r="B28" t="s">
        <v>36</v>
      </c>
      <c r="C28" s="102">
        <v>50000</v>
      </c>
      <c r="D28" s="102">
        <v>0</v>
      </c>
      <c r="E28" s="102">
        <v>50000</v>
      </c>
      <c r="F28" s="102"/>
      <c r="G28" s="102"/>
      <c r="H28" s="102"/>
      <c r="I28" s="102">
        <v>0</v>
      </c>
      <c r="J28" s="102"/>
      <c r="K28" s="102"/>
      <c r="L28" s="102"/>
      <c r="N28" s="102"/>
      <c r="O28" t="s">
        <v>181</v>
      </c>
      <c r="P28" s="102">
        <v>3986876.1</v>
      </c>
      <c r="Q28" s="102">
        <v>260086</v>
      </c>
      <c r="R28" s="102">
        <v>334930.09999999998</v>
      </c>
      <c r="S28" s="102">
        <v>275958.56</v>
      </c>
      <c r="T28" s="102">
        <v>381656.44</v>
      </c>
      <c r="U28" s="102">
        <v>1166584.9999999998</v>
      </c>
    </row>
    <row r="29" spans="1:21" x14ac:dyDescent="0.3">
      <c r="B29" t="s">
        <v>186</v>
      </c>
      <c r="C29" s="102">
        <v>1757280</v>
      </c>
      <c r="D29" s="102">
        <v>-182884</v>
      </c>
      <c r="E29" s="102">
        <v>1610280</v>
      </c>
      <c r="F29" s="102">
        <v>146440</v>
      </c>
      <c r="G29" s="102">
        <v>146440</v>
      </c>
      <c r="H29" s="102">
        <v>146440</v>
      </c>
      <c r="I29" s="102">
        <v>424436</v>
      </c>
      <c r="J29" s="102">
        <v>129864</v>
      </c>
      <c r="K29" s="102">
        <v>124134</v>
      </c>
      <c r="L29" s="102">
        <v>152588</v>
      </c>
      <c r="N29" s="102"/>
      <c r="O29" t="s">
        <v>62</v>
      </c>
      <c r="P29" s="102">
        <v>7043</v>
      </c>
      <c r="Q29" s="102">
        <v>587</v>
      </c>
      <c r="R29" s="102">
        <v>587</v>
      </c>
      <c r="S29" s="102">
        <v>620.09</v>
      </c>
      <c r="T29" s="102">
        <v>628.66</v>
      </c>
      <c r="U29" s="102">
        <v>3364.7666999999997</v>
      </c>
    </row>
    <row r="30" spans="1:21" x14ac:dyDescent="0.3">
      <c r="B30" t="s">
        <v>537</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15103.55</v>
      </c>
    </row>
    <row r="31" spans="1:21" x14ac:dyDescent="0.3">
      <c r="A31" t="s">
        <v>501</v>
      </c>
      <c r="C31" s="102">
        <v>13382868.5</v>
      </c>
      <c r="D31" s="102">
        <v>421532.11666666612</v>
      </c>
      <c r="E31" s="102">
        <v>13856124.969999999</v>
      </c>
      <c r="F31" s="102">
        <v>1023638.1975</v>
      </c>
      <c r="G31" s="102">
        <v>1007940.0475</v>
      </c>
      <c r="H31" s="102">
        <v>1093951.0474999999</v>
      </c>
      <c r="I31" s="102">
        <v>9299132.8899999987</v>
      </c>
      <c r="J31" s="102">
        <v>1055969.0658333334</v>
      </c>
      <c r="K31" s="102">
        <v>965695.13583333336</v>
      </c>
      <c r="L31" s="102">
        <v>981751.3058333334</v>
      </c>
      <c r="N31" s="102"/>
      <c r="O31" t="s">
        <v>185</v>
      </c>
      <c r="P31" s="102">
        <v>218880</v>
      </c>
      <c r="Q31" s="102">
        <v>18240</v>
      </c>
      <c r="R31" s="102">
        <v>18240</v>
      </c>
      <c r="S31" s="102">
        <v>16128</v>
      </c>
      <c r="T31" s="102">
        <v>16464</v>
      </c>
      <c r="U31" s="102">
        <v>68284</v>
      </c>
    </row>
    <row r="32" spans="1:21" x14ac:dyDescent="0.3">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12764.68</v>
      </c>
    </row>
    <row r="33" spans="1:21" x14ac:dyDescent="0.3">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
      <c r="B34" t="s">
        <v>25</v>
      </c>
      <c r="C34" s="102">
        <v>226330.7</v>
      </c>
      <c r="D34" s="102">
        <v>0.29999999999563443</v>
      </c>
      <c r="E34" s="102">
        <v>226331</v>
      </c>
      <c r="F34" s="102">
        <v>14568.75</v>
      </c>
      <c r="G34" s="102">
        <v>14568.75</v>
      </c>
      <c r="H34" s="102">
        <v>14568.75</v>
      </c>
      <c r="I34" s="102">
        <v>131118.75</v>
      </c>
      <c r="J34" s="102">
        <v>14568.75</v>
      </c>
      <c r="K34" s="102">
        <v>14568.75</v>
      </c>
      <c r="L34" s="102">
        <v>14568.75</v>
      </c>
      <c r="N34" s="102"/>
      <c r="O34" t="s">
        <v>333</v>
      </c>
      <c r="P34" s="102">
        <v>48934</v>
      </c>
      <c r="Q34" s="102">
        <v>4702</v>
      </c>
      <c r="R34" s="102">
        <v>1000</v>
      </c>
      <c r="S34" s="102">
        <v>4704</v>
      </c>
      <c r="T34" s="102">
        <v>999</v>
      </c>
      <c r="U34" s="102">
        <v>8895</v>
      </c>
    </row>
    <row r="35" spans="1:21" x14ac:dyDescent="0.3">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
      <c r="B36" t="s">
        <v>38</v>
      </c>
      <c r="C36" s="102">
        <v>250000</v>
      </c>
      <c r="D36" s="102">
        <v>-41666.666666666657</v>
      </c>
      <c r="E36" s="102">
        <v>208333.33333333334</v>
      </c>
      <c r="F36" s="102"/>
      <c r="G36" s="102"/>
      <c r="H36" s="102">
        <v>20833.333333333332</v>
      </c>
      <c r="I36" s="102">
        <v>0</v>
      </c>
      <c r="J36" s="102"/>
      <c r="K36" s="102"/>
      <c r="L36" s="102"/>
      <c r="N36" s="102"/>
      <c r="O36" t="s">
        <v>236</v>
      </c>
      <c r="P36" s="102">
        <v>238897.86250000002</v>
      </c>
      <c r="Q36" s="102"/>
      <c r="R36" s="102"/>
      <c r="S36" s="102"/>
      <c r="T36" s="102"/>
      <c r="U36" s="102">
        <v>0</v>
      </c>
    </row>
    <row r="37" spans="1:21" x14ac:dyDescent="0.3">
      <c r="B37" t="s">
        <v>186</v>
      </c>
      <c r="C37" s="102">
        <v>600000</v>
      </c>
      <c r="D37" s="102">
        <v>-83600</v>
      </c>
      <c r="E37" s="102">
        <v>544400</v>
      </c>
      <c r="F37" s="102">
        <v>50000</v>
      </c>
      <c r="G37" s="102">
        <v>24000</v>
      </c>
      <c r="H37" s="102">
        <v>24000</v>
      </c>
      <c r="I37" s="102">
        <v>94000</v>
      </c>
      <c r="J37" s="102">
        <v>44800</v>
      </c>
      <c r="K37" s="102">
        <v>22800</v>
      </c>
      <c r="L37" s="102">
        <v>0</v>
      </c>
      <c r="N37" s="102"/>
      <c r="O37" t="s">
        <v>370</v>
      </c>
      <c r="P37" s="102">
        <v>359</v>
      </c>
      <c r="Q37" s="102"/>
      <c r="R37" s="102"/>
      <c r="S37" s="102"/>
      <c r="T37" s="102"/>
      <c r="U37" s="102">
        <v>0</v>
      </c>
    </row>
    <row r="38" spans="1:21" x14ac:dyDescent="0.3">
      <c r="A38" t="s">
        <v>502</v>
      </c>
      <c r="C38" s="102">
        <v>1522590.7</v>
      </c>
      <c r="D38" s="102">
        <v>121733.63333333333</v>
      </c>
      <c r="E38" s="102">
        <v>1672324.3333333333</v>
      </c>
      <c r="F38" s="102">
        <v>94578.75</v>
      </c>
      <c r="G38" s="102">
        <v>67318.75</v>
      </c>
      <c r="H38" s="102">
        <v>101152.08333333333</v>
      </c>
      <c r="I38" s="102">
        <v>380378.75</v>
      </c>
      <c r="J38" s="102">
        <v>89378.75</v>
      </c>
      <c r="K38" s="102">
        <v>66118.75</v>
      </c>
      <c r="L38" s="102">
        <v>56318.75</v>
      </c>
      <c r="N38" s="102"/>
      <c r="O38" t="s">
        <v>133</v>
      </c>
      <c r="P38" s="102">
        <v>14700</v>
      </c>
      <c r="Q38" s="102"/>
      <c r="R38" s="102"/>
      <c r="S38" s="102"/>
      <c r="T38" s="102"/>
      <c r="U38" s="102">
        <v>9900</v>
      </c>
    </row>
    <row r="39" spans="1:21" x14ac:dyDescent="0.3">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7017.74</v>
      </c>
    </row>
    <row r="40" spans="1:21" x14ac:dyDescent="0.3">
      <c r="B40" t="s">
        <v>13</v>
      </c>
      <c r="C40" s="102">
        <v>1625617.7549999999</v>
      </c>
      <c r="D40" s="102">
        <v>-16467.281666666691</v>
      </c>
      <c r="E40" s="102">
        <v>1616588.25</v>
      </c>
      <c r="F40" s="102">
        <v>141783.63833333334</v>
      </c>
      <c r="G40" s="102">
        <v>117090.65833333335</v>
      </c>
      <c r="H40" s="102">
        <v>142595.65833333335</v>
      </c>
      <c r="I40" s="102">
        <v>812838.64000000013</v>
      </c>
      <c r="J40" s="102">
        <v>135508.06666666665</v>
      </c>
      <c r="K40" s="102">
        <v>109427.08666666667</v>
      </c>
      <c r="L40" s="102">
        <v>138773.08666666667</v>
      </c>
      <c r="N40" s="102"/>
      <c r="O40" t="s">
        <v>240</v>
      </c>
      <c r="P40" s="102">
        <v>12600</v>
      </c>
      <c r="Q40" s="102"/>
      <c r="R40" s="102">
        <v>12600</v>
      </c>
      <c r="S40" s="102"/>
      <c r="T40" s="102">
        <v>12000</v>
      </c>
      <c r="U40" s="102">
        <v>12000</v>
      </c>
    </row>
    <row r="41" spans="1:21" x14ac:dyDescent="0.3">
      <c r="A41" t="s">
        <v>503</v>
      </c>
      <c r="C41" s="102">
        <v>1785617.7549999999</v>
      </c>
      <c r="D41" s="102">
        <v>-16467.281666666691</v>
      </c>
      <c r="E41" s="102">
        <v>1776588.25</v>
      </c>
      <c r="F41" s="102">
        <v>154283.63833333334</v>
      </c>
      <c r="G41" s="102">
        <v>129590.65833333335</v>
      </c>
      <c r="H41" s="102">
        <v>155095.65833333335</v>
      </c>
      <c r="I41" s="102">
        <v>925338.64000000013</v>
      </c>
      <c r="J41" s="102">
        <v>148008.06666666665</v>
      </c>
      <c r="K41" s="102">
        <v>121927.08666666667</v>
      </c>
      <c r="L41" s="102">
        <v>151273.08666666667</v>
      </c>
      <c r="N41" s="102"/>
      <c r="O41" t="s">
        <v>362</v>
      </c>
      <c r="P41" s="102">
        <v>8400</v>
      </c>
      <c r="Q41" s="102">
        <v>8400</v>
      </c>
      <c r="R41" s="102"/>
      <c r="S41" s="102">
        <v>8000</v>
      </c>
      <c r="T41" s="102"/>
      <c r="U41" s="102">
        <v>8000</v>
      </c>
    </row>
    <row r="42" spans="1:21" x14ac:dyDescent="0.3">
      <c r="A42" t="s">
        <v>53</v>
      </c>
      <c r="B42" t="s">
        <v>11</v>
      </c>
      <c r="C42" s="102">
        <v>693012</v>
      </c>
      <c r="D42" s="102">
        <v>9742.419999999991</v>
      </c>
      <c r="E42" s="102">
        <v>723160</v>
      </c>
      <c r="F42" s="102">
        <v>21620.75</v>
      </c>
      <c r="G42" s="102">
        <v>21637.75</v>
      </c>
      <c r="H42" s="102">
        <v>21620.75</v>
      </c>
      <c r="I42" s="102">
        <v>75131.42</v>
      </c>
      <c r="J42" s="102">
        <v>11185.549999999997</v>
      </c>
      <c r="K42" s="102">
        <v>7416.71</v>
      </c>
      <c r="L42" s="102">
        <v>16129.190000000002</v>
      </c>
      <c r="N42" s="102"/>
      <c r="O42" t="s">
        <v>242</v>
      </c>
      <c r="P42" s="102">
        <v>90000</v>
      </c>
      <c r="Q42" s="102"/>
      <c r="R42" s="102"/>
      <c r="S42" s="102"/>
      <c r="T42" s="102"/>
      <c r="U42" s="102">
        <v>0</v>
      </c>
    </row>
    <row r="43" spans="1:21" x14ac:dyDescent="0.3">
      <c r="B43" t="s">
        <v>14</v>
      </c>
      <c r="C43" s="102">
        <v>212896</v>
      </c>
      <c r="D43" s="102">
        <v>0</v>
      </c>
      <c r="E43" s="102">
        <v>212896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
      <c r="B44" t="s">
        <v>27</v>
      </c>
      <c r="C44" s="102">
        <v>1049727.6140000001</v>
      </c>
      <c r="D44" s="102">
        <v>-5299.179333333258</v>
      </c>
      <c r="E44" s="102">
        <v>1048398.1806666667</v>
      </c>
      <c r="F44" s="102">
        <v>56798</v>
      </c>
      <c r="G44" s="102">
        <v>20696</v>
      </c>
      <c r="H44" s="102">
        <v>129819.016</v>
      </c>
      <c r="I44" s="102">
        <v>609829.07000000007</v>
      </c>
      <c r="J44" s="102">
        <v>56370.39</v>
      </c>
      <c r="K44" s="102">
        <v>20656.14</v>
      </c>
      <c r="L44" s="102">
        <v>126332.43</v>
      </c>
      <c r="N44" s="102"/>
      <c r="O44" t="s">
        <v>248</v>
      </c>
      <c r="P44" s="102">
        <v>1260</v>
      </c>
      <c r="Q44" s="102">
        <v>1260</v>
      </c>
      <c r="R44" s="102">
        <v>0</v>
      </c>
      <c r="S44" s="102">
        <v>1260</v>
      </c>
      <c r="T44" s="102">
        <v>0</v>
      </c>
      <c r="U44" s="102">
        <v>1260</v>
      </c>
    </row>
    <row r="45" spans="1:21" x14ac:dyDescent="0.3">
      <c r="B45" t="s">
        <v>186</v>
      </c>
      <c r="C45" s="102">
        <v>672000</v>
      </c>
      <c r="D45" s="102">
        <v>-7908</v>
      </c>
      <c r="E45" s="102">
        <v>671440</v>
      </c>
      <c r="F45" s="102">
        <v>56000</v>
      </c>
      <c r="G45" s="102">
        <v>56000</v>
      </c>
      <c r="H45" s="102">
        <v>59760</v>
      </c>
      <c r="I45" s="102">
        <v>184332</v>
      </c>
      <c r="J45" s="102">
        <v>51600</v>
      </c>
      <c r="K45" s="102">
        <v>52080</v>
      </c>
      <c r="L45" s="102">
        <v>56924</v>
      </c>
      <c r="N45" s="102"/>
      <c r="O45" t="s">
        <v>342</v>
      </c>
      <c r="P45" s="102">
        <v>940800</v>
      </c>
      <c r="Q45" s="102">
        <v>156800</v>
      </c>
      <c r="R45" s="102">
        <v>156800</v>
      </c>
      <c r="S45" s="102">
        <v>153008</v>
      </c>
      <c r="T45" s="102">
        <v>138848</v>
      </c>
      <c r="U45" s="102">
        <v>610110</v>
      </c>
    </row>
    <row r="46" spans="1:21" x14ac:dyDescent="0.3">
      <c r="A46" t="s">
        <v>504</v>
      </c>
      <c r="C46" s="102">
        <v>2627635.6140000001</v>
      </c>
      <c r="D46" s="102">
        <v>-3464.759333333267</v>
      </c>
      <c r="E46" s="102">
        <v>2655894.1806666665</v>
      </c>
      <c r="F46" s="102">
        <v>134418.75</v>
      </c>
      <c r="G46" s="102">
        <v>98333.75</v>
      </c>
      <c r="H46" s="102">
        <v>211199.766</v>
      </c>
      <c r="I46" s="102">
        <v>869292.49000000011</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
      <c r="A47" t="s">
        <v>8</v>
      </c>
      <c r="C47" s="102">
        <v>43544379.95615001</v>
      </c>
      <c r="D47" s="102">
        <v>1380888.2973000004</v>
      </c>
      <c r="E47" s="102">
        <v>45063712.952166669</v>
      </c>
      <c r="F47" s="102">
        <v>3340095.7149999999</v>
      </c>
      <c r="G47" s="102">
        <v>3317560.9349999996</v>
      </c>
      <c r="H47" s="102">
        <v>3589558.8979166667</v>
      </c>
      <c r="I47" s="102">
        <v>20614162.501699999</v>
      </c>
      <c r="J47" s="102">
        <v>3365516.8850000002</v>
      </c>
      <c r="K47" s="102">
        <v>3209811.2950000004</v>
      </c>
      <c r="L47" s="102">
        <v>3356539.7424999997</v>
      </c>
      <c r="N47" s="102"/>
      <c r="O47" t="s">
        <v>65</v>
      </c>
      <c r="P47" s="102">
        <v>25439</v>
      </c>
      <c r="Q47" s="102">
        <v>2119.9166666666665</v>
      </c>
      <c r="R47" s="102">
        <v>2119.9166666666665</v>
      </c>
      <c r="S47" s="102">
        <v>2019.14</v>
      </c>
      <c r="T47" s="102">
        <v>2019.24</v>
      </c>
      <c r="U47" s="102">
        <v>10096.52</v>
      </c>
    </row>
    <row r="48" spans="1:21" x14ac:dyDescent="0.3">
      <c r="N48" s="102"/>
      <c r="O48" t="s">
        <v>320</v>
      </c>
      <c r="P48" s="102">
        <v>2594.5500000000002</v>
      </c>
      <c r="Q48" s="102"/>
      <c r="R48" s="102"/>
      <c r="S48" s="102"/>
      <c r="T48" s="102"/>
      <c r="U48" s="102">
        <v>0</v>
      </c>
    </row>
    <row r="49" spans="15:21" x14ac:dyDescent="0.3">
      <c r="O49" t="s">
        <v>66</v>
      </c>
      <c r="P49" s="102">
        <v>34537</v>
      </c>
      <c r="Q49" s="102">
        <v>2878.0833333333335</v>
      </c>
      <c r="R49" s="102">
        <v>2878.0833333333335</v>
      </c>
      <c r="S49" s="102">
        <v>2741.45</v>
      </c>
      <c r="T49" s="102">
        <v>2741.45</v>
      </c>
      <c r="U49" s="102">
        <v>10965.8</v>
      </c>
    </row>
    <row r="50" spans="15:21" x14ac:dyDescent="0.3">
      <c r="O50" t="s">
        <v>76</v>
      </c>
      <c r="P50" s="102">
        <v>27790.5285</v>
      </c>
      <c r="Q50" s="102"/>
      <c r="R50" s="102"/>
      <c r="S50" s="102"/>
      <c r="T50" s="102"/>
      <c r="U50" s="102">
        <v>0</v>
      </c>
    </row>
    <row r="51" spans="15:21" x14ac:dyDescent="0.3">
      <c r="O51" t="s">
        <v>256</v>
      </c>
      <c r="P51" s="102">
        <v>2751</v>
      </c>
      <c r="Q51" s="102"/>
      <c r="R51" s="102">
        <v>1389</v>
      </c>
      <c r="S51" s="102"/>
      <c r="T51" s="102">
        <v>1472.85</v>
      </c>
      <c r="U51" s="102">
        <v>3192.75</v>
      </c>
    </row>
    <row r="52" spans="15:21" x14ac:dyDescent="0.3">
      <c r="O52" t="s">
        <v>334</v>
      </c>
      <c r="P52" s="102">
        <v>4730000</v>
      </c>
      <c r="Q52" s="102">
        <v>291666.66666666669</v>
      </c>
      <c r="R52" s="102">
        <v>291666.66666666669</v>
      </c>
      <c r="S52" s="102">
        <v>261174.96666666667</v>
      </c>
      <c r="T52" s="102">
        <v>261174.96666666667</v>
      </c>
      <c r="U52" s="102">
        <v>1775858.68</v>
      </c>
    </row>
    <row r="53" spans="15:21" x14ac:dyDescent="0.3">
      <c r="O53" t="s">
        <v>67</v>
      </c>
      <c r="P53" s="102">
        <v>10552298</v>
      </c>
      <c r="Q53" s="102">
        <v>877948.75</v>
      </c>
      <c r="R53" s="102">
        <v>877948.75</v>
      </c>
      <c r="S53" s="102">
        <v>912069.15</v>
      </c>
      <c r="T53" s="102">
        <v>855558.32000000007</v>
      </c>
      <c r="U53" s="102">
        <v>3757866.7899999996</v>
      </c>
    </row>
    <row r="54" spans="15:21" x14ac:dyDescent="0.3">
      <c r="O54" t="s">
        <v>77</v>
      </c>
      <c r="P54" s="102">
        <v>307613.80000000005</v>
      </c>
      <c r="Q54" s="102">
        <v>24908.333333333332</v>
      </c>
      <c r="R54" s="102">
        <v>24908.333333333332</v>
      </c>
      <c r="S54" s="102">
        <v>24908.333333333332</v>
      </c>
      <c r="T54" s="102">
        <v>24908.333333333332</v>
      </c>
      <c r="U54" s="102">
        <v>124541.66666666666</v>
      </c>
    </row>
    <row r="55" spans="15:21" x14ac:dyDescent="0.3">
      <c r="O55" t="s">
        <v>176</v>
      </c>
      <c r="P55" s="102">
        <v>141750</v>
      </c>
      <c r="Q55" s="102"/>
      <c r="R55" s="102"/>
      <c r="S55" s="102"/>
      <c r="T55" s="102"/>
      <c r="U55" s="102">
        <v>0</v>
      </c>
    </row>
    <row r="56" spans="15:21" x14ac:dyDescent="0.3">
      <c r="O56" t="s">
        <v>74</v>
      </c>
      <c r="P56" s="102">
        <v>631511.9645</v>
      </c>
      <c r="Q56" s="102">
        <v>70999.255833333329</v>
      </c>
      <c r="R56" s="102">
        <v>70999.255833333329</v>
      </c>
      <c r="S56" s="102">
        <v>70999.255833333329</v>
      </c>
      <c r="T56" s="102">
        <v>70999.255833333329</v>
      </c>
      <c r="U56" s="102">
        <v>577793.99416666664</v>
      </c>
    </row>
    <row r="57" spans="15:21" x14ac:dyDescent="0.3">
      <c r="O57" t="s">
        <v>490</v>
      </c>
      <c r="P57" s="102">
        <v>0</v>
      </c>
      <c r="Q57" s="102"/>
      <c r="R57" s="102"/>
      <c r="S57" s="102"/>
      <c r="T57" s="102"/>
      <c r="U57" s="102">
        <v>15208</v>
      </c>
    </row>
    <row r="58" spans="15:21" x14ac:dyDescent="0.3">
      <c r="O58" t="s">
        <v>177</v>
      </c>
      <c r="P58" s="102">
        <v>17099</v>
      </c>
      <c r="Q58" s="102"/>
      <c r="R58" s="102"/>
      <c r="S58" s="102"/>
      <c r="T58" s="102"/>
      <c r="U58" s="102">
        <v>0</v>
      </c>
    </row>
    <row r="59" spans="15:21" x14ac:dyDescent="0.3">
      <c r="O59" t="s">
        <v>410</v>
      </c>
      <c r="P59" s="102">
        <v>298544.40000000002</v>
      </c>
      <c r="Q59" s="102">
        <v>23694.030833333334</v>
      </c>
      <c r="R59" s="102">
        <v>23694.030833333334</v>
      </c>
      <c r="S59" s="102">
        <v>23694.030833333334</v>
      </c>
      <c r="T59" s="102">
        <v>23694.030833333334</v>
      </c>
      <c r="U59" s="102">
        <v>284328.36999999994</v>
      </c>
    </row>
    <row r="60" spans="15:21" x14ac:dyDescent="0.3">
      <c r="O60" t="s">
        <v>402</v>
      </c>
      <c r="P60" s="102">
        <v>100000</v>
      </c>
      <c r="Q60" s="102"/>
      <c r="R60" s="102"/>
      <c r="S60" s="102"/>
      <c r="T60" s="102"/>
      <c r="U60" s="102">
        <v>0</v>
      </c>
    </row>
    <row r="61" spans="15:21" x14ac:dyDescent="0.3">
      <c r="O61" t="s">
        <v>272</v>
      </c>
      <c r="P61" s="102">
        <v>8435.7000000000007</v>
      </c>
      <c r="Q61" s="102"/>
      <c r="R61" s="102"/>
      <c r="S61" s="102"/>
      <c r="T61" s="102"/>
      <c r="U61" s="102">
        <v>0</v>
      </c>
    </row>
    <row r="62" spans="15:21" x14ac:dyDescent="0.3">
      <c r="O62" t="s">
        <v>68</v>
      </c>
      <c r="P62" s="102">
        <v>52500</v>
      </c>
      <c r="Q62" s="102"/>
      <c r="R62" s="102"/>
      <c r="S62" s="102"/>
      <c r="T62" s="102"/>
      <c r="U62" s="102">
        <v>0</v>
      </c>
    </row>
    <row r="63" spans="15:21" x14ac:dyDescent="0.3">
      <c r="O63" t="s">
        <v>353</v>
      </c>
      <c r="P63" s="102">
        <v>411547.5</v>
      </c>
      <c r="Q63" s="102">
        <v>34295.625</v>
      </c>
      <c r="R63" s="102">
        <v>34295.625</v>
      </c>
      <c r="S63" s="102">
        <v>45364.583333333336</v>
      </c>
      <c r="T63" s="102">
        <v>45364.583333333336</v>
      </c>
      <c r="U63" s="102">
        <v>544374.99999999988</v>
      </c>
    </row>
    <row r="64" spans="15:21" x14ac:dyDescent="0.3">
      <c r="O64" t="s">
        <v>166</v>
      </c>
      <c r="P64" s="102">
        <v>12200</v>
      </c>
      <c r="Q64" s="102"/>
      <c r="R64" s="102"/>
      <c r="S64" s="102"/>
      <c r="T64" s="102"/>
      <c r="U64" s="102">
        <v>0</v>
      </c>
    </row>
    <row r="65" spans="15:21" x14ac:dyDescent="0.3">
      <c r="O65" t="s">
        <v>276</v>
      </c>
      <c r="P65" s="102">
        <v>72888.816000000006</v>
      </c>
      <c r="Q65" s="102"/>
      <c r="R65" s="102"/>
      <c r="S65" s="102"/>
      <c r="T65" s="102"/>
      <c r="U65" s="102">
        <v>69417.919999999998</v>
      </c>
    </row>
    <row r="66" spans="15:21" x14ac:dyDescent="0.3">
      <c r="O66" t="s">
        <v>69</v>
      </c>
      <c r="P66" s="102">
        <v>3150</v>
      </c>
      <c r="Q66" s="102"/>
      <c r="R66" s="102">
        <v>3150</v>
      </c>
      <c r="S66" s="102"/>
      <c r="T66" s="102">
        <v>3000</v>
      </c>
      <c r="U66" s="102">
        <v>3000</v>
      </c>
    </row>
    <row r="67" spans="15:21" x14ac:dyDescent="0.3">
      <c r="O67" t="s">
        <v>278</v>
      </c>
      <c r="P67" s="102">
        <v>51930.15</v>
      </c>
      <c r="Q67" s="102"/>
      <c r="R67" s="102"/>
      <c r="S67" s="102"/>
      <c r="T67" s="102"/>
      <c r="U67" s="102">
        <v>46713</v>
      </c>
    </row>
    <row r="68" spans="15:21" x14ac:dyDescent="0.3">
      <c r="O68" t="s">
        <v>347</v>
      </c>
      <c r="P68" s="102">
        <v>139031.20000000001</v>
      </c>
      <c r="Q68" s="102">
        <v>11396</v>
      </c>
      <c r="R68" s="102">
        <v>11396</v>
      </c>
      <c r="S68" s="102">
        <v>11396</v>
      </c>
      <c r="T68" s="102">
        <v>11396</v>
      </c>
      <c r="U68" s="102">
        <v>79772</v>
      </c>
    </row>
    <row r="69" spans="15:21" x14ac:dyDescent="0.3">
      <c r="O69" t="s">
        <v>70</v>
      </c>
      <c r="P69" s="102">
        <v>297450.41749999998</v>
      </c>
      <c r="Q69" s="102">
        <v>957</v>
      </c>
      <c r="R69" s="102"/>
      <c r="S69" s="102">
        <v>983.36</v>
      </c>
      <c r="T69" s="102">
        <v>24.41</v>
      </c>
      <c r="U69" s="102">
        <v>21751.64</v>
      </c>
    </row>
    <row r="70" spans="15:21" x14ac:dyDescent="0.3">
      <c r="O70" t="s">
        <v>282</v>
      </c>
      <c r="P70" s="102">
        <v>39305.700000000004</v>
      </c>
      <c r="Q70" s="102"/>
      <c r="R70" s="102"/>
      <c r="S70" s="102"/>
      <c r="T70" s="102"/>
      <c r="U70" s="102">
        <v>0</v>
      </c>
    </row>
    <row r="71" spans="15:21" x14ac:dyDescent="0.3">
      <c r="O71" t="s">
        <v>381</v>
      </c>
      <c r="P71" s="102">
        <v>160000</v>
      </c>
      <c r="Q71" s="102">
        <v>12500</v>
      </c>
      <c r="R71" s="102">
        <v>12500</v>
      </c>
      <c r="S71" s="102">
        <v>12500</v>
      </c>
      <c r="T71" s="102">
        <v>12500</v>
      </c>
      <c r="U71" s="102">
        <v>112500</v>
      </c>
    </row>
    <row r="72" spans="15:21" x14ac:dyDescent="0.3">
      <c r="O72" t="s">
        <v>298</v>
      </c>
      <c r="P72" s="102">
        <v>70432.698000000004</v>
      </c>
      <c r="Q72" s="102">
        <v>200</v>
      </c>
      <c r="R72" s="102">
        <v>200</v>
      </c>
      <c r="S72" s="102">
        <v>161.13999999999999</v>
      </c>
      <c r="T72" s="102">
        <v>161.13999999999999</v>
      </c>
      <c r="U72" s="102">
        <v>692.9</v>
      </c>
    </row>
    <row r="73" spans="15:21" x14ac:dyDescent="0.3">
      <c r="O73" t="s">
        <v>78</v>
      </c>
      <c r="P73" s="102">
        <v>5407.5</v>
      </c>
      <c r="Q73" s="102"/>
      <c r="R73" s="102"/>
      <c r="S73" s="102"/>
      <c r="T73" s="102"/>
      <c r="U73" s="102">
        <v>0</v>
      </c>
    </row>
    <row r="74" spans="15:21" x14ac:dyDescent="0.3">
      <c r="O74" t="s">
        <v>284</v>
      </c>
      <c r="P74" s="102">
        <v>174825</v>
      </c>
      <c r="Q74" s="102">
        <v>14568.75</v>
      </c>
      <c r="R74" s="102">
        <v>14568.75</v>
      </c>
      <c r="S74" s="102">
        <v>14568.75</v>
      </c>
      <c r="T74" s="102">
        <v>14568.75</v>
      </c>
      <c r="U74" s="102">
        <v>131118.75</v>
      </c>
    </row>
    <row r="75" spans="15:21" x14ac:dyDescent="0.3">
      <c r="O75" t="s">
        <v>138</v>
      </c>
      <c r="P75" s="102">
        <v>175245.90000000002</v>
      </c>
      <c r="Q75" s="102">
        <v>14332.650000000003</v>
      </c>
      <c r="R75" s="102">
        <v>14332.650000000003</v>
      </c>
      <c r="S75" s="102">
        <v>11833.333333333334</v>
      </c>
      <c r="T75" s="102">
        <v>13333.333333333334</v>
      </c>
      <c r="U75" s="102">
        <v>78500</v>
      </c>
    </row>
    <row r="76" spans="15:21" x14ac:dyDescent="0.3">
      <c r="O76" t="s">
        <v>112</v>
      </c>
      <c r="P76" s="102">
        <v>259449</v>
      </c>
      <c r="Q76" s="102">
        <v>21620.75</v>
      </c>
      <c r="R76" s="102">
        <v>21620.75</v>
      </c>
      <c r="S76" s="102">
        <v>11185.549999999997</v>
      </c>
      <c r="T76" s="102">
        <v>7399.97</v>
      </c>
      <c r="U76" s="102">
        <v>59976.71</v>
      </c>
    </row>
    <row r="77" spans="15:21" x14ac:dyDescent="0.3">
      <c r="O77" t="s">
        <v>371</v>
      </c>
      <c r="P77" s="102">
        <v>67470</v>
      </c>
      <c r="Q77" s="102">
        <v>16878.150000000001</v>
      </c>
      <c r="R77" s="102"/>
      <c r="S77" s="102">
        <v>16878.150000000001</v>
      </c>
      <c r="T77" s="102"/>
      <c r="U77" s="102">
        <v>34242.9</v>
      </c>
    </row>
    <row r="78" spans="15:21" x14ac:dyDescent="0.3">
      <c r="O78" t="s">
        <v>374</v>
      </c>
      <c r="P78" s="102">
        <v>25000</v>
      </c>
      <c r="Q78" s="102"/>
      <c r="R78" s="102"/>
      <c r="S78" s="102"/>
      <c r="T78" s="102"/>
      <c r="U78" s="102">
        <v>0</v>
      </c>
    </row>
    <row r="79" spans="15:21" x14ac:dyDescent="0.3">
      <c r="O79" t="s">
        <v>71</v>
      </c>
      <c r="P79" s="102">
        <v>421713.07500000007</v>
      </c>
      <c r="Q79" s="102">
        <v>30215.78</v>
      </c>
      <c r="R79" s="102">
        <v>35893.14</v>
      </c>
      <c r="S79" s="102">
        <v>30215.78</v>
      </c>
      <c r="T79" s="102">
        <v>35893.14</v>
      </c>
      <c r="U79" s="102">
        <v>66108.92</v>
      </c>
    </row>
    <row r="80" spans="15:21" x14ac:dyDescent="0.3">
      <c r="O80" t="s">
        <v>191</v>
      </c>
      <c r="P80" s="102">
        <v>190000</v>
      </c>
      <c r="Q80" s="102">
        <v>15000</v>
      </c>
      <c r="R80" s="102">
        <v>15000</v>
      </c>
      <c r="S80" s="102">
        <v>15000</v>
      </c>
      <c r="T80" s="102">
        <v>15000</v>
      </c>
      <c r="U80" s="102">
        <v>75000</v>
      </c>
    </row>
    <row r="81" spans="15:21" x14ac:dyDescent="0.3">
      <c r="O81" t="s">
        <v>79</v>
      </c>
      <c r="P81" s="102">
        <v>61830</v>
      </c>
      <c r="Q81" s="102"/>
      <c r="R81" s="102"/>
      <c r="S81" s="102"/>
      <c r="T81" s="102"/>
      <c r="U81" s="102">
        <v>0</v>
      </c>
    </row>
    <row r="82" spans="15:21" x14ac:dyDescent="0.3">
      <c r="O82" t="s">
        <v>215</v>
      </c>
      <c r="P82" s="102">
        <v>440671.35000000003</v>
      </c>
      <c r="Q82" s="102"/>
      <c r="R82" s="102"/>
      <c r="S82" s="102"/>
      <c r="T82" s="102"/>
      <c r="U82" s="102">
        <v>362342.00000000006</v>
      </c>
    </row>
    <row r="83" spans="15:21" x14ac:dyDescent="0.3">
      <c r="O83" t="s">
        <v>72</v>
      </c>
      <c r="P83" s="102">
        <v>15750</v>
      </c>
      <c r="Q83" s="102"/>
      <c r="R83" s="102"/>
      <c r="S83" s="102"/>
      <c r="T83" s="102"/>
      <c r="U83" s="102">
        <v>0</v>
      </c>
    </row>
    <row r="84" spans="15:21" x14ac:dyDescent="0.3">
      <c r="O84" t="s">
        <v>8</v>
      </c>
      <c r="P84" s="102">
        <v>43544379.95615001</v>
      </c>
      <c r="Q84" s="102">
        <v>3340095.7149999994</v>
      </c>
      <c r="R84" s="102">
        <v>3317560.9350000001</v>
      </c>
      <c r="S84" s="102">
        <v>3365516.8849999998</v>
      </c>
      <c r="T84" s="102">
        <v>3209811.2950000013</v>
      </c>
      <c r="U84" s="102">
        <v>20614162.501700003</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ANTARESITDMO-1057074058-7268</_dlc_DocId>
    <_dlc_DocIdUrl xmlns="26d0a970-2ab3-49ef-b4d7-820ab6496716">
      <Url>https://antarescap.sharepoint.com/sites/AntaresITDemo/IT Internal/TechPMO/_layouts/15/DocIdRedir.aspx?ID=ANTARESITDMO-1057074058-7268</Url>
      <Description>ANTARESITDMO-1057074058-7268</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purl.org/dc/dcmitype/"/>
    <ds:schemaRef ds:uri="http://purl.org/dc/elements/1.1/"/>
    <ds:schemaRef ds:uri="http://schemas.microsoft.com/office/2006/documentManagement/types"/>
    <ds:schemaRef ds:uri="http://schemas.openxmlformats.org/package/2006/metadata/core-properties"/>
    <ds:schemaRef ds:uri="http://www.w3.org/XML/1998/namespace"/>
    <ds:schemaRef ds:uri="http://schemas.microsoft.com/office/2006/metadata/properties"/>
    <ds:schemaRef ds:uri="http://purl.org/dc/terms/"/>
    <ds:schemaRef ds:uri="http://schemas.microsoft.com/office/infopath/2007/PartnerControls"/>
    <ds:schemaRef ds:uri="c391786d-2ce2-4ee1-838b-63fe54a71a4e"/>
    <ds:schemaRef ds:uri="26d0a970-2ab3-49ef-b4d7-820ab6496716"/>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507EE48A-5054-49BD-ABCB-E2E17EFD45A7}"/>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2026-06-03T17:12:04Z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e581d226-3cd5-4979-8d58-4fcf62b15a9d</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