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63126\Desktop\上海财经大学+有bear来\"/>
    </mc:Choice>
  </mc:AlternateContent>
  <xr:revisionPtr revIDLastSave="0" documentId="13_ncr:1_{1FAC4261-7E59-4026-BD59-86CF3C86E124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收入预测" sheetId="6" r:id="rId1"/>
    <sheet name="自由现金流与企业价值预测与融资缺口估计" sheetId="1" r:id="rId2"/>
    <sheet name="Rwacc-金融负债" sheetId="2" state="hidden" r:id="rId3"/>
    <sheet name="WACC" sheetId="4" r:id="rId4"/>
    <sheet name="Rwacc-总负债 （值）" sheetId="8" state="hidden" r:id="rId5"/>
    <sheet name="设置情景" sheetId="7" r:id="rId6"/>
    <sheet name="融资缺口-保守" sheetId="12" r:id="rId7"/>
    <sheet name="WACC (值)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B38" i="12"/>
  <c r="B38" i="1"/>
  <c r="G15" i="12"/>
  <c r="G21" i="12" s="1"/>
  <c r="G26" i="12" s="1"/>
  <c r="G29" i="12" s="1"/>
  <c r="G8" i="12"/>
  <c r="F8" i="12"/>
  <c r="F15" i="12" s="1"/>
  <c r="F21" i="12" s="1"/>
  <c r="F26" i="12" s="1"/>
  <c r="F29" i="12" s="1"/>
  <c r="E8" i="12"/>
  <c r="E15" i="12" s="1"/>
  <c r="E21" i="12" s="1"/>
  <c r="E26" i="12" s="1"/>
  <c r="E29" i="12" s="1"/>
  <c r="N28" i="12"/>
  <c r="M28" i="12"/>
  <c r="L28" i="12"/>
  <c r="K28" i="12"/>
  <c r="J28" i="12"/>
  <c r="I25" i="12"/>
  <c r="H25" i="12"/>
  <c r="G25" i="12"/>
  <c r="F25" i="12"/>
  <c r="E25" i="12"/>
  <c r="D25" i="12"/>
  <c r="C25" i="12"/>
  <c r="B25" i="12"/>
  <c r="I24" i="12"/>
  <c r="H24" i="12"/>
  <c r="G24" i="12"/>
  <c r="F24" i="12"/>
  <c r="E24" i="12"/>
  <c r="D24" i="12"/>
  <c r="C24" i="12"/>
  <c r="B24" i="12"/>
  <c r="I23" i="12"/>
  <c r="H23" i="12"/>
  <c r="G23" i="12"/>
  <c r="F23" i="12"/>
  <c r="E23" i="12"/>
  <c r="D23" i="12"/>
  <c r="C23" i="12"/>
  <c r="B23" i="12"/>
  <c r="I22" i="12"/>
  <c r="H22" i="12"/>
  <c r="G22" i="12"/>
  <c r="F22" i="12"/>
  <c r="E22" i="12"/>
  <c r="D22" i="12"/>
  <c r="C22" i="12"/>
  <c r="B22" i="12"/>
  <c r="I21" i="12"/>
  <c r="I26" i="12" s="1"/>
  <c r="I29" i="12" s="1"/>
  <c r="H21" i="12"/>
  <c r="H26" i="12" s="1"/>
  <c r="H29" i="12" s="1"/>
  <c r="D21" i="12"/>
  <c r="C21" i="12"/>
  <c r="C26" i="12" s="1"/>
  <c r="B21" i="12"/>
  <c r="B26" i="12" s="1"/>
  <c r="P4" i="4"/>
  <c r="P17" i="4"/>
  <c r="P31" i="4"/>
  <c r="I33" i="4"/>
  <c r="H35" i="4"/>
  <c r="L35" i="4" s="1"/>
  <c r="I32" i="4"/>
  <c r="I31" i="4"/>
  <c r="I6" i="4"/>
  <c r="H8" i="4"/>
  <c r="L8" i="4" s="1"/>
  <c r="G8" i="4"/>
  <c r="F8" i="4"/>
  <c r="H23" i="4"/>
  <c r="L21" i="4" s="1"/>
  <c r="I4" i="4"/>
  <c r="I5" i="4"/>
  <c r="I19" i="4"/>
  <c r="I21" i="4" s="1"/>
  <c r="C30" i="4"/>
  <c r="C16" i="4"/>
  <c r="C4" i="4"/>
  <c r="N28" i="1"/>
  <c r="M28" i="1"/>
  <c r="L28" i="1"/>
  <c r="K28" i="1"/>
  <c r="J8" i="6"/>
  <c r="K8" i="6"/>
  <c r="L8" i="6"/>
  <c r="M8" i="6"/>
  <c r="N8" i="6"/>
  <c r="K7" i="6"/>
  <c r="L7" i="6"/>
  <c r="M7" i="6"/>
  <c r="N7" i="6"/>
  <c r="J7" i="6"/>
  <c r="K6" i="6"/>
  <c r="L6" i="6"/>
  <c r="M6" i="6"/>
  <c r="N6" i="6"/>
  <c r="J6" i="6"/>
  <c r="D26" i="12" l="1"/>
  <c r="J29" i="12"/>
  <c r="I35" i="4"/>
  <c r="I8" i="4"/>
  <c r="I9" i="4" s="1"/>
  <c r="J28" i="1"/>
  <c r="C31" i="4"/>
  <c r="C33" i="4" s="1"/>
  <c r="C17" i="4"/>
  <c r="C19" i="4" s="1"/>
  <c r="C6" i="4"/>
  <c r="H30" i="2"/>
  <c r="L6" i="4"/>
  <c r="L7" i="4" s="1"/>
  <c r="L33" i="4"/>
  <c r="L34" i="4" s="1"/>
  <c r="L19" i="4"/>
  <c r="L20" i="4" s="1"/>
  <c r="I23" i="4"/>
  <c r="H16" i="2"/>
  <c r="H20" i="2" s="1"/>
  <c r="H17" i="2"/>
  <c r="C16" i="2"/>
  <c r="C18" i="2" s="1"/>
  <c r="H18" i="2"/>
  <c r="H29" i="2"/>
  <c r="H28" i="2"/>
  <c r="H5" i="2"/>
  <c r="H4" i="2"/>
  <c r="H6" i="2"/>
  <c r="C28" i="2"/>
  <c r="C30" i="2" s="1"/>
  <c r="C4" i="2"/>
  <c r="C6" i="2" s="1"/>
  <c r="C25" i="1"/>
  <c r="D25" i="1"/>
  <c r="E25" i="1"/>
  <c r="F25" i="1"/>
  <c r="G25" i="1"/>
  <c r="H25" i="1"/>
  <c r="I25" i="1"/>
  <c r="B25" i="1"/>
  <c r="C24" i="1"/>
  <c r="D24" i="1"/>
  <c r="E24" i="1"/>
  <c r="F24" i="1"/>
  <c r="G24" i="1"/>
  <c r="H24" i="1"/>
  <c r="I24" i="1"/>
  <c r="B24" i="1"/>
  <c r="C23" i="1"/>
  <c r="D23" i="1"/>
  <c r="E23" i="1"/>
  <c r="F23" i="1"/>
  <c r="G23" i="1"/>
  <c r="H23" i="1"/>
  <c r="I23" i="1"/>
  <c r="B23" i="1"/>
  <c r="C22" i="1"/>
  <c r="D22" i="1"/>
  <c r="E22" i="1"/>
  <c r="F22" i="1"/>
  <c r="G22" i="1"/>
  <c r="H22" i="1"/>
  <c r="I22" i="1"/>
  <c r="B22" i="1"/>
  <c r="C21" i="1"/>
  <c r="C26" i="1" s="1"/>
  <c r="D21" i="1"/>
  <c r="E21" i="1"/>
  <c r="F21" i="1"/>
  <c r="F26" i="1" s="1"/>
  <c r="F29" i="1" s="1"/>
  <c r="G21" i="1"/>
  <c r="H21" i="1"/>
  <c r="I21" i="1"/>
  <c r="B21" i="1"/>
  <c r="B26" i="1" s="1"/>
  <c r="E26" i="1" l="1"/>
  <c r="E29" i="1" s="1"/>
  <c r="H26" i="1"/>
  <c r="K29" i="12"/>
  <c r="L37" i="4"/>
  <c r="I36" i="4"/>
  <c r="I37" i="4" s="1"/>
  <c r="L10" i="4"/>
  <c r="L22" i="4"/>
  <c r="I24" i="4"/>
  <c r="I25" i="4" s="1"/>
  <c r="G26" i="1"/>
  <c r="G29" i="1" s="1"/>
  <c r="D26" i="1"/>
  <c r="H29" i="1"/>
  <c r="I26" i="1"/>
  <c r="I10" i="4"/>
  <c r="H32" i="2"/>
  <c r="H33" i="2" s="1"/>
  <c r="H34" i="2" s="1"/>
  <c r="H8" i="2"/>
  <c r="L29" i="12" l="1"/>
  <c r="L23" i="4"/>
  <c r="L24" i="4" s="1"/>
  <c r="L36" i="4"/>
  <c r="L38" i="4" s="1"/>
  <c r="L9" i="4"/>
  <c r="L11" i="4" s="1"/>
  <c r="I29" i="1"/>
  <c r="H21" i="2"/>
  <c r="H22" i="2" s="1"/>
  <c r="H9" i="2"/>
  <c r="H10" i="2" s="1"/>
  <c r="C40" i="4" l="1"/>
  <c r="B34" i="12" s="1"/>
  <c r="I35" i="12" s="1"/>
  <c r="I31" i="12" s="1"/>
  <c r="M29" i="12"/>
  <c r="J29" i="1"/>
  <c r="B34" i="1" l="1"/>
  <c r="H35" i="1" s="1"/>
  <c r="H31" i="1" s="1"/>
  <c r="E35" i="12"/>
  <c r="E31" i="12" s="1"/>
  <c r="N35" i="12"/>
  <c r="L35" i="12"/>
  <c r="L31" i="12" s="1"/>
  <c r="H35" i="12"/>
  <c r="H31" i="12" s="1"/>
  <c r="K35" i="12"/>
  <c r="K31" i="12" s="1"/>
  <c r="J35" i="12"/>
  <c r="J31" i="12" s="1"/>
  <c r="F35" i="12"/>
  <c r="F31" i="12" s="1"/>
  <c r="G35" i="12"/>
  <c r="G31" i="12" s="1"/>
  <c r="M35" i="12"/>
  <c r="M31" i="12" s="1"/>
  <c r="N29" i="12"/>
  <c r="K29" i="1"/>
  <c r="M35" i="1" l="1"/>
  <c r="G35" i="1"/>
  <c r="G31" i="1" s="1"/>
  <c r="K35" i="1"/>
  <c r="L35" i="1"/>
  <c r="F35" i="1"/>
  <c r="F31" i="1" s="1"/>
  <c r="E35" i="1"/>
  <c r="E31" i="1" s="1"/>
  <c r="I35" i="1"/>
  <c r="I31" i="1" s="1"/>
  <c r="N35" i="1"/>
  <c r="J35" i="1"/>
  <c r="J31" i="1" s="1"/>
  <c r="D48" i="12"/>
  <c r="N41" i="12"/>
  <c r="D43" i="12" s="1"/>
  <c r="N31" i="12"/>
  <c r="D32" i="12" s="1"/>
  <c r="L29" i="1"/>
  <c r="K31" i="1"/>
  <c r="D49" i="1" l="1"/>
  <c r="D47" i="12"/>
  <c r="M29" i="1"/>
  <c r="L31" i="1"/>
  <c r="N29" i="1" l="1"/>
  <c r="M31" i="1"/>
  <c r="N41" i="1" l="1"/>
  <c r="D43" i="1" s="1"/>
  <c r="N31" i="1"/>
  <c r="D32" i="1" s="1"/>
  <c r="D47" i="1" l="1"/>
</calcChain>
</file>

<file path=xl/sharedStrings.xml><?xml version="1.0" encoding="utf-8"?>
<sst xmlns="http://schemas.openxmlformats.org/spreadsheetml/2006/main" count="378" uniqueCount="94">
  <si>
    <t>营业收入</t>
  </si>
  <si>
    <t>营业成本</t>
  </si>
  <si>
    <t>销管费用</t>
  </si>
  <si>
    <t>财务费用</t>
  </si>
  <si>
    <t>营业利润</t>
  </si>
  <si>
    <t>所得税</t>
  </si>
  <si>
    <t>净利润</t>
  </si>
  <si>
    <t>资本性支出</t>
  </si>
  <si>
    <t>运营资本变动/ Working Capital Change</t>
  </si>
  <si>
    <t>科目名称</t>
    <phoneticPr fontId="1" type="noConversion"/>
  </si>
  <si>
    <t>2021E</t>
    <phoneticPr fontId="1" type="noConversion"/>
  </si>
  <si>
    <t>2022E</t>
    <phoneticPr fontId="1" type="noConversion"/>
  </si>
  <si>
    <t>2023E</t>
    <phoneticPr fontId="1" type="noConversion"/>
  </si>
  <si>
    <t>2024E</t>
    <phoneticPr fontId="1" type="noConversion"/>
  </si>
  <si>
    <t>2025E</t>
    <phoneticPr fontId="1" type="noConversion"/>
  </si>
  <si>
    <t>年份</t>
    <phoneticPr fontId="1" type="noConversion"/>
  </si>
  <si>
    <t xml:space="preserve">       软件收入</t>
    <phoneticPr fontId="1" type="noConversion"/>
  </si>
  <si>
    <t xml:space="preserve">       硬件集成</t>
    <phoneticPr fontId="1" type="noConversion"/>
  </si>
  <si>
    <t xml:space="preserve">       开发费收入</t>
    <phoneticPr fontId="1" type="noConversion"/>
  </si>
  <si>
    <t>研发费用</t>
    <phoneticPr fontId="1" type="noConversion"/>
  </si>
  <si>
    <t xml:space="preserve">       研发人力</t>
    <phoneticPr fontId="1" type="noConversion"/>
  </si>
  <si>
    <t xml:space="preserve">       研发外包</t>
    <phoneticPr fontId="1" type="noConversion"/>
  </si>
  <si>
    <t xml:space="preserve">       研发物料</t>
    <phoneticPr fontId="1" type="noConversion"/>
  </si>
  <si>
    <t>EBIT</t>
    <phoneticPr fontId="1" type="noConversion"/>
  </si>
  <si>
    <t>-Tax</t>
    <phoneticPr fontId="1" type="noConversion"/>
  </si>
  <si>
    <t>+折旧与摊销</t>
    <phoneticPr fontId="1" type="noConversion"/>
  </si>
  <si>
    <t>-净运营资本开支</t>
    <phoneticPr fontId="1" type="noConversion"/>
  </si>
  <si>
    <t>-资本性支出</t>
    <phoneticPr fontId="1" type="noConversion"/>
  </si>
  <si>
    <t>无杠杆自由现金流</t>
    <phoneticPr fontId="1" type="noConversion"/>
  </si>
  <si>
    <t>Rf</t>
  </si>
  <si>
    <t>ERP</t>
  </si>
  <si>
    <t>beta</t>
  </si>
  <si>
    <t>Rs</t>
    <phoneticPr fontId="1" type="noConversion"/>
  </si>
  <si>
    <t>短期债务</t>
  </si>
  <si>
    <t>长期债务</t>
  </si>
  <si>
    <t>税率</t>
  </si>
  <si>
    <t>利息支出</t>
  </si>
  <si>
    <t>总债务</t>
  </si>
  <si>
    <t>债务成本率</t>
  </si>
  <si>
    <t>税后债务成本率</t>
  </si>
  <si>
    <t>NIO</t>
    <phoneticPr fontId="1" type="noConversion"/>
  </si>
  <si>
    <t>Li Auto</t>
    <phoneticPr fontId="1" type="noConversion"/>
  </si>
  <si>
    <t>Xpeng</t>
    <phoneticPr fontId="1" type="noConversion"/>
  </si>
  <si>
    <t>Rwacc</t>
  </si>
  <si>
    <t>Rwacc</t>
    <phoneticPr fontId="1" type="noConversion"/>
  </si>
  <si>
    <t>股价</t>
  </si>
  <si>
    <t>股价</t>
    <phoneticPr fontId="1" type="noConversion"/>
  </si>
  <si>
    <t>股东价值</t>
  </si>
  <si>
    <t>股东价值</t>
    <phoneticPr fontId="1" type="noConversion"/>
  </si>
  <si>
    <t>股东权益</t>
  </si>
  <si>
    <t>股东权益</t>
    <phoneticPr fontId="1" type="noConversion"/>
  </si>
  <si>
    <t>流通股股数</t>
  </si>
  <si>
    <t>流通股股数</t>
    <phoneticPr fontId="1" type="noConversion"/>
  </si>
  <si>
    <t>股权市值</t>
  </si>
  <si>
    <t>债务市值</t>
  </si>
  <si>
    <t>股权比例</t>
  </si>
  <si>
    <t>债务比例</t>
  </si>
  <si>
    <t>资产规模</t>
    <phoneticPr fontId="1" type="noConversion"/>
  </si>
  <si>
    <t>折现因子</t>
    <phoneticPr fontId="1" type="noConversion"/>
  </si>
  <si>
    <t>折现年份</t>
    <phoneticPr fontId="1" type="noConversion"/>
  </si>
  <si>
    <t>终值年份</t>
  </si>
  <si>
    <t>预测期自由现金流现值</t>
  </si>
  <si>
    <t>企业价值</t>
  </si>
  <si>
    <t>预测期现金流现值</t>
    <phoneticPr fontId="1" type="noConversion"/>
  </si>
  <si>
    <t>取值</t>
  </si>
  <si>
    <t>2026E</t>
    <phoneticPr fontId="1" type="noConversion"/>
  </si>
  <si>
    <t>2027E</t>
    <phoneticPr fontId="1" type="noConversion"/>
  </si>
  <si>
    <t>2028E</t>
    <phoneticPr fontId="1" type="noConversion"/>
  </si>
  <si>
    <t>2029E</t>
    <phoneticPr fontId="1" type="noConversion"/>
  </si>
  <si>
    <t>2030E</t>
    <phoneticPr fontId="1" type="noConversion"/>
  </si>
  <si>
    <t>2026-2030现金流增长率（假设与灰色模型所得收入增长率相同）</t>
    <phoneticPr fontId="1" type="noConversion"/>
  </si>
  <si>
    <t>预测期现金流</t>
    <phoneticPr fontId="1" type="noConversion"/>
  </si>
  <si>
    <t>永续增长率g</t>
    <phoneticPr fontId="1" type="noConversion"/>
  </si>
  <si>
    <t>永续增长终值</t>
    <phoneticPr fontId="1" type="noConversion"/>
  </si>
  <si>
    <t>永续增长终值现值</t>
    <phoneticPr fontId="1" type="noConversion"/>
  </si>
  <si>
    <t>指数增长</t>
    <phoneticPr fontId="1" type="noConversion"/>
  </si>
  <si>
    <t>灰色模型</t>
    <phoneticPr fontId="1" type="noConversion"/>
  </si>
  <si>
    <t>线性</t>
    <phoneticPr fontId="1" type="noConversion"/>
  </si>
  <si>
    <t>二阶多项式</t>
    <phoneticPr fontId="1" type="noConversion"/>
  </si>
  <si>
    <t>g取值一般在1%-3%，美国十年期国债年化收益率为2.17%</t>
    <phoneticPr fontId="1" type="noConversion"/>
  </si>
  <si>
    <t>情景开关</t>
    <phoneticPr fontId="1" type="noConversion"/>
  </si>
  <si>
    <t>乐观</t>
    <phoneticPr fontId="1" type="noConversion"/>
  </si>
  <si>
    <t>保守</t>
    <phoneticPr fontId="1" type="noConversion"/>
  </si>
  <si>
    <t>选择情景</t>
    <phoneticPr fontId="1" type="noConversion"/>
  </si>
  <si>
    <t>选择情景下的g</t>
    <phoneticPr fontId="1" type="noConversion"/>
  </si>
  <si>
    <t>短期利率</t>
    <phoneticPr fontId="1" type="noConversion"/>
  </si>
  <si>
    <t>长期利率</t>
    <phoneticPr fontId="1" type="noConversion"/>
  </si>
  <si>
    <t>自由现金流</t>
    <phoneticPr fontId="1" type="noConversion"/>
  </si>
  <si>
    <t>2026-2030年现金流增长率（根据二阶多项式预测）</t>
    <phoneticPr fontId="1" type="noConversion"/>
  </si>
  <si>
    <t>融资缺口</t>
    <phoneticPr fontId="1" type="noConversion"/>
  </si>
  <si>
    <t xml:space="preserve">       折旧与摊销</t>
    <phoneticPr fontId="1" type="noConversion"/>
  </si>
  <si>
    <t xml:space="preserve">      折旧与摊销</t>
    <phoneticPr fontId="1" type="noConversion"/>
  </si>
  <si>
    <t>研发费用增长率</t>
    <phoneticPr fontId="1" type="noConversion"/>
  </si>
  <si>
    <t>WACC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</si>
</sst>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%"/>
    <numFmt numFmtId="177" formatCode="0.00_);[Red]\(0.00\)"/>
    <numFmt numFmtId="178" formatCode="0.0%"/>
    <numFmt numFmtId="179" formatCode="0_);[Red]\(0\)"/>
    <numFmt numFmtId="180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i/>
      <sz val="1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2"/>
      <color theme="1"/>
      <name val="华文细黑"/>
      <family val="3"/>
      <charset val="134"/>
    </font>
    <font>
      <b/>
      <sz val="12"/>
      <color theme="1"/>
      <name val="华文细黑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9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left" vertical="center"/>
    </xf>
    <xf numFmtId="0" fontId="0" fillId="2" borderId="0" xfId="0" applyFill="1"/>
    <xf numFmtId="0" fontId="0" fillId="2" borderId="1" xfId="0" applyFill="1" applyBorder="1" applyAlignment="1">
      <alignment vertical="center"/>
    </xf>
    <xf numFmtId="177" fontId="5" fillId="2" borderId="1" xfId="0" applyNumberFormat="1" applyFont="1" applyFill="1" applyBorder="1" applyAlignment="1">
      <alignment vertical="center"/>
    </xf>
    <xf numFmtId="177" fontId="4" fillId="2" borderId="1" xfId="0" applyNumberFormat="1" applyFont="1" applyFill="1" applyBorder="1" applyAlignment="1">
      <alignment vertical="center"/>
    </xf>
    <xf numFmtId="10" fontId="0" fillId="2" borderId="1" xfId="0" applyNumberFormat="1" applyFill="1" applyBorder="1" applyAlignment="1">
      <alignment vertical="center"/>
    </xf>
    <xf numFmtId="177" fontId="0" fillId="2" borderId="1" xfId="0" applyNumberFormat="1" applyFill="1" applyBorder="1" applyAlignment="1">
      <alignment vertical="center"/>
    </xf>
    <xf numFmtId="9" fontId="0" fillId="2" borderId="1" xfId="1" applyFont="1" applyFill="1" applyBorder="1">
      <alignment vertical="center"/>
    </xf>
    <xf numFmtId="10" fontId="4" fillId="2" borderId="1" xfId="0" applyNumberFormat="1" applyFont="1" applyFill="1" applyBorder="1" applyAlignment="1">
      <alignment vertical="center"/>
    </xf>
    <xf numFmtId="176" fontId="0" fillId="2" borderId="1" xfId="0" applyNumberFormat="1" applyFill="1" applyBorder="1" applyAlignment="1">
      <alignment vertical="center"/>
    </xf>
    <xf numFmtId="178" fontId="0" fillId="2" borderId="1" xfId="1" applyNumberFormat="1" applyFont="1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3" borderId="0" xfId="0" applyFill="1"/>
    <xf numFmtId="10" fontId="0" fillId="3" borderId="1" xfId="0" applyNumberFormat="1" applyFill="1" applyBorder="1" applyAlignment="1">
      <alignment vertical="center"/>
    </xf>
    <xf numFmtId="177" fontId="5" fillId="3" borderId="1" xfId="0" applyNumberFormat="1" applyFont="1" applyFill="1" applyBorder="1" applyAlignment="1">
      <alignment vertical="center"/>
    </xf>
    <xf numFmtId="177" fontId="4" fillId="3" borderId="1" xfId="0" applyNumberFormat="1" applyFont="1" applyFill="1" applyBorder="1" applyAlignment="1">
      <alignment vertical="center"/>
    </xf>
    <xf numFmtId="10" fontId="4" fillId="3" borderId="1" xfId="0" applyNumberFormat="1" applyFont="1" applyFill="1" applyBorder="1" applyAlignment="1">
      <alignment vertical="center"/>
    </xf>
    <xf numFmtId="177" fontId="0" fillId="3" borderId="1" xfId="0" applyNumberFormat="1" applyFill="1" applyBorder="1" applyAlignment="1">
      <alignment vertical="center"/>
    </xf>
    <xf numFmtId="177" fontId="0" fillId="3" borderId="0" xfId="0" applyNumberFormat="1" applyFill="1"/>
    <xf numFmtId="176" fontId="0" fillId="3" borderId="1" xfId="0" applyNumberFormat="1" applyFill="1" applyBorder="1" applyAlignment="1">
      <alignment vertical="center"/>
    </xf>
    <xf numFmtId="9" fontId="0" fillId="3" borderId="1" xfId="1" applyFont="1" applyFill="1" applyBorder="1">
      <alignment vertical="center"/>
    </xf>
    <xf numFmtId="178" fontId="0" fillId="3" borderId="1" xfId="1" applyNumberFormat="1" applyFont="1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4" borderId="0" xfId="0" applyFill="1"/>
    <xf numFmtId="10" fontId="0" fillId="4" borderId="1" xfId="0" applyNumberFormat="1" applyFill="1" applyBorder="1" applyAlignment="1">
      <alignment vertical="center"/>
    </xf>
    <xf numFmtId="177" fontId="5" fillId="4" borderId="1" xfId="0" applyNumberFormat="1" applyFont="1" applyFill="1" applyBorder="1" applyAlignment="1">
      <alignment vertical="center"/>
    </xf>
    <xf numFmtId="177" fontId="4" fillId="4" borderId="1" xfId="0" applyNumberFormat="1" applyFont="1" applyFill="1" applyBorder="1" applyAlignment="1">
      <alignment vertical="center"/>
    </xf>
    <xf numFmtId="10" fontId="4" fillId="4" borderId="1" xfId="0" applyNumberFormat="1" applyFont="1" applyFill="1" applyBorder="1" applyAlignment="1">
      <alignment vertical="center"/>
    </xf>
    <xf numFmtId="177" fontId="0" fillId="4" borderId="1" xfId="0" applyNumberFormat="1" applyFill="1" applyBorder="1" applyAlignment="1">
      <alignment vertical="center"/>
    </xf>
    <xf numFmtId="177" fontId="0" fillId="4" borderId="0" xfId="0" applyNumberFormat="1" applyFill="1"/>
    <xf numFmtId="176" fontId="0" fillId="4" borderId="1" xfId="0" applyNumberFormat="1" applyFill="1" applyBorder="1" applyAlignment="1">
      <alignment vertical="center"/>
    </xf>
    <xf numFmtId="9" fontId="0" fillId="4" borderId="1" xfId="1" applyFont="1" applyFill="1" applyBorder="1">
      <alignment vertical="center"/>
    </xf>
    <xf numFmtId="178" fontId="0" fillId="4" borderId="1" xfId="1" applyNumberFormat="1" applyFont="1" applyFill="1" applyBorder="1">
      <alignment vertical="center"/>
    </xf>
    <xf numFmtId="177" fontId="0" fillId="2" borderId="1" xfId="0" applyNumberFormat="1" applyFill="1" applyBorder="1"/>
    <xf numFmtId="0" fontId="0" fillId="2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77" fontId="5" fillId="2" borderId="0" xfId="0" applyNumberFormat="1" applyFont="1" applyFill="1" applyBorder="1" applyAlignment="1">
      <alignment vertical="center"/>
    </xf>
    <xf numFmtId="177" fontId="4" fillId="2" borderId="0" xfId="0" applyNumberFormat="1" applyFont="1" applyFill="1" applyBorder="1" applyAlignment="1">
      <alignment vertical="center"/>
    </xf>
    <xf numFmtId="177" fontId="0" fillId="2" borderId="0" xfId="0" applyNumberFormat="1" applyFill="1" applyBorder="1"/>
    <xf numFmtId="9" fontId="0" fillId="2" borderId="0" xfId="1" applyFont="1" applyFill="1" applyBorder="1">
      <alignment vertical="center"/>
    </xf>
    <xf numFmtId="177" fontId="0" fillId="2" borderId="0" xfId="0" applyNumberFormat="1" applyFill="1" applyBorder="1" applyAlignment="1">
      <alignment vertical="center"/>
    </xf>
    <xf numFmtId="178" fontId="0" fillId="2" borderId="0" xfId="1" applyNumberFormat="1" applyFont="1" applyFill="1" applyBorder="1">
      <alignment vertical="center"/>
    </xf>
    <xf numFmtId="177" fontId="5" fillId="3" borderId="0" xfId="0" applyNumberFormat="1" applyFont="1" applyFill="1" applyBorder="1" applyAlignment="1">
      <alignment vertical="center"/>
    </xf>
    <xf numFmtId="177" fontId="4" fillId="3" borderId="0" xfId="0" applyNumberFormat="1" applyFont="1" applyFill="1" applyBorder="1" applyAlignment="1">
      <alignment vertical="center"/>
    </xf>
    <xf numFmtId="9" fontId="0" fillId="3" borderId="0" xfId="1" applyFont="1" applyFill="1" applyBorder="1">
      <alignment vertical="center"/>
    </xf>
    <xf numFmtId="177" fontId="0" fillId="3" borderId="0" xfId="0" applyNumberFormat="1" applyFill="1" applyBorder="1" applyAlignment="1">
      <alignment vertical="center"/>
    </xf>
    <xf numFmtId="178" fontId="0" fillId="3" borderId="0" xfId="1" applyNumberFormat="1" applyFont="1" applyFill="1" applyBorder="1">
      <alignment vertical="center"/>
    </xf>
    <xf numFmtId="177" fontId="5" fillId="4" borderId="0" xfId="0" applyNumberFormat="1" applyFont="1" applyFill="1" applyBorder="1" applyAlignment="1">
      <alignment vertical="center"/>
    </xf>
    <xf numFmtId="177" fontId="4" fillId="4" borderId="0" xfId="0" applyNumberFormat="1" applyFont="1" applyFill="1" applyBorder="1" applyAlignment="1">
      <alignment vertical="center"/>
    </xf>
    <xf numFmtId="9" fontId="0" fillId="4" borderId="0" xfId="1" applyFont="1" applyFill="1" applyBorder="1">
      <alignment vertical="center"/>
    </xf>
    <xf numFmtId="177" fontId="0" fillId="4" borderId="0" xfId="0" applyNumberFormat="1" applyFill="1" applyBorder="1" applyAlignment="1">
      <alignment vertical="center"/>
    </xf>
    <xf numFmtId="178" fontId="0" fillId="4" borderId="0" xfId="1" applyNumberFormat="1" applyFont="1" applyFill="1" applyBorder="1">
      <alignment vertical="center"/>
    </xf>
    <xf numFmtId="177" fontId="0" fillId="3" borderId="1" xfId="0" applyNumberFormat="1" applyFill="1" applyBorder="1"/>
    <xf numFmtId="177" fontId="0" fillId="4" borderId="1" xfId="0" applyNumberFormat="1" applyFill="1" applyBorder="1"/>
    <xf numFmtId="0" fontId="0" fillId="2" borderId="1" xfId="0" applyFill="1" applyBorder="1"/>
    <xf numFmtId="179" fontId="4" fillId="3" borderId="1" xfId="0" applyNumberFormat="1" applyFont="1" applyFill="1" applyBorder="1" applyAlignment="1">
      <alignment vertical="center"/>
    </xf>
    <xf numFmtId="179" fontId="4" fillId="2" borderId="1" xfId="0" applyNumberFormat="1" applyFont="1" applyFill="1" applyBorder="1" applyAlignment="1">
      <alignment vertical="center"/>
    </xf>
    <xf numFmtId="179" fontId="4" fillId="4" borderId="1" xfId="0" applyNumberFormat="1" applyFont="1" applyFill="1" applyBorder="1" applyAlignment="1">
      <alignment vertical="center"/>
    </xf>
    <xf numFmtId="0" fontId="0" fillId="3" borderId="1" xfId="0" applyFill="1" applyBorder="1"/>
    <xf numFmtId="3" fontId="0" fillId="3" borderId="1" xfId="0" applyNumberFormat="1" applyFill="1" applyBorder="1"/>
    <xf numFmtId="0" fontId="0" fillId="4" borderId="1" xfId="0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3" fontId="0" fillId="3" borderId="0" xfId="0" applyNumberFormat="1" applyFill="1" applyBorder="1"/>
    <xf numFmtId="10" fontId="0" fillId="0" borderId="0" xfId="0" applyNumberFormat="1"/>
    <xf numFmtId="10" fontId="0" fillId="2" borderId="1" xfId="1" applyNumberFormat="1" applyFont="1" applyFill="1" applyBorder="1">
      <alignment vertical="center"/>
    </xf>
    <xf numFmtId="10" fontId="0" fillId="4" borderId="1" xfId="1" applyNumberFormat="1" applyFont="1" applyFill="1" applyBorder="1">
      <alignment vertical="center"/>
    </xf>
    <xf numFmtId="10" fontId="0" fillId="3" borderId="1" xfId="1" applyNumberFormat="1" applyFont="1" applyFill="1" applyBorder="1">
      <alignment vertical="center"/>
    </xf>
    <xf numFmtId="0" fontId="0" fillId="5" borderId="0" xfId="0" applyFill="1"/>
    <xf numFmtId="2" fontId="0" fillId="0" borderId="0" xfId="0" applyNumberFormat="1"/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/>
    </xf>
    <xf numFmtId="10" fontId="0" fillId="3" borderId="0" xfId="0" applyNumberFormat="1" applyFill="1"/>
    <xf numFmtId="10" fontId="0" fillId="4" borderId="0" xfId="0" applyNumberFormat="1" applyFill="1"/>
    <xf numFmtId="10" fontId="0" fillId="2" borderId="0" xfId="0" applyNumberFormat="1" applyFill="1"/>
    <xf numFmtId="177" fontId="0" fillId="8" borderId="1" xfId="0" applyNumberFormat="1" applyFill="1" applyBorder="1" applyAlignment="1">
      <alignment vertical="center"/>
    </xf>
    <xf numFmtId="177" fontId="0" fillId="0" borderId="0" xfId="0" applyNumberFormat="1"/>
    <xf numFmtId="0" fontId="0" fillId="0" borderId="0" xfId="0" applyBorder="1"/>
    <xf numFmtId="0" fontId="6" fillId="0" borderId="0" xfId="0" applyFont="1" applyBorder="1" applyAlignment="1">
      <alignment vertical="center"/>
    </xf>
    <xf numFmtId="0" fontId="0" fillId="0" borderId="2" xfId="0" applyBorder="1"/>
    <xf numFmtId="0" fontId="0" fillId="0" borderId="0" xfId="0" applyBorder="1" applyAlignment="1">
      <alignment horizontal="left"/>
    </xf>
    <xf numFmtId="2" fontId="0" fillId="0" borderId="0" xfId="0" applyNumberFormat="1" applyBorder="1"/>
    <xf numFmtId="0" fontId="6" fillId="6" borderId="3" xfId="0" applyFont="1" applyFill="1" applyBorder="1" applyAlignment="1">
      <alignment vertical="center"/>
    </xf>
    <xf numFmtId="0" fontId="6" fillId="6" borderId="0" xfId="0" applyFont="1" applyFill="1" applyAlignment="1">
      <alignment vertical="center"/>
    </xf>
    <xf numFmtId="0" fontId="7" fillId="6" borderId="4" xfId="0" applyFont="1" applyFill="1" applyBorder="1" applyAlignment="1">
      <alignment vertical="center"/>
    </xf>
    <xf numFmtId="0" fontId="6" fillId="6" borderId="5" xfId="0" applyFont="1" applyFill="1" applyBorder="1" applyAlignment="1">
      <alignment vertical="center"/>
    </xf>
    <xf numFmtId="2" fontId="6" fillId="6" borderId="5" xfId="0" applyNumberFormat="1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2" fontId="0" fillId="6" borderId="0" xfId="0" applyNumberFormat="1" applyFill="1" applyBorder="1"/>
    <xf numFmtId="0" fontId="0" fillId="6" borderId="0" xfId="0" applyFill="1" applyBorder="1"/>
    <xf numFmtId="2" fontId="6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9" borderId="0" xfId="0" applyFill="1"/>
    <xf numFmtId="0" fontId="0" fillId="9" borderId="0" xfId="0" applyFill="1" applyBorder="1"/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180" fontId="0" fillId="9" borderId="0" xfId="0" applyNumberFormat="1" applyFill="1"/>
    <xf numFmtId="0" fontId="0" fillId="2" borderId="1" xfId="0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vertical="center"/>
    </xf>
    <xf numFmtId="177" fontId="3" fillId="3" borderId="1" xfId="0" applyNumberFormat="1" applyFont="1" applyFill="1" applyBorder="1" applyAlignment="1">
      <alignment vertical="center"/>
    </xf>
    <xf numFmtId="177" fontId="3" fillId="3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4" borderId="0" xfId="0" applyNumberFormat="1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vertical="center"/>
    </xf>
    <xf numFmtId="177" fontId="3" fillId="4" borderId="1" xfId="0" applyNumberFormat="1" applyFont="1" applyFill="1" applyBorder="1" applyAlignment="1">
      <alignment vertical="center"/>
    </xf>
    <xf numFmtId="177" fontId="9" fillId="4" borderId="1" xfId="0" applyNumberFormat="1" applyFont="1" applyFill="1" applyBorder="1" applyAlignment="1">
      <alignment vertical="center"/>
    </xf>
    <xf numFmtId="177" fontId="9" fillId="3" borderId="1" xfId="0" applyNumberFormat="1" applyFont="1" applyFill="1" applyBorder="1" applyAlignment="1">
      <alignment vertical="center"/>
    </xf>
    <xf numFmtId="177" fontId="9" fillId="2" borderId="1" xfId="0" applyNumberFormat="1" applyFont="1" applyFill="1" applyBorder="1" applyAlignment="1">
      <alignment vertical="center"/>
    </xf>
    <xf numFmtId="10" fontId="3" fillId="4" borderId="1" xfId="0" applyNumberFormat="1" applyFont="1" applyFill="1" applyBorder="1" applyAlignment="1">
      <alignment vertical="center"/>
    </xf>
    <xf numFmtId="178" fontId="8" fillId="5" borderId="1" xfId="1" applyNumberFormat="1" applyFont="1" applyFill="1" applyBorder="1">
      <alignment vertical="center"/>
    </xf>
    <xf numFmtId="10" fontId="8" fillId="5" borderId="1" xfId="0" applyNumberFormat="1" applyFont="1" applyFill="1" applyBorder="1"/>
    <xf numFmtId="2" fontId="7" fillId="6" borderId="5" xfId="0" applyNumberFormat="1" applyFont="1" applyFill="1" applyBorder="1" applyAlignment="1">
      <alignment vertical="center"/>
    </xf>
    <xf numFmtId="2" fontId="7" fillId="6" borderId="0" xfId="0" applyNumberFormat="1" applyFont="1" applyFill="1" applyAlignment="1">
      <alignment vertical="center"/>
    </xf>
    <xf numFmtId="2" fontId="7" fillId="6" borderId="0" xfId="0" applyNumberFormat="1" applyFont="1" applyFill="1" applyBorder="1" applyAlignment="1">
      <alignment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vertical="center"/>
    </xf>
    <xf numFmtId="4" fontId="0" fillId="2" borderId="1" xfId="0" applyNumberFormat="1" applyFill="1" applyBorder="1" applyAlignment="1">
      <alignment vertical="center"/>
    </xf>
    <xf numFmtId="0" fontId="0" fillId="8" borderId="2" xfId="0" applyFill="1" applyBorder="1"/>
    <xf numFmtId="2" fontId="6" fillId="0" borderId="0" xfId="0" applyNumberFormat="1" applyFont="1" applyAlignment="1">
      <alignment vertical="center"/>
    </xf>
    <xf numFmtId="0" fontId="7" fillId="6" borderId="3" xfId="0" applyFont="1" applyFill="1" applyBorder="1" applyAlignment="1">
      <alignment vertical="center"/>
    </xf>
    <xf numFmtId="2" fontId="6" fillId="6" borderId="0" xfId="0" applyNumberFormat="1" applyFont="1" applyFill="1" applyBorder="1" applyAlignment="1">
      <alignment vertical="center"/>
    </xf>
    <xf numFmtId="9" fontId="0" fillId="0" borderId="0" xfId="0" applyNumberFormat="1"/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10" fontId="0" fillId="2" borderId="0" xfId="1" applyNumberFormat="1" applyFont="1" applyFill="1" applyBorder="1">
      <alignment vertical="center"/>
    </xf>
    <xf numFmtId="0" fontId="0" fillId="0" borderId="0" xfId="0" applyFill="1"/>
    <xf numFmtId="0" fontId="0" fillId="0" borderId="0" xfId="0" applyFill="1" applyBorder="1" applyAlignment="1">
      <alignment vertical="center"/>
    </xf>
    <xf numFmtId="178" fontId="0" fillId="0" borderId="0" xfId="1" applyNumberFormat="1" applyFont="1" applyFill="1" applyBorder="1">
      <alignment vertical="center"/>
    </xf>
    <xf numFmtId="10" fontId="0" fillId="0" borderId="0" xfId="1" applyNumberFormat="1" applyFont="1" applyFill="1" applyBorder="1">
      <alignment vertic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vertical="center"/>
    </xf>
    <xf numFmtId="10" fontId="0" fillId="6" borderId="1" xfId="0" applyNumberForma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vertical="center"/>
    </xf>
    <xf numFmtId="177" fontId="3" fillId="6" borderId="1" xfId="0" applyNumberFormat="1" applyFont="1" applyFill="1" applyBorder="1" applyAlignment="1">
      <alignment horizontal="center" vertical="center"/>
    </xf>
    <xf numFmtId="179" fontId="3" fillId="6" borderId="1" xfId="0" applyNumberFormat="1" applyFont="1" applyFill="1" applyBorder="1" applyAlignment="1">
      <alignment horizontal="center" vertical="center"/>
    </xf>
    <xf numFmtId="177" fontId="5" fillId="6" borderId="1" xfId="0" applyNumberFormat="1" applyFont="1" applyFill="1" applyBorder="1" applyAlignment="1">
      <alignment vertical="center"/>
    </xf>
    <xf numFmtId="177" fontId="5" fillId="6" borderId="0" xfId="0" applyNumberFormat="1" applyFont="1" applyFill="1" applyBorder="1" applyAlignment="1">
      <alignment vertical="center"/>
    </xf>
    <xf numFmtId="177" fontId="3" fillId="6" borderId="1" xfId="0" applyNumberFormat="1" applyFont="1" applyFill="1" applyBorder="1" applyAlignment="1">
      <alignment vertical="center"/>
    </xf>
    <xf numFmtId="177" fontId="0" fillId="6" borderId="1" xfId="0" applyNumberFormat="1" applyFill="1" applyBorder="1" applyAlignment="1">
      <alignment vertical="center"/>
    </xf>
    <xf numFmtId="177" fontId="0" fillId="6" borderId="1" xfId="1" applyNumberFormat="1" applyFont="1" applyFill="1" applyBorder="1">
      <alignment vertical="center"/>
    </xf>
    <xf numFmtId="177" fontId="4" fillId="6" borderId="1" xfId="0" applyNumberFormat="1" applyFont="1" applyFill="1" applyBorder="1" applyAlignment="1">
      <alignment vertical="center"/>
    </xf>
    <xf numFmtId="177" fontId="4" fillId="6" borderId="0" xfId="0" applyNumberFormat="1" applyFont="1" applyFill="1" applyBorder="1" applyAlignment="1">
      <alignment vertical="center"/>
    </xf>
    <xf numFmtId="177" fontId="9" fillId="6" borderId="1" xfId="0" applyNumberFormat="1" applyFont="1" applyFill="1" applyBorder="1" applyAlignment="1">
      <alignment vertical="center"/>
    </xf>
    <xf numFmtId="179" fontId="4" fillId="6" borderId="1" xfId="0" applyNumberFormat="1" applyFont="1" applyFill="1" applyBorder="1" applyAlignment="1">
      <alignment vertical="center"/>
    </xf>
    <xf numFmtId="178" fontId="0" fillId="6" borderId="0" xfId="1" applyNumberFormat="1" applyFont="1" applyFill="1" applyBorder="1">
      <alignment vertical="center"/>
    </xf>
    <xf numFmtId="177" fontId="0" fillId="6" borderId="0" xfId="0" applyNumberFormat="1" applyFill="1"/>
    <xf numFmtId="177" fontId="0" fillId="6" borderId="1" xfId="0" applyNumberFormat="1" applyFill="1" applyBorder="1"/>
    <xf numFmtId="10" fontId="0" fillId="6" borderId="0" xfId="0" applyNumberFormat="1" applyFill="1"/>
    <xf numFmtId="9" fontId="0" fillId="6" borderId="0" xfId="1" applyFont="1" applyFill="1" applyBorder="1">
      <alignment vertical="center"/>
    </xf>
    <xf numFmtId="177" fontId="0" fillId="6" borderId="0" xfId="0" applyNumberFormat="1" applyFill="1" applyBorder="1" applyAlignment="1">
      <alignment vertical="center"/>
    </xf>
    <xf numFmtId="9" fontId="0" fillId="6" borderId="1" xfId="1" applyFont="1" applyFill="1" applyBorder="1">
      <alignment vertical="center"/>
    </xf>
    <xf numFmtId="178" fontId="0" fillId="6" borderId="1" xfId="1" applyNumberFormat="1" applyFont="1" applyFill="1" applyBorder="1">
      <alignment vertical="center"/>
    </xf>
    <xf numFmtId="10" fontId="0" fillId="6" borderId="1" xfId="1" applyNumberFormat="1" applyFont="1" applyFill="1" applyBorder="1">
      <alignment vertical="center"/>
    </xf>
    <xf numFmtId="0" fontId="0" fillId="6" borderId="1" xfId="0" applyFill="1" applyBorder="1"/>
    <xf numFmtId="10" fontId="0" fillId="6" borderId="1" xfId="0" applyNumberFormat="1" applyFill="1" applyBorder="1"/>
    <xf numFmtId="0" fontId="0" fillId="8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</cellXfs>
  <cellStyles count="3">
    <cellStyle name="百分比" xfId="1" builtinId="5"/>
    <cellStyle name="常规" xfId="0" builtinId="0"/>
    <cellStyle name="常规 3" xfId="2" xr:uid="{259D1171-2B1D-48A4-8673-C682247601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2026-2030</a:t>
            </a:r>
            <a:r>
              <a:rPr lang="zh-CN" altLang="en-US"/>
              <a:t>年收入预测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自由现金流与企业价值预测与融资缺口估计!$E$3:$I$3</c:f>
              <c:numCache>
                <c:formatCode>General</c:formatCode>
                <c:ptCount val="5"/>
                <c:pt idx="0">
                  <c:v>3.4</c:v>
                </c:pt>
                <c:pt idx="1">
                  <c:v>6.8</c:v>
                </c:pt>
                <c:pt idx="2">
                  <c:v>34</c:v>
                </c:pt>
                <c:pt idx="3">
                  <c:v>102</c:v>
                </c:pt>
                <c:pt idx="4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74-4620-84E6-B09308F32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213423"/>
        <c:axId val="1910214255"/>
      </c:scatterChart>
      <c:valAx>
        <c:axId val="191021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214255"/>
        <c:crosses val="autoZero"/>
        <c:crossBetween val="midCat"/>
      </c:valAx>
      <c:valAx>
        <c:axId val="19102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21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9</xdr:row>
      <xdr:rowOff>68580</xdr:rowOff>
    </xdr:from>
    <xdr:to>
      <xdr:col>15</xdr:col>
      <xdr:colOff>403860</xdr:colOff>
      <xdr:row>20</xdr:row>
      <xdr:rowOff>45720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8295E28-5042-4A7C-870B-07AD0A3B2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3AC3-02E5-4384-93DE-49C09E788080}">
  <dimension ref="A1:Q8"/>
  <sheetViews>
    <sheetView tabSelected="1" workbookViewId="0">
      <pane ySplit="2" topLeftCell="A3" activePane="bottomLeft" state="frozen"/>
      <selection pane="bottomLeft" activeCell="E12" sqref="E12"/>
    </sheetView>
  </sheetViews>
  <sheetFormatPr defaultRowHeight="20" customHeight="1" x14ac:dyDescent="0.4"/>
  <cols>
    <col min="1" max="1" width="11.6640625" bestFit="1" customWidth="1"/>
    <col min="2" max="4" width="5.53125" bestFit="1" customWidth="1"/>
    <col min="5" max="9" width="6.53125" bestFit="1" customWidth="1"/>
    <col min="10" max="11" width="12.86328125" bestFit="1" customWidth="1"/>
    <col min="12" max="12" width="12.19921875" bestFit="1" customWidth="1"/>
    <col min="13" max="14" width="13.33203125" bestFit="1" customWidth="1"/>
    <col min="15" max="15" width="9.19921875" bestFit="1" customWidth="1"/>
  </cols>
  <sheetData>
    <row r="1" spans="1:17" ht="20" customHeight="1" x14ac:dyDescent="0.4">
      <c r="A1" s="186" t="s">
        <v>9</v>
      </c>
      <c r="B1" s="186" t="s">
        <v>15</v>
      </c>
      <c r="C1" s="186"/>
      <c r="D1" s="186"/>
      <c r="E1" s="186"/>
      <c r="F1" s="186"/>
      <c r="G1" s="186"/>
      <c r="H1" s="186"/>
      <c r="I1" s="186"/>
    </row>
    <row r="2" spans="1:17" ht="20" customHeight="1" x14ac:dyDescent="0.4">
      <c r="A2" s="186"/>
      <c r="B2" s="85">
        <v>2018</v>
      </c>
      <c r="C2" s="85">
        <v>2019</v>
      </c>
      <c r="D2" s="85">
        <v>2020</v>
      </c>
      <c r="E2" s="85" t="s">
        <v>10</v>
      </c>
      <c r="F2" s="85" t="s">
        <v>11</v>
      </c>
      <c r="G2" s="85" t="s">
        <v>12</v>
      </c>
      <c r="H2" s="85" t="s">
        <v>13</v>
      </c>
      <c r="I2" s="85" t="s">
        <v>14</v>
      </c>
      <c r="J2" s="85" t="s">
        <v>65</v>
      </c>
      <c r="K2" s="85" t="s">
        <v>66</v>
      </c>
      <c r="L2" s="85" t="s">
        <v>67</v>
      </c>
      <c r="M2" s="85" t="s">
        <v>68</v>
      </c>
      <c r="N2" s="85" t="s">
        <v>69</v>
      </c>
    </row>
    <row r="3" spans="1:17" ht="20" customHeight="1" x14ac:dyDescent="0.4">
      <c r="A3" s="1" t="s">
        <v>0</v>
      </c>
      <c r="B3" s="85">
        <v>0.5</v>
      </c>
      <c r="C3" s="85">
        <v>0.7</v>
      </c>
      <c r="D3" s="85">
        <v>1</v>
      </c>
      <c r="E3" s="85">
        <v>3.4</v>
      </c>
      <c r="F3" s="85">
        <v>6.8</v>
      </c>
      <c r="G3" s="85">
        <v>34</v>
      </c>
      <c r="H3" s="85">
        <v>102</v>
      </c>
      <c r="I3" s="85">
        <v>204</v>
      </c>
    </row>
    <row r="4" spans="1:17" ht="20" customHeight="1" x14ac:dyDescent="0.4">
      <c r="A4" s="1" t="s">
        <v>15</v>
      </c>
      <c r="B4" s="85"/>
      <c r="C4" s="85"/>
      <c r="D4" s="85"/>
      <c r="E4" s="85">
        <v>1</v>
      </c>
      <c r="F4" s="85">
        <v>2</v>
      </c>
      <c r="G4" s="85">
        <v>3</v>
      </c>
      <c r="H4" s="85">
        <v>4</v>
      </c>
      <c r="I4" s="85">
        <v>5</v>
      </c>
      <c r="J4" s="85">
        <v>6</v>
      </c>
      <c r="K4" s="85">
        <v>7</v>
      </c>
      <c r="L4" s="85">
        <v>8</v>
      </c>
      <c r="M4" s="85">
        <v>9</v>
      </c>
      <c r="N4" s="85">
        <v>10</v>
      </c>
    </row>
    <row r="5" spans="1:17" s="106" customFormat="1" ht="20" customHeight="1" x14ac:dyDescent="0.4">
      <c r="A5" s="108" t="s">
        <v>76</v>
      </c>
      <c r="B5" s="109"/>
      <c r="C5" s="109"/>
      <c r="D5" s="109"/>
      <c r="E5" s="109"/>
      <c r="F5" s="109"/>
      <c r="G5" s="109"/>
      <c r="H5" s="109"/>
      <c r="I5" s="109"/>
      <c r="J5" s="109">
        <v>323.55700000000002</v>
      </c>
      <c r="K5" s="109">
        <v>487.81099999999998</v>
      </c>
      <c r="L5" s="109">
        <v>703.20500000000004</v>
      </c>
      <c r="M5" s="109">
        <v>985.66099999999994</v>
      </c>
      <c r="N5" s="109">
        <v>1356.058</v>
      </c>
    </row>
    <row r="6" spans="1:17" s="106" customFormat="1" ht="20" customHeight="1" x14ac:dyDescent="0.4">
      <c r="A6" s="106" t="s">
        <v>75</v>
      </c>
      <c r="J6" s="110">
        <f>1.0544*EXP(1.0897*J4)</f>
        <v>728.63424514438827</v>
      </c>
      <c r="K6" s="110">
        <f t="shared" ref="K6:N6" si="0">1.0544*EXP(1.0897*K4)</f>
        <v>2166.5078938437555</v>
      </c>
      <c r="L6" s="110">
        <f t="shared" si="0"/>
        <v>6441.855410127172</v>
      </c>
      <c r="M6" s="110">
        <f t="shared" si="0"/>
        <v>19154.09643459045</v>
      </c>
      <c r="N6" s="110">
        <f t="shared" si="0"/>
        <v>56952.44411242495</v>
      </c>
      <c r="P6" s="107"/>
      <c r="Q6" s="107"/>
    </row>
    <row r="7" spans="1:17" s="106" customFormat="1" ht="20" customHeight="1" x14ac:dyDescent="0.4">
      <c r="A7" s="108" t="s">
        <v>77</v>
      </c>
      <c r="J7" s="106">
        <f>49.64*J4-78.88</f>
        <v>218.96000000000004</v>
      </c>
      <c r="K7" s="106">
        <f t="shared" ref="K7:N7" si="1">49.64*K4-78.88</f>
        <v>268.60000000000002</v>
      </c>
      <c r="L7" s="106">
        <f t="shared" si="1"/>
        <v>318.24</v>
      </c>
      <c r="M7" s="106">
        <f t="shared" si="1"/>
        <v>367.88</v>
      </c>
      <c r="N7" s="106">
        <f t="shared" si="1"/>
        <v>417.52</v>
      </c>
    </row>
    <row r="8" spans="1:17" ht="20" customHeight="1" x14ac:dyDescent="0.4">
      <c r="A8" t="s">
        <v>78</v>
      </c>
      <c r="J8" s="78">
        <f>17*J4^2-52.36*J4+40.12</f>
        <v>337.96000000000004</v>
      </c>
      <c r="K8" s="78">
        <f>17*K4^2-52.36*K4+40.12</f>
        <v>506.6</v>
      </c>
      <c r="L8" s="78">
        <f>17*L4^2-52.36*L4+40.12</f>
        <v>709.24</v>
      </c>
      <c r="M8" s="78">
        <f>17*M4^2-52.36*M4+40.12</f>
        <v>945.88</v>
      </c>
      <c r="N8" s="78">
        <f>17*N4^2-52.36*N4+40.12</f>
        <v>1216.52</v>
      </c>
    </row>
  </sheetData>
  <mergeCells count="2">
    <mergeCell ref="A1:A2"/>
    <mergeCell ref="B1:I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pane ySplit="2" topLeftCell="A33" activePane="bottomLeft" state="frozen"/>
      <selection pane="bottomLeft" activeCell="B51" sqref="B51"/>
    </sheetView>
  </sheetViews>
  <sheetFormatPr defaultRowHeight="20" customHeight="1" x14ac:dyDescent="0.4"/>
  <cols>
    <col min="1" max="1" width="50.1328125" bestFit="1" customWidth="1"/>
    <col min="2" max="2" width="7" bestFit="1" customWidth="1"/>
    <col min="3" max="3" width="5.53125" bestFit="1" customWidth="1"/>
    <col min="4" max="4" width="9.53125" bestFit="1" customWidth="1"/>
    <col min="5" max="6" width="7" bestFit="1" customWidth="1"/>
    <col min="7" max="9" width="6.53125" bestFit="1" customWidth="1"/>
    <col min="10" max="12" width="7" bestFit="1" customWidth="1"/>
    <col min="13" max="13" width="7.53125" bestFit="1" customWidth="1"/>
    <col min="14" max="14" width="9.53125" bestFit="1" customWidth="1"/>
    <col min="15" max="15" width="9.19921875" bestFit="1" customWidth="1"/>
  </cols>
  <sheetData>
    <row r="1" spans="1:14" ht="20" customHeight="1" x14ac:dyDescent="0.4">
      <c r="A1" s="186" t="s">
        <v>9</v>
      </c>
      <c r="B1" s="186" t="s">
        <v>15</v>
      </c>
      <c r="C1" s="186"/>
      <c r="D1" s="186"/>
      <c r="E1" s="186"/>
      <c r="F1" s="186"/>
      <c r="G1" s="186"/>
      <c r="H1" s="186"/>
      <c r="I1" s="186"/>
      <c r="J1" s="105"/>
      <c r="K1" s="105"/>
      <c r="L1" s="105"/>
      <c r="M1" s="105"/>
      <c r="N1" s="105"/>
    </row>
    <row r="2" spans="1:14" ht="20" customHeight="1" x14ac:dyDescent="0.4">
      <c r="A2" s="186"/>
      <c r="B2" s="85">
        <v>2018</v>
      </c>
      <c r="C2" s="85">
        <v>2019</v>
      </c>
      <c r="D2" s="85">
        <v>2020</v>
      </c>
      <c r="E2" s="85" t="s">
        <v>10</v>
      </c>
      <c r="F2" s="85" t="s">
        <v>11</v>
      </c>
      <c r="G2" s="85" t="s">
        <v>12</v>
      </c>
      <c r="H2" s="85" t="s">
        <v>13</v>
      </c>
      <c r="I2" s="85" t="s">
        <v>14</v>
      </c>
      <c r="J2" s="85" t="s">
        <v>65</v>
      </c>
      <c r="K2" s="85" t="s">
        <v>66</v>
      </c>
      <c r="L2" s="85" t="s">
        <v>67</v>
      </c>
      <c r="M2" s="85" t="s">
        <v>68</v>
      </c>
      <c r="N2" s="85" t="s">
        <v>69</v>
      </c>
    </row>
    <row r="3" spans="1:14" ht="20" customHeight="1" x14ac:dyDescent="0.4">
      <c r="A3" s="1" t="s">
        <v>0</v>
      </c>
      <c r="B3" s="85">
        <v>0.5</v>
      </c>
      <c r="C3" s="85">
        <v>0.7</v>
      </c>
      <c r="D3" s="85">
        <v>1</v>
      </c>
      <c r="E3" s="85">
        <v>3.4</v>
      </c>
      <c r="F3" s="85">
        <v>6.8</v>
      </c>
      <c r="G3" s="85">
        <v>34</v>
      </c>
      <c r="H3" s="85">
        <v>102</v>
      </c>
      <c r="I3" s="85">
        <v>204</v>
      </c>
      <c r="J3" s="85">
        <v>337.96000000000004</v>
      </c>
      <c r="K3" s="85">
        <v>506.6</v>
      </c>
      <c r="L3" s="85">
        <v>709.24</v>
      </c>
      <c r="M3" s="85">
        <v>945.88</v>
      </c>
      <c r="N3" s="85">
        <v>1216.52</v>
      </c>
    </row>
    <row r="4" spans="1:14" ht="20" customHeight="1" x14ac:dyDescent="0.4">
      <c r="A4" s="1" t="s">
        <v>16</v>
      </c>
      <c r="B4" s="85">
        <v>0.2</v>
      </c>
      <c r="C4" s="85">
        <v>0.3</v>
      </c>
      <c r="D4" s="85">
        <v>0.4</v>
      </c>
      <c r="E4" s="85">
        <v>1.4</v>
      </c>
      <c r="F4" s="85">
        <v>2.4</v>
      </c>
      <c r="G4" s="85">
        <v>11.9</v>
      </c>
      <c r="H4" s="85">
        <v>30.6</v>
      </c>
      <c r="I4" s="85">
        <v>61.2</v>
      </c>
      <c r="J4" s="105"/>
      <c r="K4" s="105"/>
      <c r="L4" s="105"/>
      <c r="M4" s="105"/>
      <c r="N4" s="105"/>
    </row>
    <row r="5" spans="1:14" ht="20" customHeight="1" x14ac:dyDescent="0.4">
      <c r="A5" s="1" t="s">
        <v>17</v>
      </c>
      <c r="B5" s="85">
        <v>0.2</v>
      </c>
      <c r="C5" s="85">
        <v>0.3</v>
      </c>
      <c r="D5" s="85">
        <v>0.5</v>
      </c>
      <c r="E5" s="85">
        <v>1.7</v>
      </c>
      <c r="F5" s="85">
        <v>3.7</v>
      </c>
      <c r="G5" s="85">
        <v>18.7</v>
      </c>
      <c r="H5" s="85">
        <v>61.2</v>
      </c>
      <c r="I5" s="85">
        <v>122.4</v>
      </c>
      <c r="J5" s="105"/>
      <c r="K5" s="105"/>
      <c r="L5" s="105"/>
      <c r="M5" s="105"/>
      <c r="N5" s="105"/>
    </row>
    <row r="6" spans="1:14" ht="20" customHeight="1" x14ac:dyDescent="0.4">
      <c r="A6" s="1" t="s">
        <v>18</v>
      </c>
      <c r="B6" s="85">
        <v>0</v>
      </c>
      <c r="C6" s="85">
        <v>0.1</v>
      </c>
      <c r="D6" s="85">
        <v>0.1</v>
      </c>
      <c r="E6" s="85">
        <v>0.3</v>
      </c>
      <c r="F6" s="85">
        <v>0.7</v>
      </c>
      <c r="G6" s="85">
        <v>3.4</v>
      </c>
      <c r="H6" s="85">
        <v>10.199999999999999</v>
      </c>
      <c r="I6" s="85">
        <v>20.399999999999999</v>
      </c>
      <c r="J6" s="105"/>
      <c r="K6" s="105"/>
      <c r="L6" s="105"/>
      <c r="M6" s="105"/>
      <c r="N6" s="105"/>
    </row>
    <row r="7" spans="1:14" ht="20" customHeight="1" x14ac:dyDescent="0.4">
      <c r="A7" s="1" t="s">
        <v>1</v>
      </c>
      <c r="B7" s="85">
        <v>0.3</v>
      </c>
      <c r="C7" s="85">
        <v>0.5</v>
      </c>
      <c r="D7" s="85">
        <v>0.7</v>
      </c>
      <c r="E7" s="85">
        <v>0.8</v>
      </c>
      <c r="F7" s="85">
        <v>4.5</v>
      </c>
      <c r="G7" s="85">
        <v>16.7</v>
      </c>
      <c r="H7" s="85">
        <v>54.4</v>
      </c>
      <c r="I7" s="85">
        <v>112.2</v>
      </c>
      <c r="J7" s="105"/>
      <c r="K7" s="105"/>
      <c r="L7" s="105"/>
      <c r="M7" s="105"/>
      <c r="N7" s="105"/>
    </row>
    <row r="8" spans="1:14" ht="20" customHeight="1" x14ac:dyDescent="0.4">
      <c r="A8" s="1" t="s">
        <v>19</v>
      </c>
      <c r="B8" s="85">
        <v>5.4</v>
      </c>
      <c r="C8" s="85">
        <v>7.5</v>
      </c>
      <c r="D8" s="85">
        <v>9.5</v>
      </c>
      <c r="E8" s="85">
        <v>11.6</v>
      </c>
      <c r="F8" s="85">
        <v>13.6</v>
      </c>
      <c r="G8" s="85">
        <v>15.6</v>
      </c>
      <c r="H8" s="85">
        <v>17.7</v>
      </c>
      <c r="I8" s="85">
        <v>19.7</v>
      </c>
      <c r="J8" s="105"/>
      <c r="K8" s="105"/>
      <c r="L8" s="105"/>
      <c r="M8" s="105"/>
      <c r="N8" s="105"/>
    </row>
    <row r="9" spans="1:14" ht="20" customHeight="1" x14ac:dyDescent="0.4">
      <c r="A9" s="1" t="s">
        <v>20</v>
      </c>
      <c r="B9" s="85">
        <v>2.2000000000000002</v>
      </c>
      <c r="C9" s="85">
        <v>3</v>
      </c>
      <c r="D9" s="85">
        <v>3.8</v>
      </c>
      <c r="E9" s="85">
        <v>4.5999999999999996</v>
      </c>
      <c r="F9" s="85">
        <v>5.4</v>
      </c>
      <c r="G9" s="85">
        <v>6.3</v>
      </c>
      <c r="H9" s="85">
        <v>7.1</v>
      </c>
      <c r="I9" s="85">
        <v>7.9</v>
      </c>
      <c r="J9" s="105"/>
      <c r="K9" s="105"/>
      <c r="L9" s="105"/>
      <c r="M9" s="105"/>
      <c r="N9" s="105"/>
    </row>
    <row r="10" spans="1:14" ht="20" customHeight="1" x14ac:dyDescent="0.4">
      <c r="A10" s="1" t="s">
        <v>21</v>
      </c>
      <c r="B10" s="85">
        <v>1.6</v>
      </c>
      <c r="C10" s="85">
        <v>2.2000000000000002</v>
      </c>
      <c r="D10" s="85">
        <v>2.9</v>
      </c>
      <c r="E10" s="85">
        <v>3.5</v>
      </c>
      <c r="F10" s="85">
        <v>4.0999999999999996</v>
      </c>
      <c r="G10" s="85">
        <v>4.7</v>
      </c>
      <c r="H10" s="85">
        <v>5.3</v>
      </c>
      <c r="I10" s="85">
        <v>5.9</v>
      </c>
      <c r="J10" s="105"/>
      <c r="K10" s="105"/>
      <c r="L10" s="105"/>
      <c r="M10" s="105"/>
      <c r="N10" s="105"/>
    </row>
    <row r="11" spans="1:14" ht="20" customHeight="1" x14ac:dyDescent="0.4">
      <c r="A11" s="1" t="s">
        <v>22</v>
      </c>
      <c r="B11" s="85">
        <v>1.1000000000000001</v>
      </c>
      <c r="C11" s="85">
        <v>1.5</v>
      </c>
      <c r="D11" s="85">
        <v>1.9</v>
      </c>
      <c r="E11" s="85">
        <v>2.2999999999999998</v>
      </c>
      <c r="F11" s="85">
        <v>2.7</v>
      </c>
      <c r="G11" s="85">
        <v>3.1</v>
      </c>
      <c r="H11" s="85">
        <v>3.5</v>
      </c>
      <c r="I11" s="85">
        <v>3.9</v>
      </c>
      <c r="J11" s="105"/>
      <c r="K11" s="105"/>
      <c r="L11" s="105"/>
      <c r="M11" s="105"/>
      <c r="N11" s="105"/>
    </row>
    <row r="12" spans="1:14" ht="20" customHeight="1" x14ac:dyDescent="0.4">
      <c r="A12" s="1" t="s">
        <v>90</v>
      </c>
      <c r="B12" s="85">
        <v>0.5</v>
      </c>
      <c r="C12" s="85">
        <v>0.7</v>
      </c>
      <c r="D12" s="85">
        <v>1</v>
      </c>
      <c r="E12" s="85">
        <v>1.2</v>
      </c>
      <c r="F12" s="85">
        <v>1.4</v>
      </c>
      <c r="G12" s="85">
        <v>1.6</v>
      </c>
      <c r="H12" s="85">
        <v>1.8</v>
      </c>
      <c r="I12" s="85">
        <v>2</v>
      </c>
      <c r="J12" s="105"/>
      <c r="K12" s="105"/>
      <c r="L12" s="105"/>
      <c r="M12" s="105"/>
      <c r="N12" s="105"/>
    </row>
    <row r="13" spans="1:14" ht="20" customHeight="1" x14ac:dyDescent="0.4">
      <c r="A13" s="1" t="s">
        <v>2</v>
      </c>
      <c r="B13" s="85">
        <v>0.3</v>
      </c>
      <c r="C13" s="85">
        <v>0.7</v>
      </c>
      <c r="D13" s="85">
        <v>1</v>
      </c>
      <c r="E13" s="85">
        <v>2</v>
      </c>
      <c r="F13" s="85">
        <v>3.1</v>
      </c>
      <c r="G13" s="85">
        <v>4.4000000000000004</v>
      </c>
      <c r="H13" s="85">
        <v>5.8</v>
      </c>
      <c r="I13" s="85">
        <v>10.5</v>
      </c>
      <c r="J13" s="105"/>
      <c r="K13" s="105"/>
      <c r="L13" s="105"/>
      <c r="M13" s="105"/>
      <c r="N13" s="105"/>
    </row>
    <row r="14" spans="1:14" ht="20" customHeight="1" x14ac:dyDescent="0.4">
      <c r="A14" s="1" t="s">
        <v>3</v>
      </c>
      <c r="B14" s="85">
        <v>0</v>
      </c>
      <c r="C14" s="85">
        <v>0</v>
      </c>
      <c r="D14" s="85">
        <v>0.1</v>
      </c>
      <c r="E14" s="85">
        <v>0.3</v>
      </c>
      <c r="F14" s="85">
        <v>0.7</v>
      </c>
      <c r="G14" s="85">
        <v>3.7</v>
      </c>
      <c r="H14" s="85">
        <v>6.8</v>
      </c>
      <c r="I14" s="85">
        <v>13.6</v>
      </c>
      <c r="J14" s="105"/>
      <c r="K14" s="105"/>
      <c r="L14" s="105"/>
      <c r="M14" s="105"/>
      <c r="N14" s="105"/>
    </row>
    <row r="15" spans="1:14" ht="20" customHeight="1" x14ac:dyDescent="0.4">
      <c r="A15" s="1" t="s">
        <v>4</v>
      </c>
      <c r="B15" s="85">
        <v>-5.7</v>
      </c>
      <c r="C15" s="85">
        <v>-8</v>
      </c>
      <c r="D15" s="85">
        <v>-10.3</v>
      </c>
      <c r="E15" s="85">
        <v>-11.3</v>
      </c>
      <c r="F15" s="85">
        <v>-15.1</v>
      </c>
      <c r="G15" s="85">
        <v>-6.5</v>
      </c>
      <c r="H15" s="85">
        <v>17.3</v>
      </c>
      <c r="I15" s="85">
        <v>47.9</v>
      </c>
      <c r="J15" s="105"/>
      <c r="K15" s="105"/>
      <c r="L15" s="105"/>
      <c r="M15" s="105"/>
      <c r="N15" s="105"/>
    </row>
    <row r="16" spans="1:14" ht="20" customHeight="1" x14ac:dyDescent="0.4">
      <c r="A16" s="1" t="s">
        <v>5</v>
      </c>
      <c r="B16" s="85">
        <v>0</v>
      </c>
      <c r="C16" s="85">
        <v>0</v>
      </c>
      <c r="D16" s="85">
        <v>0</v>
      </c>
      <c r="E16" s="85">
        <v>0</v>
      </c>
      <c r="F16" s="85">
        <v>0</v>
      </c>
      <c r="G16" s="85">
        <v>0</v>
      </c>
      <c r="H16" s="85">
        <v>2.6</v>
      </c>
      <c r="I16" s="85">
        <v>7.2</v>
      </c>
      <c r="J16" s="105"/>
      <c r="K16" s="105"/>
      <c r="L16" s="105"/>
      <c r="M16" s="105"/>
      <c r="N16" s="105"/>
    </row>
    <row r="17" spans="1:14" ht="20" customHeight="1" x14ac:dyDescent="0.4">
      <c r="A17" s="1" t="s">
        <v>6</v>
      </c>
      <c r="B17" s="85">
        <v>-5.7</v>
      </c>
      <c r="C17" s="85">
        <v>-8</v>
      </c>
      <c r="D17" s="85">
        <v>-10.3</v>
      </c>
      <c r="E17" s="85">
        <v>-11.3</v>
      </c>
      <c r="F17" s="85">
        <v>-15.1</v>
      </c>
      <c r="G17" s="85">
        <v>-6.5</v>
      </c>
      <c r="H17" s="85">
        <v>14.7</v>
      </c>
      <c r="I17" s="85">
        <v>40.700000000000003</v>
      </c>
      <c r="J17" s="105"/>
      <c r="K17" s="105"/>
      <c r="L17" s="105"/>
      <c r="M17" s="105"/>
      <c r="N17" s="105"/>
    </row>
    <row r="18" spans="1:14" ht="20" customHeight="1" x14ac:dyDescent="0.4">
      <c r="A18" s="1" t="s">
        <v>7</v>
      </c>
      <c r="B18" s="85">
        <v>0.6</v>
      </c>
      <c r="C18" s="85">
        <v>0.9</v>
      </c>
      <c r="D18" s="85">
        <v>2.5</v>
      </c>
      <c r="E18" s="85">
        <v>4.2</v>
      </c>
      <c r="F18" s="85">
        <v>4.4000000000000004</v>
      </c>
      <c r="G18" s="85">
        <v>3.4</v>
      </c>
      <c r="H18" s="85">
        <v>8.1999999999999993</v>
      </c>
      <c r="I18" s="85">
        <v>16.3</v>
      </c>
      <c r="J18" s="105"/>
      <c r="K18" s="105"/>
      <c r="L18" s="105"/>
      <c r="M18" s="105"/>
      <c r="N18" s="105"/>
    </row>
    <row r="19" spans="1:14" ht="20" customHeight="1" x14ac:dyDescent="0.4">
      <c r="A19" s="1" t="s">
        <v>8</v>
      </c>
      <c r="B19" s="85">
        <v>0</v>
      </c>
      <c r="C19" s="85">
        <v>0</v>
      </c>
      <c r="D19" s="85">
        <v>0</v>
      </c>
      <c r="E19" s="85">
        <v>0.1</v>
      </c>
      <c r="F19" s="85">
        <v>0.4</v>
      </c>
      <c r="G19" s="85">
        <v>2.1</v>
      </c>
      <c r="H19" s="85">
        <v>6.3</v>
      </c>
      <c r="I19" s="85">
        <v>12.9</v>
      </c>
      <c r="J19" s="105"/>
      <c r="K19" s="105"/>
      <c r="L19" s="105"/>
      <c r="M19" s="105"/>
      <c r="N19" s="105"/>
    </row>
    <row r="20" spans="1:14" ht="20" customHeight="1" x14ac:dyDescent="0.4">
      <c r="A20" s="2"/>
    </row>
    <row r="21" spans="1:14" ht="20" customHeight="1" x14ac:dyDescent="0.4">
      <c r="A21" s="1" t="s">
        <v>23</v>
      </c>
      <c r="B21">
        <f>B15+B14</f>
        <v>-5.7</v>
      </c>
      <c r="C21">
        <f t="shared" ref="C21:I21" si="0">C15+C14</f>
        <v>-8</v>
      </c>
      <c r="D21">
        <f t="shared" si="0"/>
        <v>-10.200000000000001</v>
      </c>
      <c r="E21">
        <f t="shared" si="0"/>
        <v>-11</v>
      </c>
      <c r="F21">
        <f t="shared" si="0"/>
        <v>-14.4</v>
      </c>
      <c r="G21">
        <f t="shared" si="0"/>
        <v>-2.8</v>
      </c>
      <c r="H21">
        <f t="shared" si="0"/>
        <v>24.1</v>
      </c>
      <c r="I21">
        <f t="shared" si="0"/>
        <v>61.5</v>
      </c>
    </row>
    <row r="22" spans="1:14" ht="20" customHeight="1" x14ac:dyDescent="0.4">
      <c r="A22" s="3" t="s">
        <v>24</v>
      </c>
      <c r="B22">
        <f>-B16</f>
        <v>0</v>
      </c>
      <c r="C22">
        <f t="shared" ref="C22:I22" si="1">-C16</f>
        <v>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-2.6</v>
      </c>
      <c r="I22">
        <f t="shared" si="1"/>
        <v>-7.2</v>
      </c>
    </row>
    <row r="23" spans="1:14" ht="20" customHeight="1" x14ac:dyDescent="0.4">
      <c r="A23" s="4" t="s">
        <v>25</v>
      </c>
      <c r="B23">
        <f>B12</f>
        <v>0.5</v>
      </c>
      <c r="C23">
        <f t="shared" ref="C23:I23" si="2">C12</f>
        <v>0.7</v>
      </c>
      <c r="D23">
        <f t="shared" si="2"/>
        <v>1</v>
      </c>
      <c r="E23">
        <f t="shared" si="2"/>
        <v>1.2</v>
      </c>
      <c r="F23">
        <f t="shared" si="2"/>
        <v>1.4</v>
      </c>
      <c r="G23">
        <f t="shared" si="2"/>
        <v>1.6</v>
      </c>
      <c r="H23">
        <f t="shared" si="2"/>
        <v>1.8</v>
      </c>
      <c r="I23">
        <f t="shared" si="2"/>
        <v>2</v>
      </c>
    </row>
    <row r="24" spans="1:14" ht="20" customHeight="1" x14ac:dyDescent="0.4">
      <c r="A24" s="3" t="s">
        <v>26</v>
      </c>
      <c r="B24">
        <f>-B19</f>
        <v>0</v>
      </c>
      <c r="C24">
        <f t="shared" ref="C24:I24" si="3">-C19</f>
        <v>0</v>
      </c>
      <c r="D24">
        <f t="shared" si="3"/>
        <v>0</v>
      </c>
      <c r="E24">
        <f t="shared" si="3"/>
        <v>-0.1</v>
      </c>
      <c r="F24">
        <f t="shared" si="3"/>
        <v>-0.4</v>
      </c>
      <c r="G24">
        <f t="shared" si="3"/>
        <v>-2.1</v>
      </c>
      <c r="H24">
        <f t="shared" si="3"/>
        <v>-6.3</v>
      </c>
      <c r="I24">
        <f t="shared" si="3"/>
        <v>-12.9</v>
      </c>
    </row>
    <row r="25" spans="1:14" ht="20" customHeight="1" x14ac:dyDescent="0.4">
      <c r="A25" s="3" t="s">
        <v>27</v>
      </c>
      <c r="B25">
        <f>-B18</f>
        <v>-0.6</v>
      </c>
      <c r="C25">
        <f t="shared" ref="C25:I25" si="4">-C18</f>
        <v>-0.9</v>
      </c>
      <c r="D25">
        <f t="shared" si="4"/>
        <v>-2.5</v>
      </c>
      <c r="E25">
        <f t="shared" si="4"/>
        <v>-4.2</v>
      </c>
      <c r="F25">
        <f t="shared" si="4"/>
        <v>-4.4000000000000004</v>
      </c>
      <c r="G25">
        <f t="shared" si="4"/>
        <v>-3.4</v>
      </c>
      <c r="H25">
        <f t="shared" si="4"/>
        <v>-8.1999999999999993</v>
      </c>
      <c r="I25">
        <f t="shared" si="4"/>
        <v>-16.3</v>
      </c>
    </row>
    <row r="26" spans="1:14" ht="20" customHeight="1" x14ac:dyDescent="0.4">
      <c r="A26" s="93" t="s">
        <v>87</v>
      </c>
      <c r="B26" s="93">
        <f>SUM(B21:B25)</f>
        <v>-5.8</v>
      </c>
      <c r="C26" s="93">
        <f t="shared" ref="C26:I26" si="5">SUM(C21:C25)</f>
        <v>-8.1999999999999993</v>
      </c>
      <c r="D26" s="93">
        <f t="shared" si="5"/>
        <v>-11.700000000000001</v>
      </c>
      <c r="E26" s="93">
        <f t="shared" si="5"/>
        <v>-14.100000000000001</v>
      </c>
      <c r="F26" s="93">
        <f t="shared" si="5"/>
        <v>-17.8</v>
      </c>
      <c r="G26" s="93">
        <f t="shared" si="5"/>
        <v>-6.6999999999999993</v>
      </c>
      <c r="H26" s="93">
        <f t="shared" si="5"/>
        <v>8.8000000000000007</v>
      </c>
      <c r="I26" s="93">
        <f t="shared" si="5"/>
        <v>27.099999999999998</v>
      </c>
      <c r="J26" s="93"/>
      <c r="K26" s="93"/>
      <c r="L26" s="93"/>
      <c r="M26" s="93"/>
      <c r="N26" s="93"/>
    </row>
    <row r="28" spans="1:14" ht="20" customHeight="1" x14ac:dyDescent="0.4">
      <c r="A28" s="2" t="s">
        <v>88</v>
      </c>
      <c r="J28" s="73">
        <f>J3/I3-1</f>
        <v>0.65666666666666695</v>
      </c>
      <c r="K28" s="73">
        <f t="shared" ref="K28:N28" si="6">K3/J3-1</f>
        <v>0.49899396378269611</v>
      </c>
      <c r="L28" s="73">
        <f t="shared" si="6"/>
        <v>0.39999999999999991</v>
      </c>
      <c r="M28" s="73">
        <f t="shared" si="6"/>
        <v>0.33365292425695103</v>
      </c>
      <c r="N28" s="73">
        <f t="shared" si="6"/>
        <v>0.28612508986340757</v>
      </c>
    </row>
    <row r="29" spans="1:14" ht="20" customHeight="1" x14ac:dyDescent="0.4">
      <c r="A29" s="2" t="s">
        <v>71</v>
      </c>
      <c r="E29">
        <f>E26</f>
        <v>-14.100000000000001</v>
      </c>
      <c r="F29">
        <f>F26</f>
        <v>-17.8</v>
      </c>
      <c r="G29">
        <f t="shared" ref="G29:I29" si="7">G26</f>
        <v>-6.6999999999999993</v>
      </c>
      <c r="H29">
        <f t="shared" si="7"/>
        <v>8.8000000000000007</v>
      </c>
      <c r="I29">
        <f t="shared" si="7"/>
        <v>27.099999999999998</v>
      </c>
      <c r="J29" s="90">
        <f>I29*(1+J28)</f>
        <v>44.895666666666671</v>
      </c>
      <c r="K29" s="90">
        <f t="shared" ref="K29:N29" si="8">J29*(1+K28)</f>
        <v>67.298333333333332</v>
      </c>
      <c r="L29" s="90">
        <f t="shared" si="8"/>
        <v>94.217666666666659</v>
      </c>
      <c r="M29" s="90">
        <f t="shared" si="8"/>
        <v>125.65366666666665</v>
      </c>
      <c r="N29" s="90">
        <f t="shared" si="8"/>
        <v>161.60633333333331</v>
      </c>
    </row>
    <row r="30" spans="1:14" ht="20" customHeight="1" x14ac:dyDescent="0.4">
      <c r="A30" s="2"/>
      <c r="J30" s="90"/>
      <c r="K30" s="90"/>
      <c r="L30" s="90"/>
      <c r="M30" s="90"/>
      <c r="N30" s="90"/>
    </row>
    <row r="31" spans="1:14" ht="20" customHeight="1" x14ac:dyDescent="0.4">
      <c r="A31" s="94" t="s">
        <v>63</v>
      </c>
      <c r="B31" s="91"/>
      <c r="C31" s="91"/>
      <c r="D31" s="91"/>
      <c r="E31" s="95">
        <f t="shared" ref="E31:N31" si="9">E29*E35</f>
        <v>-12.101419078340751</v>
      </c>
      <c r="F31" s="95">
        <f t="shared" si="9"/>
        <v>-13.111560374384613</v>
      </c>
      <c r="G31" s="95">
        <f t="shared" si="9"/>
        <v>-4.2357114589662244</v>
      </c>
      <c r="H31" s="95">
        <f t="shared" si="9"/>
        <v>4.77475866674021</v>
      </c>
      <c r="I31" s="95">
        <f t="shared" si="9"/>
        <v>12.619880217720921</v>
      </c>
      <c r="J31" s="95">
        <f t="shared" si="9"/>
        <v>17.943516368522978</v>
      </c>
      <c r="K31" s="95">
        <f t="shared" si="9"/>
        <v>23.084720868380462</v>
      </c>
      <c r="L31" s="95">
        <f t="shared" si="9"/>
        <v>27.737661996362139</v>
      </c>
      <c r="M31" s="95">
        <f t="shared" si="9"/>
        <v>31.748986165877167</v>
      </c>
      <c r="N31" s="95">
        <f t="shared" si="9"/>
        <v>35.045338614208738</v>
      </c>
    </row>
    <row r="32" spans="1:14" ht="20" customHeight="1" x14ac:dyDescent="0.4">
      <c r="A32" s="101" t="s">
        <v>61</v>
      </c>
      <c r="B32" s="101"/>
      <c r="C32" s="101"/>
      <c r="D32" s="136">
        <f>SUM(E31:N31)</f>
        <v>123.50617198612102</v>
      </c>
      <c r="E32" s="102"/>
      <c r="F32" s="102"/>
      <c r="G32" s="102"/>
      <c r="H32" s="102"/>
      <c r="I32" s="102"/>
      <c r="J32" s="102"/>
      <c r="K32" s="102"/>
      <c r="L32" s="102"/>
      <c r="M32" s="102"/>
      <c r="N32" s="103"/>
    </row>
    <row r="33" spans="1:17" ht="20" customHeight="1" x14ac:dyDescent="0.4">
      <c r="E33" s="78"/>
      <c r="F33" s="78"/>
      <c r="G33" s="78"/>
      <c r="H33" s="78"/>
      <c r="I33" s="78"/>
    </row>
    <row r="34" spans="1:17" ht="20" customHeight="1" x14ac:dyDescent="0.4">
      <c r="A34" t="s">
        <v>43</v>
      </c>
      <c r="B34" s="73">
        <f>WACC!C40</f>
        <v>0.16515260803060144</v>
      </c>
      <c r="E34" s="78"/>
      <c r="F34" s="78"/>
      <c r="G34" s="78"/>
      <c r="H34" s="78"/>
      <c r="I34" s="78"/>
    </row>
    <row r="35" spans="1:17" ht="20" customHeight="1" x14ac:dyDescent="0.4">
      <c r="A35" t="s">
        <v>58</v>
      </c>
      <c r="E35" s="78">
        <f>1/(1+$B$34)^E36</f>
        <v>0.85825667222274815</v>
      </c>
      <c r="F35" s="78">
        <f t="shared" ref="F35:N35" si="10">1/(1+$B$34)^F36</f>
        <v>0.73660451541486582</v>
      </c>
      <c r="G35" s="78">
        <f t="shared" si="10"/>
        <v>0.63219574014421265</v>
      </c>
      <c r="H35" s="78">
        <f t="shared" si="10"/>
        <v>0.54258621212956926</v>
      </c>
      <c r="I35" s="78">
        <f t="shared" si="10"/>
        <v>0.46567823681627019</v>
      </c>
      <c r="J35" s="78">
        <f>1/(1+$B$34)^J36</f>
        <v>0.39967145385648895</v>
      </c>
      <c r="K35" s="78">
        <f t="shared" si="10"/>
        <v>0.34302069196929785</v>
      </c>
      <c r="L35" s="78">
        <f t="shared" si="10"/>
        <v>0.29439979759311391</v>
      </c>
      <c r="M35" s="78">
        <f t="shared" si="10"/>
        <v>0.25267059058531655</v>
      </c>
      <c r="N35" s="78">
        <f t="shared" si="10"/>
        <v>0.21685622024431023</v>
      </c>
    </row>
    <row r="36" spans="1:17" ht="20" customHeight="1" x14ac:dyDescent="0.4">
      <c r="A36" t="s">
        <v>59</v>
      </c>
      <c r="E36">
        <v>1</v>
      </c>
      <c r="F36">
        <v>2</v>
      </c>
      <c r="G36">
        <v>3</v>
      </c>
      <c r="H36">
        <v>4</v>
      </c>
      <c r="I36">
        <v>5</v>
      </c>
      <c r="J36">
        <v>6</v>
      </c>
      <c r="K36">
        <v>7</v>
      </c>
      <c r="L36">
        <v>8</v>
      </c>
      <c r="M36">
        <v>9</v>
      </c>
      <c r="N36">
        <v>10</v>
      </c>
    </row>
    <row r="38" spans="1:17" ht="20" customHeight="1" x14ac:dyDescent="0.4">
      <c r="A38" t="s">
        <v>72</v>
      </c>
      <c r="B38" s="73">
        <f>CHOOSE($B$39,设置情景!G3,设置情景!G4)</f>
        <v>3.5099999999999999E-2</v>
      </c>
      <c r="P38" s="140"/>
      <c r="Q38" s="140"/>
    </row>
    <row r="39" spans="1:17" ht="20" customHeight="1" x14ac:dyDescent="0.4">
      <c r="A39" t="s">
        <v>83</v>
      </c>
      <c r="B39" s="142">
        <v>2</v>
      </c>
      <c r="P39" s="140"/>
      <c r="Q39" s="140"/>
    </row>
    <row r="40" spans="1:17" ht="20" customHeight="1" x14ac:dyDescent="0.4">
      <c r="B40" s="140"/>
      <c r="C40" s="140"/>
      <c r="P40" s="140"/>
      <c r="Q40" s="140"/>
    </row>
    <row r="41" spans="1:17" ht="20" customHeight="1" x14ac:dyDescent="0.4">
      <c r="A41" s="79" t="s">
        <v>73</v>
      </c>
      <c r="B41" s="80"/>
      <c r="C41" s="80"/>
      <c r="D41" s="80"/>
      <c r="E41" s="80"/>
      <c r="F41" s="80"/>
      <c r="G41" s="80"/>
      <c r="H41" s="80"/>
      <c r="J41" s="80"/>
      <c r="K41" s="80"/>
      <c r="L41" s="80"/>
      <c r="M41" s="80"/>
      <c r="N41" s="104">
        <f>N29*(1+B38)/(B34-B38)</f>
        <v>1286.2388395469357</v>
      </c>
      <c r="O41" s="80"/>
      <c r="P41" s="140"/>
      <c r="Q41" s="140"/>
    </row>
    <row r="42" spans="1:17" ht="20" customHeight="1" x14ac:dyDescent="0.4">
      <c r="A42" s="79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140"/>
      <c r="Q42" s="140"/>
    </row>
    <row r="43" spans="1:17" ht="20" customHeight="1" x14ac:dyDescent="0.4">
      <c r="A43" s="96" t="s">
        <v>74</v>
      </c>
      <c r="B43" s="97"/>
      <c r="C43" s="97"/>
      <c r="D43" s="135">
        <f>N41/(1+B34)^D44</f>
        <v>278.9288930755763</v>
      </c>
      <c r="E43" s="83"/>
      <c r="F43" s="83"/>
      <c r="G43" s="97"/>
      <c r="H43" s="97"/>
      <c r="I43" s="97"/>
      <c r="J43" s="97"/>
      <c r="K43" s="97"/>
      <c r="L43" s="97"/>
      <c r="M43" s="97"/>
      <c r="N43" s="97"/>
      <c r="O43" s="80"/>
      <c r="P43" s="140"/>
      <c r="Q43" s="141"/>
    </row>
    <row r="44" spans="1:17" ht="20" customHeight="1" x14ac:dyDescent="0.4">
      <c r="A44" s="79" t="s">
        <v>60</v>
      </c>
      <c r="B44" s="80"/>
      <c r="C44" s="80"/>
      <c r="D44" s="80">
        <v>10</v>
      </c>
      <c r="G44" s="80"/>
      <c r="H44" s="80"/>
      <c r="I44" s="80"/>
      <c r="J44" s="80"/>
      <c r="K44" s="80"/>
      <c r="L44" s="80"/>
      <c r="M44" s="80"/>
      <c r="N44" s="80"/>
      <c r="O44" s="80"/>
      <c r="P44" s="92"/>
      <c r="Q44" s="91"/>
    </row>
    <row r="45" spans="1:17" ht="20" customHeight="1" x14ac:dyDescent="0.4">
      <c r="A45" s="79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92"/>
      <c r="Q45" s="91"/>
    </row>
    <row r="46" spans="1:17" ht="20" customHeight="1" x14ac:dyDescent="0.4">
      <c r="A46" s="82"/>
      <c r="B46" s="80"/>
      <c r="C46" s="80"/>
      <c r="D46" s="80"/>
      <c r="E46" s="81"/>
      <c r="F46" s="81"/>
      <c r="G46" s="81"/>
      <c r="H46" s="80"/>
      <c r="I46" s="80"/>
      <c r="J46" s="80"/>
      <c r="K46" s="80"/>
      <c r="L46" s="80"/>
      <c r="M46" s="80"/>
      <c r="N46" s="80"/>
      <c r="O46" s="92"/>
      <c r="P46" s="92"/>
      <c r="Q46" s="91"/>
    </row>
    <row r="47" spans="1:17" ht="20" customHeight="1" x14ac:dyDescent="0.4">
      <c r="A47" s="98" t="s">
        <v>62</v>
      </c>
      <c r="B47" s="99"/>
      <c r="C47" s="99"/>
      <c r="D47" s="134">
        <f>D43+D32</f>
        <v>402.43506506169729</v>
      </c>
      <c r="E47" s="83"/>
      <c r="F47" s="99"/>
      <c r="G47" s="83"/>
      <c r="H47" s="100"/>
      <c r="I47" s="99"/>
      <c r="J47" s="99"/>
      <c r="K47" s="99"/>
      <c r="L47" s="99"/>
      <c r="M47" s="99"/>
      <c r="N47" s="99"/>
      <c r="O47" s="92"/>
      <c r="P47" s="92"/>
      <c r="Q47" s="91"/>
    </row>
    <row r="48" spans="1:17" ht="20" customHeight="1" x14ac:dyDescent="0.4">
      <c r="A48" s="147"/>
      <c r="B48" s="101"/>
      <c r="C48" s="101"/>
      <c r="D48" s="136"/>
      <c r="E48" s="83"/>
      <c r="F48" s="101"/>
      <c r="G48" s="83"/>
      <c r="H48" s="148"/>
      <c r="I48" s="101"/>
      <c r="J48" s="101"/>
      <c r="K48" s="101"/>
      <c r="L48" s="101"/>
      <c r="M48" s="101"/>
      <c r="N48" s="101"/>
      <c r="O48" s="92"/>
      <c r="P48" s="92"/>
      <c r="Q48" s="91"/>
    </row>
    <row r="49" spans="1:17" ht="20" customHeight="1" x14ac:dyDescent="0.4">
      <c r="A49" s="79" t="s">
        <v>89</v>
      </c>
      <c r="B49" s="80"/>
      <c r="C49" s="80"/>
      <c r="D49" s="146">
        <f>SUM(E31:G31)</f>
        <v>-29.448690911691589</v>
      </c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92"/>
      <c r="Q49" s="91"/>
    </row>
    <row r="50" spans="1:17" ht="20" customHeight="1" x14ac:dyDescent="0.4">
      <c r="P50" s="91"/>
      <c r="Q50" s="91"/>
    </row>
    <row r="51" spans="1:17" ht="20" customHeight="1" x14ac:dyDescent="0.4">
      <c r="P51" s="91"/>
      <c r="Q51" s="91"/>
    </row>
  </sheetData>
  <mergeCells count="2">
    <mergeCell ref="A1:A2"/>
    <mergeCell ref="B1:I1"/>
  </mergeCells>
  <phoneticPr fontId="1" type="noConversion"/>
  <dataValidations count="2">
    <dataValidation type="list" allowBlank="1" showInputMessage="1" showErrorMessage="1" sqref="Q38:Q40" xr:uid="{EC49D1BD-B6FB-41B7-9972-C23F1A94C39B}">
      <formula1>"1,2,3"</formula1>
    </dataValidation>
    <dataValidation type="list" allowBlank="1" showInputMessage="1" showErrorMessage="1" sqref="B39" xr:uid="{BA1BC2B3-38E1-4C19-A379-90540F210C6A}">
      <formula1>"1,2"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AA70-EFFB-4779-A10E-7EF4F445DE5F}">
  <dimension ref="B1:K34"/>
  <sheetViews>
    <sheetView zoomScaleNormal="100" workbookViewId="0">
      <selection activeCell="F28" sqref="F28:H29"/>
    </sheetView>
  </sheetViews>
  <sheetFormatPr defaultRowHeight="13.9" x14ac:dyDescent="0.4"/>
  <cols>
    <col min="1" max="1" width="2" customWidth="1"/>
    <col min="5" max="5" width="16.1328125" bestFit="1" customWidth="1"/>
    <col min="6" max="7" width="13" bestFit="1" customWidth="1"/>
    <col min="8" max="8" width="12.46484375" bestFit="1" customWidth="1"/>
    <col min="9" max="9" width="12.46484375" customWidth="1"/>
    <col min="10" max="10" width="10.33203125" customWidth="1"/>
    <col min="11" max="11" width="12.46484375" customWidth="1"/>
    <col min="16" max="16" width="16.1328125" bestFit="1" customWidth="1"/>
    <col min="17" max="19" width="12.46484375" bestFit="1" customWidth="1"/>
    <col min="24" max="24" width="16.1328125" bestFit="1" customWidth="1"/>
    <col min="25" max="27" width="12.46484375" bestFit="1" customWidth="1"/>
  </cols>
  <sheetData>
    <row r="1" spans="2:11" x14ac:dyDescent="0.4">
      <c r="B1" s="187" t="s">
        <v>40</v>
      </c>
      <c r="C1" s="187"/>
      <c r="D1" s="187"/>
      <c r="E1" s="187"/>
      <c r="F1" s="187"/>
      <c r="G1" s="187"/>
      <c r="H1" s="187"/>
      <c r="I1" s="41"/>
      <c r="J1" s="41"/>
      <c r="K1" s="41"/>
    </row>
    <row r="2" spans="2:11" x14ac:dyDescent="0.4"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2:11" x14ac:dyDescent="0.4">
      <c r="B3" s="6" t="s">
        <v>29</v>
      </c>
      <c r="C3" s="9">
        <v>0.03</v>
      </c>
      <c r="D3" s="5"/>
      <c r="E3" s="6"/>
      <c r="F3" s="6">
        <v>2019</v>
      </c>
      <c r="G3" s="6">
        <v>2020</v>
      </c>
      <c r="H3" s="6" t="s">
        <v>64</v>
      </c>
      <c r="I3" s="38"/>
      <c r="J3" s="38"/>
      <c r="K3" s="38"/>
    </row>
    <row r="4" spans="2:11" x14ac:dyDescent="0.4">
      <c r="B4" s="6" t="s">
        <v>30</v>
      </c>
      <c r="C4" s="9">
        <f>14.04%-C3</f>
        <v>0.1104</v>
      </c>
      <c r="D4" s="5"/>
      <c r="E4" s="6" t="s">
        <v>33</v>
      </c>
      <c r="F4" s="7">
        <v>885620</v>
      </c>
      <c r="G4" s="7">
        <v>1550000</v>
      </c>
      <c r="H4" s="7">
        <f>AVERAGE(F4:G4)</f>
        <v>1217810</v>
      </c>
      <c r="I4" s="44"/>
      <c r="J4" s="44"/>
      <c r="K4" s="44"/>
    </row>
    <row r="5" spans="2:11" x14ac:dyDescent="0.4">
      <c r="B5" s="6" t="s">
        <v>31</v>
      </c>
      <c r="C5" s="12">
        <v>0.05</v>
      </c>
      <c r="D5" s="5"/>
      <c r="E5" s="6" t="s">
        <v>34</v>
      </c>
      <c r="F5" s="8">
        <v>7154798</v>
      </c>
      <c r="G5" s="8">
        <v>5938279</v>
      </c>
      <c r="H5" s="8">
        <f>AVERAGE(F5:G5)</f>
        <v>6546538.5</v>
      </c>
      <c r="I5" s="45"/>
      <c r="J5" s="45"/>
      <c r="K5" s="45"/>
    </row>
    <row r="6" spans="2:11" x14ac:dyDescent="0.4">
      <c r="B6" s="6" t="s">
        <v>32</v>
      </c>
      <c r="C6" s="13">
        <f>C3+C4*C5</f>
        <v>3.5519999999999996E-2</v>
      </c>
      <c r="D6" s="5"/>
      <c r="E6" s="6" t="s">
        <v>36</v>
      </c>
      <c r="F6" s="10">
        <v>-370536</v>
      </c>
      <c r="G6" s="10">
        <v>-426015</v>
      </c>
      <c r="H6" s="37">
        <f>AVERAGE(F6:G6)</f>
        <v>-398275.5</v>
      </c>
      <c r="I6" s="46"/>
      <c r="J6" s="46"/>
      <c r="K6" s="46"/>
    </row>
    <row r="7" spans="2:11" x14ac:dyDescent="0.4">
      <c r="B7" s="5"/>
      <c r="C7" s="5"/>
      <c r="D7" s="5"/>
      <c r="E7" s="6" t="s">
        <v>35</v>
      </c>
      <c r="F7" s="5"/>
      <c r="G7" s="11"/>
      <c r="H7" s="11">
        <v>0.21</v>
      </c>
      <c r="I7" s="47"/>
      <c r="J7" s="47"/>
      <c r="K7" s="47"/>
    </row>
    <row r="8" spans="2:11" x14ac:dyDescent="0.4">
      <c r="B8" s="5"/>
      <c r="C8" s="5"/>
      <c r="D8" s="5"/>
      <c r="E8" s="6" t="s">
        <v>37</v>
      </c>
      <c r="F8" s="10"/>
      <c r="G8" s="10"/>
      <c r="H8" s="10">
        <f>SUM(H4:H5)</f>
        <v>7764348.5</v>
      </c>
      <c r="I8" s="48"/>
      <c r="J8" s="48"/>
      <c r="K8" s="48"/>
    </row>
    <row r="9" spans="2:11" x14ac:dyDescent="0.4">
      <c r="B9" s="5"/>
      <c r="C9" s="5"/>
      <c r="D9" s="5"/>
      <c r="E9" s="6" t="s">
        <v>38</v>
      </c>
      <c r="F9" s="14"/>
      <c r="G9" s="14"/>
      <c r="H9" s="14">
        <f>-H6/H8</f>
        <v>5.1295417767504896E-2</v>
      </c>
      <c r="I9" s="49"/>
      <c r="J9" s="49"/>
      <c r="K9" s="49"/>
    </row>
    <row r="10" spans="2:11" x14ac:dyDescent="0.4">
      <c r="B10" s="5"/>
      <c r="C10" s="5"/>
      <c r="D10" s="5"/>
      <c r="E10" s="6" t="s">
        <v>39</v>
      </c>
      <c r="F10" s="14"/>
      <c r="G10" s="14"/>
      <c r="H10" s="14">
        <f>H9*(1-H7)</f>
        <v>4.0523380036328868E-2</v>
      </c>
      <c r="I10" s="49"/>
      <c r="J10" s="49"/>
      <c r="K10" s="49"/>
    </row>
    <row r="13" spans="2:11" x14ac:dyDescent="0.4">
      <c r="B13" s="188" t="s">
        <v>41</v>
      </c>
      <c r="C13" s="188"/>
      <c r="D13" s="188"/>
      <c r="E13" s="188"/>
      <c r="F13" s="188"/>
      <c r="G13" s="188"/>
      <c r="H13" s="188"/>
      <c r="I13" s="42"/>
      <c r="J13" s="42"/>
      <c r="K13" s="42"/>
    </row>
    <row r="14" spans="2:11" x14ac:dyDescent="0.4">
      <c r="B14" s="42"/>
      <c r="C14" s="42"/>
      <c r="D14" s="42"/>
      <c r="E14" s="42"/>
      <c r="F14" s="42"/>
      <c r="G14" s="42"/>
      <c r="H14" s="42"/>
      <c r="I14" s="42"/>
      <c r="J14" s="42"/>
      <c r="K14" s="42"/>
    </row>
    <row r="15" spans="2:11" x14ac:dyDescent="0.4">
      <c r="B15" s="15" t="s">
        <v>29</v>
      </c>
      <c r="C15" s="17">
        <v>0.03</v>
      </c>
      <c r="D15" s="16"/>
      <c r="E15" s="15"/>
      <c r="F15" s="15">
        <v>2019</v>
      </c>
      <c r="G15" s="15">
        <v>2020</v>
      </c>
      <c r="H15" s="15" t="s">
        <v>64</v>
      </c>
      <c r="I15" s="39"/>
      <c r="J15" s="39"/>
      <c r="K15" s="39"/>
    </row>
    <row r="16" spans="2:11" x14ac:dyDescent="0.4">
      <c r="B16" s="15" t="s">
        <v>30</v>
      </c>
      <c r="C16" s="17">
        <f>14.04%-C15</f>
        <v>0.1104</v>
      </c>
      <c r="D16" s="16"/>
      <c r="E16" s="15" t="s">
        <v>33</v>
      </c>
      <c r="F16" s="18">
        <v>238957</v>
      </c>
      <c r="G16" s="18"/>
      <c r="H16" s="18">
        <f>AVERAGE(F16:G16)</f>
        <v>238957</v>
      </c>
      <c r="I16" s="50"/>
      <c r="J16" s="50"/>
      <c r="K16" s="50"/>
    </row>
    <row r="17" spans="2:11" x14ac:dyDescent="0.4">
      <c r="B17" s="15" t="s">
        <v>31</v>
      </c>
      <c r="C17" s="20">
        <v>3.5499999999999997E-2</v>
      </c>
      <c r="D17" s="16"/>
      <c r="E17" s="15" t="s">
        <v>34</v>
      </c>
      <c r="F17" s="19"/>
      <c r="G17" s="19">
        <v>511638</v>
      </c>
      <c r="H17" s="19">
        <f>AVERAGE(F17:G17)</f>
        <v>511638</v>
      </c>
      <c r="I17" s="51"/>
      <c r="J17" s="51"/>
      <c r="K17" s="51"/>
    </row>
    <row r="18" spans="2:11" x14ac:dyDescent="0.4">
      <c r="B18" s="15" t="s">
        <v>32</v>
      </c>
      <c r="C18" s="23">
        <f>C15+C16*C17</f>
        <v>3.3919199999999997E-2</v>
      </c>
      <c r="D18" s="16"/>
      <c r="E18" s="15" t="s">
        <v>36</v>
      </c>
      <c r="F18" s="21">
        <v>-83667</v>
      </c>
      <c r="G18" s="21">
        <v>-66916</v>
      </c>
      <c r="H18" s="60">
        <f>AVERAGE(F18:G18)</f>
        <v>-75291.5</v>
      </c>
      <c r="I18" s="22"/>
      <c r="J18" s="22"/>
      <c r="K18" s="22"/>
    </row>
    <row r="19" spans="2:11" x14ac:dyDescent="0.4">
      <c r="B19" s="84"/>
      <c r="C19" s="84"/>
      <c r="D19" s="16"/>
      <c r="E19" s="15" t="s">
        <v>35</v>
      </c>
      <c r="F19" s="16"/>
      <c r="G19" s="24"/>
      <c r="H19" s="24">
        <v>0.21</v>
      </c>
      <c r="I19" s="52"/>
      <c r="J19" s="52"/>
      <c r="K19" s="52"/>
    </row>
    <row r="20" spans="2:11" x14ac:dyDescent="0.4">
      <c r="B20" s="16"/>
      <c r="C20" s="16"/>
      <c r="D20" s="16"/>
      <c r="E20" s="15" t="s">
        <v>37</v>
      </c>
      <c r="F20" s="21"/>
      <c r="G20" s="21"/>
      <c r="H20" s="21">
        <f>SUM(H16:H17)</f>
        <v>750595</v>
      </c>
      <c r="I20" s="53"/>
      <c r="J20" s="53"/>
      <c r="K20" s="53"/>
    </row>
    <row r="21" spans="2:11" x14ac:dyDescent="0.4">
      <c r="B21" s="16"/>
      <c r="C21" s="16"/>
      <c r="D21" s="16"/>
      <c r="E21" s="15" t="s">
        <v>38</v>
      </c>
      <c r="F21" s="25"/>
      <c r="G21" s="25"/>
      <c r="H21" s="25">
        <f>-H18/H20</f>
        <v>0.10030908812342208</v>
      </c>
      <c r="I21" s="54"/>
      <c r="J21" s="54"/>
      <c r="K21" s="54"/>
    </row>
    <row r="22" spans="2:11" x14ac:dyDescent="0.4">
      <c r="B22" s="16"/>
      <c r="C22" s="16"/>
      <c r="D22" s="16"/>
      <c r="E22" s="15" t="s">
        <v>39</v>
      </c>
      <c r="F22" s="25"/>
      <c r="G22" s="25"/>
      <c r="H22" s="25">
        <f>H21*(1-H19)</f>
        <v>7.9244179617503449E-2</v>
      </c>
      <c r="I22" s="54"/>
      <c r="J22" s="54"/>
      <c r="K22" s="54"/>
    </row>
    <row r="25" spans="2:11" x14ac:dyDescent="0.4">
      <c r="B25" s="189" t="s">
        <v>42</v>
      </c>
      <c r="C25" s="189"/>
      <c r="D25" s="189"/>
      <c r="E25" s="189"/>
      <c r="F25" s="189"/>
      <c r="G25" s="189"/>
      <c r="H25" s="189"/>
      <c r="I25" s="43"/>
      <c r="J25" s="43"/>
      <c r="K25" s="43"/>
    </row>
    <row r="26" spans="2:11" x14ac:dyDescent="0.4">
      <c r="B26" s="43"/>
      <c r="C26" s="43"/>
      <c r="D26" s="43"/>
      <c r="E26" s="43"/>
      <c r="F26" s="43"/>
      <c r="G26" s="43"/>
      <c r="H26" s="43"/>
      <c r="I26" s="43"/>
      <c r="J26" s="43"/>
      <c r="K26" s="43"/>
    </row>
    <row r="27" spans="2:11" x14ac:dyDescent="0.4">
      <c r="B27" s="26" t="s">
        <v>29</v>
      </c>
      <c r="C27" s="28">
        <v>0.03</v>
      </c>
      <c r="D27" s="27"/>
      <c r="E27" s="26"/>
      <c r="F27" s="26">
        <v>2019</v>
      </c>
      <c r="G27" s="26">
        <v>2020</v>
      </c>
      <c r="H27" s="26" t="s">
        <v>64</v>
      </c>
      <c r="I27" s="40"/>
      <c r="J27" s="40"/>
      <c r="K27" s="40"/>
    </row>
    <row r="28" spans="2:11" x14ac:dyDescent="0.4">
      <c r="B28" s="26" t="s">
        <v>30</v>
      </c>
      <c r="C28" s="28">
        <f>14.04%-C27</f>
        <v>0.1104</v>
      </c>
      <c r="D28" s="27"/>
      <c r="E28" s="26" t="s">
        <v>33</v>
      </c>
      <c r="F28" s="29">
        <v>419950</v>
      </c>
      <c r="G28" s="29">
        <v>127900</v>
      </c>
      <c r="H28" s="29">
        <f>AVERAGE(F28:G28)</f>
        <v>273925</v>
      </c>
      <c r="I28" s="55"/>
      <c r="J28" s="55"/>
      <c r="K28" s="55"/>
    </row>
    <row r="29" spans="2:11" x14ac:dyDescent="0.4">
      <c r="B29" s="26" t="s">
        <v>31</v>
      </c>
      <c r="C29" s="31">
        <v>3.5499999999999997E-2</v>
      </c>
      <c r="D29" s="27"/>
      <c r="E29" s="26" t="s">
        <v>34</v>
      </c>
      <c r="F29" s="30">
        <v>1690000</v>
      </c>
      <c r="G29" s="30">
        <v>1645000</v>
      </c>
      <c r="H29" s="30">
        <f>AVERAGE(F29:G29)</f>
        <v>1667500</v>
      </c>
      <c r="I29" s="56"/>
      <c r="J29" s="56"/>
      <c r="K29" s="56"/>
    </row>
    <row r="30" spans="2:11" x14ac:dyDescent="0.4">
      <c r="B30" s="26" t="s">
        <v>32</v>
      </c>
      <c r="C30" s="34">
        <f>C27+C28*C29</f>
        <v>3.3919199999999997E-2</v>
      </c>
      <c r="D30" s="27"/>
      <c r="E30" s="26" t="s">
        <v>36</v>
      </c>
      <c r="F30" s="32">
        <v>-32017</v>
      </c>
      <c r="G30" s="32">
        <v>-22451</v>
      </c>
      <c r="H30" s="61">
        <f>AVERAGE(F30:G30)</f>
        <v>-27234</v>
      </c>
      <c r="I30" s="33"/>
      <c r="J30" s="33"/>
      <c r="K30" s="33"/>
    </row>
    <row r="31" spans="2:11" x14ac:dyDescent="0.4">
      <c r="B31" s="27"/>
      <c r="C31" s="27"/>
      <c r="D31" s="27"/>
      <c r="E31" s="26" t="s">
        <v>35</v>
      </c>
      <c r="F31" s="27"/>
      <c r="G31" s="35"/>
      <c r="H31" s="35">
        <v>0.21</v>
      </c>
      <c r="I31" s="57"/>
      <c r="J31" s="57"/>
      <c r="K31" s="57"/>
    </row>
    <row r="32" spans="2:11" x14ac:dyDescent="0.4">
      <c r="B32" s="27"/>
      <c r="C32" s="27"/>
      <c r="D32" s="27"/>
      <c r="E32" s="26" t="s">
        <v>37</v>
      </c>
      <c r="F32" s="32"/>
      <c r="G32" s="32"/>
      <c r="H32" s="32">
        <f>SUM(H28:H29)</f>
        <v>1941425</v>
      </c>
      <c r="I32" s="58"/>
      <c r="J32" s="58"/>
      <c r="K32" s="58"/>
    </row>
    <row r="33" spans="2:11" x14ac:dyDescent="0.4">
      <c r="B33" s="27"/>
      <c r="C33" s="27"/>
      <c r="D33" s="27"/>
      <c r="E33" s="26" t="s">
        <v>38</v>
      </c>
      <c r="F33" s="36"/>
      <c r="G33" s="36"/>
      <c r="H33" s="36">
        <f>-H30/H32</f>
        <v>1.4027840374982293E-2</v>
      </c>
      <c r="I33" s="59"/>
      <c r="J33" s="59"/>
      <c r="K33" s="59"/>
    </row>
    <row r="34" spans="2:11" x14ac:dyDescent="0.4">
      <c r="B34" s="27"/>
      <c r="C34" s="27"/>
      <c r="D34" s="27"/>
      <c r="E34" s="26" t="s">
        <v>39</v>
      </c>
      <c r="F34" s="36"/>
      <c r="G34" s="36"/>
      <c r="H34" s="36">
        <f>H33*(1-H31)</f>
        <v>1.1081993896236013E-2</v>
      </c>
      <c r="I34" s="59"/>
      <c r="J34" s="59"/>
      <c r="K34" s="59"/>
    </row>
  </sheetData>
  <mergeCells count="3">
    <mergeCell ref="B1:H1"/>
    <mergeCell ref="B13:H13"/>
    <mergeCell ref="B25:H2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57CDA-E43A-4E36-9A9B-52A4FC78509B}">
  <dimension ref="B1:P40"/>
  <sheetViews>
    <sheetView zoomScaleNormal="100" workbookViewId="0">
      <selection activeCell="F26" sqref="F26"/>
    </sheetView>
  </sheetViews>
  <sheetFormatPr defaultRowHeight="13.9" x14ac:dyDescent="0.4"/>
  <cols>
    <col min="1" max="1" width="2" customWidth="1"/>
    <col min="2" max="2" width="6.86328125" bestFit="1" customWidth="1"/>
    <col min="3" max="3" width="8" bestFit="1" customWidth="1"/>
    <col min="4" max="4" width="2.86328125" customWidth="1"/>
    <col min="5" max="5" width="16.1328125" bestFit="1" customWidth="1"/>
    <col min="6" max="6" width="16.1328125" customWidth="1"/>
    <col min="7" max="9" width="12.796875" bestFit="1" customWidth="1"/>
    <col min="10" max="10" width="2.796875" customWidth="1"/>
    <col min="11" max="11" width="12.46484375" bestFit="1" customWidth="1"/>
    <col min="12" max="12" width="16.1328125" bestFit="1" customWidth="1"/>
    <col min="13" max="13" width="3.33203125" customWidth="1"/>
    <col min="14" max="14" width="9.53125" bestFit="1" customWidth="1"/>
    <col min="15" max="15" width="16.796875" bestFit="1" customWidth="1"/>
    <col min="16" max="16" width="12.796875" bestFit="1" customWidth="1"/>
    <col min="17" max="17" width="16.1328125" bestFit="1" customWidth="1"/>
    <col min="18" max="20" width="12.46484375" bestFit="1" customWidth="1"/>
    <col min="25" max="25" width="16.1328125" bestFit="1" customWidth="1"/>
    <col min="26" max="28" width="12.46484375" bestFit="1" customWidth="1"/>
  </cols>
  <sheetData>
    <row r="1" spans="2:16" x14ac:dyDescent="0.4">
      <c r="B1" s="190" t="s">
        <v>40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</row>
    <row r="2" spans="2:16" x14ac:dyDescent="0.4"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5"/>
      <c r="N2" s="5"/>
      <c r="O2" s="5"/>
      <c r="P2" s="5"/>
    </row>
    <row r="3" spans="2:16" x14ac:dyDescent="0.4">
      <c r="B3" s="6" t="s">
        <v>29</v>
      </c>
      <c r="C3" s="9">
        <v>2.168399E-2</v>
      </c>
      <c r="D3" s="5"/>
      <c r="E3" s="6"/>
      <c r="F3" s="111">
        <v>2018</v>
      </c>
      <c r="G3" s="111">
        <v>2019</v>
      </c>
      <c r="H3" s="111">
        <v>2020</v>
      </c>
      <c r="I3" s="111" t="s">
        <v>64</v>
      </c>
      <c r="J3" s="38"/>
      <c r="K3" s="62"/>
      <c r="L3" s="111">
        <v>2020</v>
      </c>
      <c r="M3" s="5"/>
      <c r="N3" s="7"/>
      <c r="O3" s="112">
        <v>2020</v>
      </c>
      <c r="P3" s="113" t="s">
        <v>64</v>
      </c>
    </row>
    <row r="4" spans="2:16" x14ac:dyDescent="0.4">
      <c r="B4" s="6" t="s">
        <v>30</v>
      </c>
      <c r="C4" s="9">
        <f>11.56%-C3</f>
        <v>9.3916010000000008E-2</v>
      </c>
      <c r="D4" s="5"/>
      <c r="E4" s="6" t="s">
        <v>33</v>
      </c>
      <c r="F4" s="144">
        <v>1870000</v>
      </c>
      <c r="G4" s="7">
        <v>885620</v>
      </c>
      <c r="H4" s="7">
        <v>1550000</v>
      </c>
      <c r="I4" s="7">
        <f>AVERAGE(F4:H4)</f>
        <v>1435206.6666666667</v>
      </c>
      <c r="J4" s="44"/>
      <c r="K4" s="114" t="s">
        <v>46</v>
      </c>
      <c r="L4" s="7">
        <v>48.74</v>
      </c>
      <c r="M4" s="5"/>
      <c r="N4" s="10" t="s">
        <v>57</v>
      </c>
      <c r="O4" s="10">
        <v>54641929</v>
      </c>
      <c r="P4" s="10">
        <f>O4</f>
        <v>54641929</v>
      </c>
    </row>
    <row r="5" spans="2:16" x14ac:dyDescent="0.4">
      <c r="B5" s="6" t="s">
        <v>31</v>
      </c>
      <c r="C5" s="130">
        <v>0.86140000000000005</v>
      </c>
      <c r="D5" s="5"/>
      <c r="E5" s="6" t="s">
        <v>34</v>
      </c>
      <c r="F5" s="144">
        <v>1168012</v>
      </c>
      <c r="G5" s="8">
        <v>7154798</v>
      </c>
      <c r="H5" s="8">
        <v>5938279</v>
      </c>
      <c r="I5" s="8">
        <f>AVERAGE(F5:H5)</f>
        <v>4753696.333333333</v>
      </c>
      <c r="J5" s="45"/>
      <c r="K5" s="130" t="s">
        <v>52</v>
      </c>
      <c r="L5" s="64">
        <v>1526539389</v>
      </c>
      <c r="M5" s="5"/>
      <c r="N5" s="5"/>
      <c r="O5" s="5"/>
      <c r="P5" s="49"/>
    </row>
    <row r="6" spans="2:16" x14ac:dyDescent="0.4">
      <c r="B6" s="6" t="s">
        <v>32</v>
      </c>
      <c r="C6" s="9">
        <f>C3+C4*C5</f>
        <v>0.10258324101400002</v>
      </c>
      <c r="D6" s="5"/>
      <c r="E6" s="6" t="s">
        <v>36</v>
      </c>
      <c r="F6" s="144">
        <v>123643</v>
      </c>
      <c r="G6" s="10">
        <v>370536</v>
      </c>
      <c r="H6" s="10">
        <v>426015</v>
      </c>
      <c r="I6" s="37">
        <f>AVERAGE(F6:H6)</f>
        <v>306731.33333333331</v>
      </c>
      <c r="J6" s="46"/>
      <c r="K6" s="11" t="s">
        <v>48</v>
      </c>
      <c r="L6" s="37">
        <f>L4*L5</f>
        <v>74403529819.860001</v>
      </c>
      <c r="M6" s="5"/>
      <c r="N6" s="5"/>
      <c r="O6" s="5"/>
      <c r="P6" s="49"/>
    </row>
    <row r="7" spans="2:16" x14ac:dyDescent="0.4">
      <c r="B7" s="5"/>
      <c r="C7" s="5"/>
      <c r="D7" s="5"/>
      <c r="E7" s="6" t="s">
        <v>35</v>
      </c>
      <c r="F7" s="144"/>
      <c r="G7" s="62"/>
      <c r="H7" s="11"/>
      <c r="I7" s="74">
        <v>0.21</v>
      </c>
      <c r="J7" s="47"/>
      <c r="K7" s="6" t="s">
        <v>53</v>
      </c>
      <c r="L7" s="114">
        <f>L6</f>
        <v>74403529819.860001</v>
      </c>
      <c r="M7" s="5"/>
      <c r="N7" s="5"/>
      <c r="O7" s="5"/>
      <c r="P7" s="69"/>
    </row>
    <row r="8" spans="2:16" x14ac:dyDescent="0.4">
      <c r="B8" s="5"/>
      <c r="C8" s="88"/>
      <c r="D8" s="5"/>
      <c r="E8" s="6" t="s">
        <v>37</v>
      </c>
      <c r="F8" s="144">
        <f>F4+F5</f>
        <v>3038012</v>
      </c>
      <c r="G8" s="144">
        <f>G4+G5</f>
        <v>8040418</v>
      </c>
      <c r="H8" s="144">
        <f>H4+H5</f>
        <v>7488279</v>
      </c>
      <c r="I8" s="10">
        <f>AVERAGE(F8:H8)</f>
        <v>6188903</v>
      </c>
      <c r="J8" s="48"/>
      <c r="K8" s="6" t="s">
        <v>54</v>
      </c>
      <c r="L8" s="10">
        <f>H8</f>
        <v>7488279</v>
      </c>
      <c r="M8" s="5"/>
      <c r="N8" s="5"/>
      <c r="O8" s="5"/>
      <c r="P8" s="49"/>
    </row>
    <row r="9" spans="2:16" x14ac:dyDescent="0.4">
      <c r="B9" s="5"/>
      <c r="C9" s="5"/>
      <c r="D9" s="5"/>
      <c r="E9" s="6" t="s">
        <v>38</v>
      </c>
      <c r="F9" s="6"/>
      <c r="G9" s="14"/>
      <c r="H9" s="14"/>
      <c r="I9" s="74">
        <f>I6/I8</f>
        <v>4.9561502795137248E-2</v>
      </c>
      <c r="J9" s="49"/>
      <c r="K9" s="6" t="s">
        <v>55</v>
      </c>
      <c r="L9" s="14">
        <f>L7/(L7+L8)</f>
        <v>0.99989936599187434</v>
      </c>
      <c r="M9" s="5"/>
      <c r="N9" s="5"/>
      <c r="O9" s="5"/>
      <c r="P9" s="5"/>
    </row>
    <row r="10" spans="2:16" x14ac:dyDescent="0.4">
      <c r="B10" s="5"/>
      <c r="C10" s="5"/>
      <c r="D10" s="5"/>
      <c r="E10" s="6" t="s">
        <v>39</v>
      </c>
      <c r="F10" s="6"/>
      <c r="G10" s="14"/>
      <c r="H10" s="14"/>
      <c r="I10" s="74">
        <f>I9*(1-I7)</f>
        <v>3.9153587208158425E-2</v>
      </c>
      <c r="J10" s="49"/>
      <c r="K10" s="6" t="s">
        <v>56</v>
      </c>
      <c r="L10" s="14">
        <f>L8/(L7+L8)</f>
        <v>1.0063400812566926E-4</v>
      </c>
      <c r="M10" s="5"/>
      <c r="N10" s="5"/>
      <c r="O10" s="5"/>
      <c r="P10" s="5"/>
    </row>
    <row r="11" spans="2:16" x14ac:dyDescent="0.4">
      <c r="B11" s="5"/>
      <c r="C11" s="5"/>
      <c r="D11" s="5"/>
      <c r="E11" s="38"/>
      <c r="F11" s="38"/>
      <c r="G11" s="49"/>
      <c r="H11" s="49"/>
      <c r="I11" s="153"/>
      <c r="J11" s="49"/>
      <c r="K11" s="14" t="s">
        <v>44</v>
      </c>
      <c r="L11" s="74">
        <f>I10*L10+C6*L9</f>
        <v>0.10257685783370352</v>
      </c>
      <c r="M11" s="5"/>
      <c r="N11" s="5"/>
      <c r="O11" s="5"/>
      <c r="P11" s="5"/>
    </row>
    <row r="12" spans="2:16" s="154" customFormat="1" x14ac:dyDescent="0.4">
      <c r="E12" s="155"/>
      <c r="F12" s="155"/>
      <c r="G12" s="156"/>
      <c r="H12" s="156"/>
      <c r="I12" s="157"/>
      <c r="J12" s="156"/>
      <c r="K12" s="156"/>
      <c r="L12" s="157"/>
    </row>
    <row r="13" spans="2:16" s="154" customFormat="1" x14ac:dyDescent="0.4">
      <c r="E13" s="155"/>
      <c r="F13" s="155"/>
      <c r="G13" s="156"/>
      <c r="H13" s="156"/>
      <c r="I13" s="157"/>
      <c r="J13" s="156"/>
      <c r="K13" s="156"/>
      <c r="L13" s="157"/>
    </row>
    <row r="14" spans="2:16" x14ac:dyDescent="0.4">
      <c r="B14" s="191" t="s">
        <v>41</v>
      </c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</row>
    <row r="15" spans="2:16" x14ac:dyDescent="0.4"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83"/>
      <c r="N15" s="83"/>
      <c r="O15" s="83"/>
      <c r="P15" s="83"/>
    </row>
    <row r="16" spans="2:16" x14ac:dyDescent="0.4">
      <c r="B16" s="159" t="s">
        <v>29</v>
      </c>
      <c r="C16" s="160">
        <f>C3</f>
        <v>2.168399E-2</v>
      </c>
      <c r="D16" s="83"/>
      <c r="E16" s="159"/>
      <c r="F16" s="161">
        <v>2018</v>
      </c>
      <c r="G16" s="161">
        <v>2019</v>
      </c>
      <c r="H16" s="161">
        <v>2020</v>
      </c>
      <c r="I16" s="161" t="s">
        <v>64</v>
      </c>
      <c r="J16" s="162"/>
      <c r="K16" s="161"/>
      <c r="L16" s="161">
        <v>2020</v>
      </c>
      <c r="M16" s="83"/>
      <c r="N16" s="163"/>
      <c r="O16" s="164">
        <v>2020</v>
      </c>
      <c r="P16" s="164" t="s">
        <v>64</v>
      </c>
    </row>
    <row r="17" spans="2:16" x14ac:dyDescent="0.4">
      <c r="B17" s="159" t="s">
        <v>30</v>
      </c>
      <c r="C17" s="160">
        <f>C4</f>
        <v>9.3916010000000008E-2</v>
      </c>
      <c r="D17" s="83"/>
      <c r="E17" s="159" t="s">
        <v>33</v>
      </c>
      <c r="F17" s="159"/>
      <c r="G17" s="165"/>
      <c r="H17" s="165"/>
      <c r="I17" s="165">
        <v>0</v>
      </c>
      <c r="J17" s="166"/>
      <c r="K17" s="167" t="s">
        <v>45</v>
      </c>
      <c r="L17" s="165">
        <v>28.83</v>
      </c>
      <c r="M17" s="83"/>
      <c r="N17" s="168" t="s">
        <v>57</v>
      </c>
      <c r="O17" s="169">
        <v>36373276</v>
      </c>
      <c r="P17" s="169">
        <f>O17</f>
        <v>36373276</v>
      </c>
    </row>
    <row r="18" spans="2:16" x14ac:dyDescent="0.4">
      <c r="B18" s="159" t="s">
        <v>31</v>
      </c>
      <c r="C18" s="170">
        <v>1.68</v>
      </c>
      <c r="D18" s="83"/>
      <c r="E18" s="183" t="s">
        <v>85</v>
      </c>
      <c r="F18" s="183"/>
      <c r="G18" s="183"/>
      <c r="H18" s="183"/>
      <c r="I18" s="183"/>
      <c r="J18" s="171"/>
      <c r="K18" s="172" t="s">
        <v>51</v>
      </c>
      <c r="L18" s="173">
        <v>1809288310</v>
      </c>
      <c r="M18" s="83"/>
      <c r="N18" s="83"/>
      <c r="O18" s="83"/>
      <c r="P18" s="174"/>
    </row>
    <row r="19" spans="2:16" x14ac:dyDescent="0.4">
      <c r="B19" s="159" t="s">
        <v>32</v>
      </c>
      <c r="C19" s="160">
        <f>C16+C17*C18</f>
        <v>0.1794628868</v>
      </c>
      <c r="D19" s="83"/>
      <c r="E19" s="159" t="s">
        <v>34</v>
      </c>
      <c r="F19" s="159"/>
      <c r="G19" s="170"/>
      <c r="H19" s="170">
        <v>511638</v>
      </c>
      <c r="I19" s="170">
        <f>AVERAGE(G19:H19)</f>
        <v>511638</v>
      </c>
      <c r="J19" s="175"/>
      <c r="K19" s="176" t="s">
        <v>47</v>
      </c>
      <c r="L19" s="176">
        <f>L17*L18</f>
        <v>52161781977.299995</v>
      </c>
      <c r="M19" s="83"/>
      <c r="N19" s="83"/>
      <c r="O19" s="83"/>
      <c r="P19" s="174"/>
    </row>
    <row r="20" spans="2:16" x14ac:dyDescent="0.4">
      <c r="B20" s="83"/>
      <c r="C20" s="83"/>
      <c r="D20" s="83"/>
      <c r="E20" s="159" t="s">
        <v>86</v>
      </c>
      <c r="F20" s="183"/>
      <c r="G20" s="183"/>
      <c r="H20" s="183"/>
      <c r="I20" s="184">
        <v>6.1749999999999999E-2</v>
      </c>
      <c r="J20" s="178"/>
      <c r="K20" s="159" t="s">
        <v>53</v>
      </c>
      <c r="L20" s="167">
        <f>L19</f>
        <v>52161781977.299995</v>
      </c>
      <c r="M20" s="83"/>
      <c r="N20" s="83"/>
      <c r="O20" s="83"/>
      <c r="P20" s="103"/>
    </row>
    <row r="21" spans="2:16" x14ac:dyDescent="0.4">
      <c r="B21" s="83"/>
      <c r="C21" s="83"/>
      <c r="D21" s="83"/>
      <c r="E21" s="159" t="s">
        <v>36</v>
      </c>
      <c r="F21" s="159"/>
      <c r="G21" s="168"/>
      <c r="H21" s="168"/>
      <c r="I21" s="176">
        <f>I17*I18+I19*I20</f>
        <v>31593.646499999999</v>
      </c>
      <c r="J21" s="179"/>
      <c r="K21" s="159" t="s">
        <v>54</v>
      </c>
      <c r="L21" s="168">
        <f>H23</f>
        <v>511638</v>
      </c>
      <c r="M21" s="83"/>
      <c r="N21" s="83"/>
      <c r="O21" s="83"/>
      <c r="P21" s="174"/>
    </row>
    <row r="22" spans="2:16" x14ac:dyDescent="0.4">
      <c r="B22" s="83"/>
      <c r="C22" s="177"/>
      <c r="D22" s="83"/>
      <c r="E22" s="159" t="s">
        <v>35</v>
      </c>
      <c r="F22" s="159"/>
      <c r="G22" s="183"/>
      <c r="H22" s="180"/>
      <c r="I22" s="180">
        <v>0.21</v>
      </c>
      <c r="J22" s="174"/>
      <c r="K22" s="159" t="s">
        <v>55</v>
      </c>
      <c r="L22" s="181">
        <f>L20/(L20+L21)</f>
        <v>0.99999019142057344</v>
      </c>
      <c r="M22" s="83"/>
      <c r="N22" s="83"/>
      <c r="O22" s="83"/>
      <c r="P22" s="83"/>
    </row>
    <row r="23" spans="2:16" x14ac:dyDescent="0.4">
      <c r="B23" s="83"/>
      <c r="C23" s="83"/>
      <c r="D23" s="83"/>
      <c r="E23" s="159" t="s">
        <v>37</v>
      </c>
      <c r="F23" s="159"/>
      <c r="G23" s="168"/>
      <c r="H23" s="168">
        <f>H17+H19</f>
        <v>511638</v>
      </c>
      <c r="I23" s="168">
        <f>AVERAGE(G23:H23)</f>
        <v>511638</v>
      </c>
      <c r="J23" s="174"/>
      <c r="K23" s="159" t="s">
        <v>56</v>
      </c>
      <c r="L23" s="181">
        <f>L21/(L20+L21)</f>
        <v>9.808579426613418E-6</v>
      </c>
      <c r="M23" s="83"/>
      <c r="N23" s="83"/>
      <c r="O23" s="83"/>
      <c r="P23" s="83"/>
    </row>
    <row r="24" spans="2:16" x14ac:dyDescent="0.4">
      <c r="B24" s="83"/>
      <c r="C24" s="83"/>
      <c r="D24" s="83"/>
      <c r="E24" s="159" t="s">
        <v>38</v>
      </c>
      <c r="F24" s="159"/>
      <c r="G24" s="181"/>
      <c r="H24" s="181"/>
      <c r="I24" s="181">
        <f>I21/I23</f>
        <v>6.1749999999999999E-2</v>
      </c>
      <c r="J24" s="174"/>
      <c r="K24" s="181" t="s">
        <v>44</v>
      </c>
      <c r="L24" s="182">
        <f>L22*C19+L23*I25</f>
        <v>0.1794616050110466</v>
      </c>
      <c r="M24" s="83"/>
      <c r="N24" s="83"/>
      <c r="O24" s="83"/>
      <c r="P24" s="83"/>
    </row>
    <row r="25" spans="2:16" x14ac:dyDescent="0.4">
      <c r="B25" s="83"/>
      <c r="C25" s="83"/>
      <c r="D25" s="83"/>
      <c r="E25" s="159" t="s">
        <v>39</v>
      </c>
      <c r="F25" s="159"/>
      <c r="G25" s="181"/>
      <c r="H25" s="181"/>
      <c r="I25" s="181">
        <f>I24*(1-I22)</f>
        <v>4.8782499999999999E-2</v>
      </c>
      <c r="J25" s="174"/>
      <c r="K25" s="83"/>
      <c r="L25" s="83"/>
      <c r="M25" s="83"/>
      <c r="N25" s="83"/>
      <c r="O25" s="83"/>
      <c r="P25" s="83"/>
    </row>
    <row r="28" spans="2:16" x14ac:dyDescent="0.4">
      <c r="B28" s="192" t="s">
        <v>42</v>
      </c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</row>
    <row r="29" spans="2:16" x14ac:dyDescent="0.4"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27"/>
      <c r="N29" s="27"/>
      <c r="O29" s="27"/>
      <c r="P29" s="27"/>
    </row>
    <row r="30" spans="2:16" s="125" customFormat="1" x14ac:dyDescent="0.4">
      <c r="B30" s="126" t="s">
        <v>29</v>
      </c>
      <c r="C30" s="131">
        <f>C3</f>
        <v>2.168399E-2</v>
      </c>
      <c r="D30" s="120"/>
      <c r="E30" s="119"/>
      <c r="F30" s="119"/>
      <c r="G30" s="119">
        <v>2019</v>
      </c>
      <c r="H30" s="119">
        <v>2020</v>
      </c>
      <c r="I30" s="119" t="s">
        <v>64</v>
      </c>
      <c r="J30" s="121"/>
      <c r="K30" s="119"/>
      <c r="L30" s="119">
        <v>2020</v>
      </c>
      <c r="M30" s="120"/>
      <c r="N30" s="122"/>
      <c r="O30" s="124">
        <v>2020</v>
      </c>
      <c r="P30" s="124" t="s">
        <v>64</v>
      </c>
    </row>
    <row r="31" spans="2:16" x14ac:dyDescent="0.4">
      <c r="B31" s="26" t="s">
        <v>30</v>
      </c>
      <c r="C31" s="28">
        <f>C4</f>
        <v>9.3916010000000008E-2</v>
      </c>
      <c r="D31" s="27"/>
      <c r="E31" s="26" t="s">
        <v>33</v>
      </c>
      <c r="F31" s="26"/>
      <c r="G31" s="29"/>
      <c r="H31" s="29">
        <v>127900</v>
      </c>
      <c r="I31" s="29">
        <f>H31</f>
        <v>127900</v>
      </c>
      <c r="J31" s="55"/>
      <c r="K31" s="127" t="s">
        <v>45</v>
      </c>
      <c r="L31" s="29">
        <v>42.83</v>
      </c>
      <c r="M31" s="27"/>
      <c r="N31" s="32" t="s">
        <v>57</v>
      </c>
      <c r="O31" s="32">
        <v>44706779</v>
      </c>
      <c r="P31" s="32">
        <f>O31</f>
        <v>44706779</v>
      </c>
    </row>
    <row r="32" spans="2:16" x14ac:dyDescent="0.4">
      <c r="B32" s="26" t="s">
        <v>31</v>
      </c>
      <c r="C32" s="30">
        <v>2.2181000000000002</v>
      </c>
      <c r="D32" s="27"/>
      <c r="E32" s="26" t="s">
        <v>34</v>
      </c>
      <c r="F32" s="26"/>
      <c r="G32" s="30"/>
      <c r="H32" s="30">
        <v>1645000</v>
      </c>
      <c r="I32" s="30">
        <f>H32</f>
        <v>1645000</v>
      </c>
      <c r="J32" s="56"/>
      <c r="K32" s="128" t="s">
        <v>51</v>
      </c>
      <c r="L32" s="65">
        <v>1439485669</v>
      </c>
      <c r="M32" s="27"/>
      <c r="N32" s="27"/>
      <c r="O32" s="27"/>
      <c r="P32" s="59"/>
    </row>
    <row r="33" spans="2:16" x14ac:dyDescent="0.4">
      <c r="B33" s="26" t="s">
        <v>32</v>
      </c>
      <c r="C33" s="28">
        <f>C30+C31*C32</f>
        <v>0.22999909178100003</v>
      </c>
      <c r="D33" s="27"/>
      <c r="E33" s="26" t="s">
        <v>36</v>
      </c>
      <c r="F33" s="26"/>
      <c r="G33" s="32"/>
      <c r="H33" s="32">
        <v>22451</v>
      </c>
      <c r="I33" s="61">
        <f>H33</f>
        <v>22451</v>
      </c>
      <c r="J33" s="33"/>
      <c r="K33" s="61" t="s">
        <v>47</v>
      </c>
      <c r="L33" s="61">
        <f>L31*L32</f>
        <v>61653171203.269997</v>
      </c>
      <c r="M33" s="27"/>
      <c r="N33" s="27"/>
      <c r="O33" s="27"/>
      <c r="P33" s="59"/>
    </row>
    <row r="34" spans="2:16" x14ac:dyDescent="0.4">
      <c r="B34" s="27"/>
      <c r="C34" s="27"/>
      <c r="D34" s="27"/>
      <c r="E34" s="26" t="s">
        <v>35</v>
      </c>
      <c r="F34" s="26"/>
      <c r="G34" s="68"/>
      <c r="H34" s="35"/>
      <c r="I34" s="35">
        <v>0.21</v>
      </c>
      <c r="J34" s="57"/>
      <c r="K34" s="119" t="s">
        <v>53</v>
      </c>
      <c r="L34" s="127">
        <f>L33</f>
        <v>61653171203.269997</v>
      </c>
      <c r="M34" s="27"/>
      <c r="N34" s="27"/>
      <c r="O34" s="27"/>
      <c r="P34" s="71"/>
    </row>
    <row r="35" spans="2:16" x14ac:dyDescent="0.4">
      <c r="B35" s="27"/>
      <c r="C35" s="27"/>
      <c r="D35" s="27"/>
      <c r="E35" s="26" t="s">
        <v>37</v>
      </c>
      <c r="F35" s="26"/>
      <c r="G35" s="32"/>
      <c r="H35" s="32">
        <f>H31+H32</f>
        <v>1772900</v>
      </c>
      <c r="I35" s="32">
        <f>H35</f>
        <v>1772900</v>
      </c>
      <c r="J35" s="58"/>
      <c r="K35" s="26" t="s">
        <v>54</v>
      </c>
      <c r="L35" s="32">
        <f>H35</f>
        <v>1772900</v>
      </c>
      <c r="M35" s="27"/>
      <c r="N35" s="27"/>
      <c r="O35" s="27"/>
      <c r="P35" s="59"/>
    </row>
    <row r="36" spans="2:16" x14ac:dyDescent="0.4">
      <c r="B36" s="27"/>
      <c r="C36" s="87"/>
      <c r="D36" s="27"/>
      <c r="E36" s="26" t="s">
        <v>38</v>
      </c>
      <c r="F36" s="26"/>
      <c r="G36" s="36"/>
      <c r="H36" s="36"/>
      <c r="I36" s="36">
        <f>I33/I35</f>
        <v>1.2663432793727791E-2</v>
      </c>
      <c r="J36" s="59"/>
      <c r="K36" s="26" t="s">
        <v>55</v>
      </c>
      <c r="L36" s="36">
        <f>L34/(L34+L35)</f>
        <v>0.99997124480403343</v>
      </c>
      <c r="M36" s="27"/>
      <c r="N36" s="27"/>
      <c r="O36" s="27"/>
      <c r="P36" s="27"/>
    </row>
    <row r="37" spans="2:16" x14ac:dyDescent="0.4">
      <c r="B37" s="27"/>
      <c r="C37" s="27"/>
      <c r="D37" s="27"/>
      <c r="E37" s="26" t="s">
        <v>39</v>
      </c>
      <c r="F37" s="26"/>
      <c r="G37" s="36"/>
      <c r="H37" s="36"/>
      <c r="I37" s="36">
        <f>I36*(1-I34)</f>
        <v>1.0004111907044954E-2</v>
      </c>
      <c r="J37" s="59"/>
      <c r="K37" s="26" t="s">
        <v>56</v>
      </c>
      <c r="L37" s="36">
        <f>L35/(L34+L35)</f>
        <v>2.8755195966611389E-5</v>
      </c>
      <c r="M37" s="27"/>
      <c r="N37" s="27"/>
      <c r="O37" s="27"/>
      <c r="P37" s="27"/>
    </row>
    <row r="38" spans="2:16" x14ac:dyDescent="0.4">
      <c r="B38" s="27"/>
      <c r="C38" s="27"/>
      <c r="D38" s="27"/>
      <c r="E38" s="40"/>
      <c r="F38" s="40"/>
      <c r="G38" s="59"/>
      <c r="H38" s="59"/>
      <c r="I38" s="59"/>
      <c r="J38" s="59"/>
      <c r="K38" s="36" t="s">
        <v>44</v>
      </c>
      <c r="L38" s="75">
        <f>L36*C33+L37*I37</f>
        <v>0.22999276578224209</v>
      </c>
      <c r="M38" s="27"/>
      <c r="N38" s="27"/>
      <c r="O38" s="27"/>
      <c r="P38" s="27"/>
    </row>
    <row r="40" spans="2:16" x14ac:dyDescent="0.4">
      <c r="B40" s="132" t="s">
        <v>44</v>
      </c>
      <c r="C40" s="133">
        <f>P4/(P4+P17+P31)*L11+P17/(P4+P17+P31)*L24+P31/(P4+P17+P31)*L38</f>
        <v>0.16515260803060144</v>
      </c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</sheetData>
  <mergeCells count="3">
    <mergeCell ref="B1:P1"/>
    <mergeCell ref="B14:P14"/>
    <mergeCell ref="B28:P2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A184E-3781-4686-ACD1-FA85B4416968}">
  <dimension ref="B1:T36"/>
  <sheetViews>
    <sheetView topLeftCell="A13" zoomScaleNormal="100" workbookViewId="0">
      <selection activeCell="F6" sqref="F6:G6"/>
    </sheetView>
  </sheetViews>
  <sheetFormatPr defaultRowHeight="13.9" x14ac:dyDescent="0.4"/>
  <cols>
    <col min="1" max="1" width="2" customWidth="1"/>
    <col min="2" max="2" width="6.86328125" bestFit="1" customWidth="1"/>
    <col min="3" max="3" width="8" bestFit="1" customWidth="1"/>
    <col min="4" max="4" width="2.86328125" customWidth="1"/>
    <col min="5" max="5" width="16.1328125" bestFit="1" customWidth="1"/>
    <col min="6" max="8" width="12.796875" bestFit="1" customWidth="1"/>
    <col min="9" max="9" width="2.796875" customWidth="1"/>
    <col min="10" max="10" width="12.46484375" bestFit="1" customWidth="1"/>
    <col min="11" max="11" width="15" bestFit="1" customWidth="1"/>
    <col min="12" max="12" width="16.1328125" bestFit="1" customWidth="1"/>
    <col min="13" max="13" width="3.33203125" customWidth="1"/>
    <col min="14" max="14" width="9.53125" bestFit="1" customWidth="1"/>
    <col min="15" max="15" width="16.796875" bestFit="1" customWidth="1"/>
    <col min="16" max="16" width="4.33203125" customWidth="1"/>
    <col min="17" max="17" width="9.53125" bestFit="1" customWidth="1"/>
    <col min="18" max="18" width="13.33203125" bestFit="1" customWidth="1"/>
    <col min="19" max="20" width="14.33203125" bestFit="1" customWidth="1"/>
    <col min="21" max="21" width="16.1328125" bestFit="1" customWidth="1"/>
    <col min="22" max="24" width="12.46484375" bestFit="1" customWidth="1"/>
    <col min="29" max="29" width="16.1328125" bestFit="1" customWidth="1"/>
    <col min="30" max="32" width="12.46484375" bestFit="1" customWidth="1"/>
  </cols>
  <sheetData>
    <row r="1" spans="2:20" x14ac:dyDescent="0.4">
      <c r="B1" s="190" t="s">
        <v>40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2:20" x14ac:dyDescent="0.4"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5"/>
      <c r="N2" s="5"/>
      <c r="O2" s="5"/>
      <c r="P2" s="5"/>
      <c r="Q2" s="5"/>
      <c r="R2" s="5"/>
      <c r="S2" s="5"/>
      <c r="T2" s="5"/>
    </row>
    <row r="3" spans="2:20" x14ac:dyDescent="0.4">
      <c r="B3" s="6" t="s">
        <v>29</v>
      </c>
      <c r="C3" s="9">
        <v>2.168399E-2</v>
      </c>
      <c r="D3" s="5"/>
      <c r="E3" s="6"/>
      <c r="F3" s="111">
        <v>2019</v>
      </c>
      <c r="G3" s="111">
        <v>2020</v>
      </c>
      <c r="H3" s="111" t="s">
        <v>64</v>
      </c>
      <c r="I3" s="38"/>
      <c r="J3" s="62"/>
      <c r="K3" s="111">
        <v>2019</v>
      </c>
      <c r="L3" s="111">
        <v>2020</v>
      </c>
      <c r="M3" s="5"/>
      <c r="N3" s="6" t="s">
        <v>53</v>
      </c>
      <c r="O3" s="114">
        <v>74403529819.860001</v>
      </c>
      <c r="P3" s="44"/>
      <c r="Q3" s="7"/>
      <c r="R3" s="112">
        <v>2019</v>
      </c>
      <c r="S3" s="112">
        <v>2020</v>
      </c>
      <c r="T3" s="113" t="s">
        <v>64</v>
      </c>
    </row>
    <row r="4" spans="2:20" x14ac:dyDescent="0.4">
      <c r="B4" s="6" t="s">
        <v>30</v>
      </c>
      <c r="C4" s="9">
        <v>9.3916010000000008E-2</v>
      </c>
      <c r="D4" s="5"/>
      <c r="E4" s="6" t="s">
        <v>33</v>
      </c>
      <c r="F4" s="7"/>
      <c r="G4" s="7"/>
      <c r="H4" s="7"/>
      <c r="I4" s="44"/>
      <c r="J4" s="114" t="s">
        <v>46</v>
      </c>
      <c r="K4" s="7">
        <v>4.0199999999999996</v>
      </c>
      <c r="L4" s="7">
        <v>48.74</v>
      </c>
      <c r="M4" s="5"/>
      <c r="N4" s="6" t="s">
        <v>54</v>
      </c>
      <c r="O4" s="89">
        <v>21091763.5</v>
      </c>
      <c r="P4" s="48"/>
      <c r="Q4" s="10" t="s">
        <v>57</v>
      </c>
      <c r="R4" s="10">
        <v>14582029</v>
      </c>
      <c r="S4" s="10">
        <v>54641929</v>
      </c>
      <c r="T4" s="10">
        <v>34611979</v>
      </c>
    </row>
    <row r="5" spans="2:20" x14ac:dyDescent="0.4">
      <c r="B5" s="6" t="s">
        <v>31</v>
      </c>
      <c r="C5" s="130">
        <v>1.79</v>
      </c>
      <c r="D5" s="5"/>
      <c r="E5" s="6" t="s">
        <v>34</v>
      </c>
      <c r="F5" s="8"/>
      <c r="G5" s="8"/>
      <c r="H5" s="8"/>
      <c r="I5" s="45"/>
      <c r="J5" s="130" t="s">
        <v>52</v>
      </c>
      <c r="K5" s="64">
        <v>1526539389</v>
      </c>
      <c r="L5" s="64">
        <v>1526539389</v>
      </c>
      <c r="M5" s="5"/>
      <c r="N5" s="6" t="s">
        <v>55</v>
      </c>
      <c r="O5" s="14">
        <v>0.99971660234138537</v>
      </c>
      <c r="P5" s="49"/>
      <c r="Q5" s="49"/>
      <c r="R5" s="49"/>
      <c r="S5" s="49"/>
      <c r="T5" s="49"/>
    </row>
    <row r="6" spans="2:20" x14ac:dyDescent="0.4">
      <c r="B6" s="6" t="s">
        <v>32</v>
      </c>
      <c r="C6" s="9">
        <v>0.18979364790000003</v>
      </c>
      <c r="D6" s="5"/>
      <c r="E6" s="6" t="s">
        <v>36</v>
      </c>
      <c r="F6" s="10">
        <v>-370536</v>
      </c>
      <c r="G6" s="10">
        <v>-426015</v>
      </c>
      <c r="H6" s="37">
        <v>-398275.5</v>
      </c>
      <c r="I6" s="46"/>
      <c r="J6" s="11" t="s">
        <v>48</v>
      </c>
      <c r="K6" s="37">
        <v>6136688343.7799997</v>
      </c>
      <c r="L6" s="37">
        <v>74403529819.860001</v>
      </c>
      <c r="M6" s="5"/>
      <c r="N6" s="6" t="s">
        <v>56</v>
      </c>
      <c r="O6" s="14">
        <v>2.8339765861457516E-4</v>
      </c>
      <c r="P6" s="49"/>
      <c r="Q6" s="49"/>
      <c r="R6" s="49"/>
      <c r="S6" s="49"/>
      <c r="T6" s="49"/>
    </row>
    <row r="7" spans="2:20" x14ac:dyDescent="0.4">
      <c r="B7" s="5"/>
      <c r="C7" s="5"/>
      <c r="D7" s="5"/>
      <c r="E7" s="6" t="s">
        <v>35</v>
      </c>
      <c r="F7" s="5"/>
      <c r="G7" s="11"/>
      <c r="H7" s="11">
        <v>0.21</v>
      </c>
      <c r="I7" s="47"/>
      <c r="J7" s="10" t="s">
        <v>50</v>
      </c>
      <c r="K7" s="10">
        <v>-6277599</v>
      </c>
      <c r="L7" s="10">
        <v>27170956</v>
      </c>
      <c r="M7" s="5"/>
      <c r="N7" s="62"/>
      <c r="O7" s="62"/>
      <c r="P7" s="69"/>
      <c r="Q7" s="69"/>
      <c r="R7" s="69"/>
      <c r="S7" s="69"/>
      <c r="T7" s="69"/>
    </row>
    <row r="8" spans="2:20" x14ac:dyDescent="0.4">
      <c r="B8" s="5"/>
      <c r="C8" s="88"/>
      <c r="D8" s="5"/>
      <c r="E8" s="6" t="s">
        <v>37</v>
      </c>
      <c r="F8" s="10">
        <v>19403841</v>
      </c>
      <c r="G8" s="10">
        <v>22779686</v>
      </c>
      <c r="H8" s="10">
        <v>21091763.5</v>
      </c>
      <c r="I8" s="48"/>
      <c r="J8" s="69"/>
      <c r="K8" s="69"/>
      <c r="L8" s="69"/>
      <c r="M8" s="5"/>
      <c r="N8" s="14" t="s">
        <v>44</v>
      </c>
      <c r="O8" s="74">
        <v>0.18974408842610765</v>
      </c>
      <c r="P8" s="49"/>
      <c r="Q8" s="49"/>
      <c r="R8" s="49"/>
      <c r="S8" s="49"/>
      <c r="T8" s="49"/>
    </row>
    <row r="9" spans="2:20" x14ac:dyDescent="0.4">
      <c r="B9" s="5"/>
      <c r="C9" s="5"/>
      <c r="D9" s="5"/>
      <c r="E9" s="6" t="s">
        <v>38</v>
      </c>
      <c r="F9" s="14"/>
      <c r="G9" s="14"/>
      <c r="H9" s="14">
        <v>1.8882987190710725E-2</v>
      </c>
      <c r="I9" s="49"/>
      <c r="J9" s="49"/>
      <c r="K9" s="49"/>
      <c r="L9" s="49"/>
      <c r="M9" s="5"/>
      <c r="N9" s="5"/>
      <c r="O9" s="5"/>
      <c r="P9" s="5"/>
      <c r="Q9" s="5"/>
      <c r="R9" s="5"/>
      <c r="S9" s="5"/>
      <c r="T9" s="5"/>
    </row>
    <row r="10" spans="2:20" x14ac:dyDescent="0.4">
      <c r="B10" s="5"/>
      <c r="C10" s="5"/>
      <c r="D10" s="5"/>
      <c r="E10" s="6" t="s">
        <v>39</v>
      </c>
      <c r="F10" s="14"/>
      <c r="G10" s="14"/>
      <c r="H10" s="14">
        <v>1.4917559880661473E-2</v>
      </c>
      <c r="I10" s="4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3" spans="2:20" x14ac:dyDescent="0.4">
      <c r="B13" s="193" t="s">
        <v>41</v>
      </c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</row>
    <row r="14" spans="2:20" x14ac:dyDescent="0.4"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6"/>
      <c r="N14" s="16"/>
      <c r="O14" s="16"/>
      <c r="P14" s="16"/>
      <c r="Q14" s="16"/>
      <c r="R14" s="16"/>
      <c r="S14" s="16"/>
      <c r="T14" s="16"/>
    </row>
    <row r="15" spans="2:20" x14ac:dyDescent="0.4">
      <c r="B15" s="15" t="s">
        <v>29</v>
      </c>
      <c r="C15" s="17">
        <v>2.168399E-2</v>
      </c>
      <c r="D15" s="16"/>
      <c r="E15" s="15"/>
      <c r="F15" s="118">
        <v>2019</v>
      </c>
      <c r="G15" s="118">
        <v>2020</v>
      </c>
      <c r="H15" s="118" t="s">
        <v>64</v>
      </c>
      <c r="I15" s="39"/>
      <c r="J15" s="118"/>
      <c r="K15" s="118">
        <v>2019</v>
      </c>
      <c r="L15" s="118">
        <v>2020</v>
      </c>
      <c r="M15" s="16"/>
      <c r="N15" s="15" t="s">
        <v>53</v>
      </c>
      <c r="O15" s="115">
        <v>52161781977.299995</v>
      </c>
      <c r="P15" s="50"/>
      <c r="Q15" s="116"/>
      <c r="R15" s="117">
        <v>2019</v>
      </c>
      <c r="S15" s="117">
        <v>2020</v>
      </c>
      <c r="T15" s="117" t="s">
        <v>64</v>
      </c>
    </row>
    <row r="16" spans="2:20" x14ac:dyDescent="0.4">
      <c r="B16" s="15" t="s">
        <v>30</v>
      </c>
      <c r="C16" s="17">
        <v>9.3916010000000008E-2</v>
      </c>
      <c r="D16" s="16"/>
      <c r="E16" s="15" t="s">
        <v>33</v>
      </c>
      <c r="F16" s="18"/>
      <c r="G16" s="18"/>
      <c r="H16" s="18"/>
      <c r="I16" s="50"/>
      <c r="J16" s="115" t="s">
        <v>45</v>
      </c>
      <c r="K16" s="18"/>
      <c r="L16" s="18">
        <v>28.83</v>
      </c>
      <c r="M16" s="16"/>
      <c r="N16" s="15" t="s">
        <v>54</v>
      </c>
      <c r="O16" s="21">
        <v>5750985</v>
      </c>
      <c r="P16" s="53"/>
      <c r="Q16" s="21" t="s">
        <v>57</v>
      </c>
      <c r="R16" s="25">
        <v>9513422</v>
      </c>
      <c r="S16" s="25">
        <v>36373276</v>
      </c>
      <c r="T16" s="25">
        <v>22943349</v>
      </c>
    </row>
    <row r="17" spans="2:20" x14ac:dyDescent="0.4">
      <c r="B17" s="15" t="s">
        <v>31</v>
      </c>
      <c r="C17" s="19">
        <v>1.56</v>
      </c>
      <c r="D17" s="16"/>
      <c r="E17" s="15" t="s">
        <v>34</v>
      </c>
      <c r="F17" s="19"/>
      <c r="G17" s="19"/>
      <c r="H17" s="19"/>
      <c r="I17" s="51"/>
      <c r="J17" s="129" t="s">
        <v>51</v>
      </c>
      <c r="K17" s="19"/>
      <c r="L17" s="63">
        <v>1809288310</v>
      </c>
      <c r="M17" s="16"/>
      <c r="N17" s="15" t="s">
        <v>55</v>
      </c>
      <c r="O17" s="25">
        <v>0.99988975930672908</v>
      </c>
      <c r="P17" s="54"/>
      <c r="Q17" s="54"/>
      <c r="R17" s="16"/>
      <c r="S17" s="16"/>
      <c r="T17" s="16"/>
    </row>
    <row r="18" spans="2:20" x14ac:dyDescent="0.4">
      <c r="B18" s="15" t="s">
        <v>32</v>
      </c>
      <c r="C18" s="17">
        <v>0.16819296560000002</v>
      </c>
      <c r="D18" s="16"/>
      <c r="E18" s="15" t="s">
        <v>36</v>
      </c>
      <c r="F18" s="21">
        <v>-83667</v>
      </c>
      <c r="G18" s="21">
        <v>-66916</v>
      </c>
      <c r="H18" s="60">
        <v>-75291.5</v>
      </c>
      <c r="I18" s="22"/>
      <c r="J18" s="60" t="s">
        <v>47</v>
      </c>
      <c r="K18" s="60"/>
      <c r="L18" s="60">
        <v>52161781977.299995</v>
      </c>
      <c r="M18" s="16"/>
      <c r="N18" s="15" t="s">
        <v>56</v>
      </c>
      <c r="O18" s="25">
        <v>1.1024069327096749E-4</v>
      </c>
      <c r="P18" s="54"/>
      <c r="Q18" s="54"/>
      <c r="R18" s="54"/>
      <c r="S18" s="54"/>
      <c r="T18" s="54"/>
    </row>
    <row r="19" spans="2:20" x14ac:dyDescent="0.4">
      <c r="B19" s="16"/>
      <c r="C19" s="16"/>
      <c r="D19" s="16"/>
      <c r="E19" s="15" t="s">
        <v>35</v>
      </c>
      <c r="F19" s="16"/>
      <c r="G19" s="24"/>
      <c r="H19" s="24">
        <v>0.21</v>
      </c>
      <c r="I19" s="52"/>
      <c r="J19" s="21" t="s">
        <v>49</v>
      </c>
      <c r="K19" s="67">
        <v>-5674531</v>
      </c>
      <c r="L19" s="21">
        <v>29803597</v>
      </c>
      <c r="M19" s="16"/>
      <c r="N19" s="66"/>
      <c r="O19" s="66"/>
      <c r="P19" s="70"/>
      <c r="Q19" s="70"/>
      <c r="R19" s="70"/>
      <c r="S19" s="70"/>
      <c r="T19" s="70"/>
    </row>
    <row r="20" spans="2:20" x14ac:dyDescent="0.4">
      <c r="B20" s="16"/>
      <c r="C20" s="16"/>
      <c r="D20" s="16"/>
      <c r="E20" s="15" t="s">
        <v>37</v>
      </c>
      <c r="F20" s="21">
        <v>4932291</v>
      </c>
      <c r="G20" s="21">
        <v>6569679</v>
      </c>
      <c r="H20" s="21">
        <v>5750985</v>
      </c>
      <c r="I20" s="53"/>
      <c r="J20" s="70"/>
      <c r="K20" s="72"/>
      <c r="L20" s="70"/>
      <c r="M20" s="16"/>
      <c r="N20" s="25" t="s">
        <v>44</v>
      </c>
      <c r="O20" s="76">
        <v>0.16817556406909137</v>
      </c>
      <c r="P20" s="54"/>
      <c r="Q20" s="54"/>
      <c r="R20" s="54"/>
      <c r="S20" s="54"/>
      <c r="T20" s="54"/>
    </row>
    <row r="21" spans="2:20" x14ac:dyDescent="0.4">
      <c r="B21" s="16"/>
      <c r="C21" s="86"/>
      <c r="D21" s="16"/>
      <c r="E21" s="15" t="s">
        <v>38</v>
      </c>
      <c r="F21" s="25"/>
      <c r="G21" s="25"/>
      <c r="H21" s="25">
        <v>1.3091931208306056E-2</v>
      </c>
      <c r="I21" s="54"/>
      <c r="J21" s="54"/>
      <c r="K21" s="54"/>
      <c r="L21" s="54"/>
      <c r="M21" s="16"/>
      <c r="N21" s="16"/>
      <c r="O21" s="16"/>
      <c r="P21" s="16"/>
      <c r="Q21" s="16"/>
      <c r="R21" s="16"/>
      <c r="S21" s="16"/>
      <c r="T21" s="16"/>
    </row>
    <row r="22" spans="2:20" x14ac:dyDescent="0.4">
      <c r="B22" s="16"/>
      <c r="C22" s="16"/>
      <c r="D22" s="16"/>
      <c r="E22" s="15" t="s">
        <v>39</v>
      </c>
      <c r="F22" s="25"/>
      <c r="G22" s="25"/>
      <c r="H22" s="25">
        <v>1.0342625654561784E-2</v>
      </c>
      <c r="I22" s="54"/>
      <c r="J22" s="54"/>
      <c r="K22" s="54"/>
      <c r="L22" s="54"/>
      <c r="M22" s="16"/>
      <c r="N22" s="16"/>
      <c r="O22" s="16"/>
      <c r="P22" s="16"/>
      <c r="Q22" s="16"/>
      <c r="R22" s="16"/>
      <c r="S22" s="16"/>
      <c r="T22" s="16"/>
    </row>
    <row r="25" spans="2:20" x14ac:dyDescent="0.4">
      <c r="B25" s="192" t="s">
        <v>42</v>
      </c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</row>
    <row r="26" spans="2:20" x14ac:dyDescent="0.4"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27"/>
      <c r="N26" s="27"/>
      <c r="O26" s="27"/>
      <c r="P26" s="27"/>
      <c r="Q26" s="27"/>
      <c r="R26" s="27"/>
      <c r="S26" s="27"/>
      <c r="T26" s="27"/>
    </row>
    <row r="27" spans="2:20" s="125" customFormat="1" x14ac:dyDescent="0.4">
      <c r="B27" s="126" t="s">
        <v>29</v>
      </c>
      <c r="C27" s="131">
        <v>2.168399E-2</v>
      </c>
      <c r="D27" s="120"/>
      <c r="E27" s="119"/>
      <c r="F27" s="119">
        <v>2019</v>
      </c>
      <c r="G27" s="119">
        <v>2020</v>
      </c>
      <c r="H27" s="119" t="s">
        <v>64</v>
      </c>
      <c r="I27" s="121"/>
      <c r="J27" s="119"/>
      <c r="K27" s="119">
        <v>2019</v>
      </c>
      <c r="L27" s="119">
        <v>2020</v>
      </c>
      <c r="M27" s="120"/>
      <c r="N27" s="119" t="s">
        <v>53</v>
      </c>
      <c r="O27" s="127">
        <v>61653171203.269997</v>
      </c>
      <c r="P27" s="123"/>
      <c r="Q27" s="122"/>
      <c r="R27" s="124">
        <v>2019</v>
      </c>
      <c r="S27" s="124">
        <v>2020</v>
      </c>
      <c r="T27" s="124" t="s">
        <v>64</v>
      </c>
    </row>
    <row r="28" spans="2:20" x14ac:dyDescent="0.4">
      <c r="B28" s="26" t="s">
        <v>30</v>
      </c>
      <c r="C28" s="28">
        <v>9.3916010000000008E-2</v>
      </c>
      <c r="D28" s="27"/>
      <c r="E28" s="26" t="s">
        <v>33</v>
      </c>
      <c r="F28" s="29"/>
      <c r="G28" s="29"/>
      <c r="H28" s="29"/>
      <c r="I28" s="55"/>
      <c r="J28" s="127" t="s">
        <v>45</v>
      </c>
      <c r="K28" s="29"/>
      <c r="L28" s="29">
        <v>42.83</v>
      </c>
      <c r="M28" s="27"/>
      <c r="N28" s="26" t="s">
        <v>54</v>
      </c>
      <c r="O28" s="32">
        <v>8332643.5</v>
      </c>
      <c r="P28" s="58"/>
      <c r="Q28" s="32" t="s">
        <v>57</v>
      </c>
      <c r="R28" s="32">
        <v>9251365</v>
      </c>
      <c r="S28" s="32">
        <v>44706779</v>
      </c>
      <c r="T28" s="32">
        <v>26979072</v>
      </c>
    </row>
    <row r="29" spans="2:20" x14ac:dyDescent="0.4">
      <c r="B29" s="26" t="s">
        <v>31</v>
      </c>
      <c r="C29" s="30">
        <v>2.0299999999999998</v>
      </c>
      <c r="D29" s="27"/>
      <c r="E29" s="26" t="s">
        <v>34</v>
      </c>
      <c r="F29" s="30"/>
      <c r="G29" s="30"/>
      <c r="H29" s="30"/>
      <c r="I29" s="56"/>
      <c r="J29" s="128" t="s">
        <v>51</v>
      </c>
      <c r="K29" s="30"/>
      <c r="L29" s="65">
        <v>1439485669</v>
      </c>
      <c r="M29" s="27"/>
      <c r="N29" s="26" t="s">
        <v>55</v>
      </c>
      <c r="O29" s="36">
        <v>0.99986486473763747</v>
      </c>
      <c r="P29" s="59"/>
      <c r="Q29" s="59"/>
      <c r="R29" s="59"/>
      <c r="S29" s="59"/>
      <c r="T29" s="59"/>
    </row>
    <row r="30" spans="2:20" x14ac:dyDescent="0.4">
      <c r="B30" s="26" t="s">
        <v>32</v>
      </c>
      <c r="C30" s="28">
        <v>0.21233349029999998</v>
      </c>
      <c r="D30" s="27"/>
      <c r="E30" s="26" t="s">
        <v>36</v>
      </c>
      <c r="F30" s="32">
        <v>-32017</v>
      </c>
      <c r="G30" s="32">
        <v>-22451</v>
      </c>
      <c r="H30" s="61">
        <v>-27234</v>
      </c>
      <c r="I30" s="33"/>
      <c r="J30" s="61" t="s">
        <v>47</v>
      </c>
      <c r="K30" s="61"/>
      <c r="L30" s="61">
        <v>61653171203.269997</v>
      </c>
      <c r="M30" s="27"/>
      <c r="N30" s="26" t="s">
        <v>56</v>
      </c>
      <c r="O30" s="36">
        <v>1.3513526236250703E-4</v>
      </c>
      <c r="P30" s="59"/>
      <c r="Q30" s="59"/>
      <c r="R30" s="59"/>
      <c r="S30" s="59"/>
      <c r="T30" s="59"/>
    </row>
    <row r="31" spans="2:20" x14ac:dyDescent="0.4">
      <c r="B31" s="27"/>
      <c r="C31" s="27"/>
      <c r="D31" s="27"/>
      <c r="E31" s="26" t="s">
        <v>35</v>
      </c>
      <c r="F31" s="27"/>
      <c r="G31" s="35"/>
      <c r="H31" s="35">
        <v>0.21</v>
      </c>
      <c r="I31" s="57"/>
      <c r="J31" s="32" t="s">
        <v>49</v>
      </c>
      <c r="K31" s="32">
        <v>-6830430</v>
      </c>
      <c r="L31" s="32">
        <v>34429809</v>
      </c>
      <c r="M31" s="27"/>
      <c r="N31" s="68"/>
      <c r="O31" s="68"/>
      <c r="P31" s="71"/>
      <c r="Q31" s="71"/>
      <c r="R31" s="71"/>
      <c r="S31" s="71"/>
      <c r="T31" s="71"/>
    </row>
    <row r="32" spans="2:20" x14ac:dyDescent="0.4">
      <c r="B32" s="27"/>
      <c r="C32" s="27"/>
      <c r="D32" s="27"/>
      <c r="E32" s="26" t="s">
        <v>37</v>
      </c>
      <c r="F32" s="32">
        <v>6388317</v>
      </c>
      <c r="G32" s="32">
        <v>10276970</v>
      </c>
      <c r="H32" s="32">
        <v>8332643.5</v>
      </c>
      <c r="I32" s="58"/>
      <c r="J32" s="71"/>
      <c r="K32" s="71"/>
      <c r="L32" s="71"/>
      <c r="M32" s="27"/>
      <c r="N32" s="36" t="s">
        <v>44</v>
      </c>
      <c r="O32" s="75">
        <v>0.21230514547691354</v>
      </c>
      <c r="P32" s="59"/>
      <c r="Q32" s="59"/>
      <c r="R32" s="59"/>
      <c r="S32" s="59"/>
      <c r="T32" s="59"/>
    </row>
    <row r="33" spans="2:20" x14ac:dyDescent="0.4">
      <c r="B33" s="27"/>
      <c r="C33" s="87"/>
      <c r="D33" s="27"/>
      <c r="E33" s="26" t="s">
        <v>38</v>
      </c>
      <c r="F33" s="36"/>
      <c r="G33" s="36"/>
      <c r="H33" s="36">
        <v>3.2683505540588649E-3</v>
      </c>
      <c r="I33" s="59"/>
      <c r="J33" s="59"/>
      <c r="K33" s="59"/>
      <c r="L33" s="59"/>
      <c r="M33" s="27"/>
      <c r="N33" s="27"/>
      <c r="O33" s="27"/>
      <c r="P33" s="27"/>
      <c r="Q33" s="27"/>
      <c r="R33" s="27"/>
      <c r="S33" s="27"/>
      <c r="T33" s="27"/>
    </row>
    <row r="34" spans="2:20" x14ac:dyDescent="0.4">
      <c r="B34" s="27"/>
      <c r="C34" s="27"/>
      <c r="D34" s="27"/>
      <c r="E34" s="26" t="s">
        <v>39</v>
      </c>
      <c r="F34" s="36"/>
      <c r="G34" s="36"/>
      <c r="H34" s="36">
        <v>2.5819969377065032E-3</v>
      </c>
      <c r="I34" s="59"/>
      <c r="J34" s="59"/>
      <c r="K34" s="59"/>
      <c r="L34" s="59"/>
      <c r="M34" s="27"/>
      <c r="N34" s="27"/>
      <c r="O34" s="27"/>
      <c r="P34" s="27"/>
      <c r="Q34" s="27"/>
      <c r="R34" s="27"/>
      <c r="S34" s="27"/>
      <c r="T34" s="27"/>
    </row>
    <row r="36" spans="2:20" x14ac:dyDescent="0.4">
      <c r="B36" s="132" t="s">
        <v>44</v>
      </c>
      <c r="C36" s="133">
        <v>0.19109054857525137</v>
      </c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</row>
  </sheetData>
  <mergeCells count="3">
    <mergeCell ref="B1:T1"/>
    <mergeCell ref="B13:T13"/>
    <mergeCell ref="B25:T2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4869D-D1BE-475F-8D2A-4627E96B3A5B}">
  <dimension ref="A1:G6"/>
  <sheetViews>
    <sheetView workbookViewId="0">
      <selection activeCell="C7" sqref="C7"/>
    </sheetView>
  </sheetViews>
  <sheetFormatPr defaultRowHeight="13.9" x14ac:dyDescent="0.4"/>
  <cols>
    <col min="1" max="1" width="54" bestFit="1" customWidth="1"/>
    <col min="2" max="2" width="15.1328125" bestFit="1" customWidth="1"/>
    <col min="3" max="3" width="10.796875" customWidth="1"/>
    <col min="4" max="4" width="1.796875" customWidth="1"/>
    <col min="5" max="7" width="10.796875" customWidth="1"/>
  </cols>
  <sheetData>
    <row r="1" spans="1:7" x14ac:dyDescent="0.4">
      <c r="A1" t="s">
        <v>79</v>
      </c>
    </row>
    <row r="3" spans="1:7" x14ac:dyDescent="0.4">
      <c r="B3" s="140" t="s">
        <v>80</v>
      </c>
      <c r="C3" s="140">
        <v>2</v>
      </c>
      <c r="D3" s="140"/>
      <c r="E3" s="140">
        <v>1</v>
      </c>
      <c r="F3" s="140" t="s">
        <v>82</v>
      </c>
      <c r="G3" s="141">
        <v>0.01</v>
      </c>
    </row>
    <row r="4" spans="1:7" x14ac:dyDescent="0.4">
      <c r="B4" s="140"/>
      <c r="C4" s="140"/>
      <c r="D4" s="140"/>
      <c r="E4" s="140">
        <v>2</v>
      </c>
      <c r="F4" s="140" t="s">
        <v>81</v>
      </c>
      <c r="G4" s="141">
        <v>3.5099999999999999E-2</v>
      </c>
    </row>
    <row r="5" spans="1:7" x14ac:dyDescent="0.4">
      <c r="B5" s="140"/>
      <c r="C5" s="140"/>
      <c r="D5" s="140"/>
      <c r="E5" s="140"/>
    </row>
    <row r="6" spans="1:7" x14ac:dyDescent="0.4">
      <c r="B6" s="140" t="s">
        <v>84</v>
      </c>
      <c r="C6" s="141">
        <f>CHOOSE($C$3,G3,G4)</f>
        <v>3.5099999999999999E-2</v>
      </c>
      <c r="D6" s="140"/>
      <c r="E6" s="140"/>
      <c r="F6" s="140"/>
      <c r="G6" s="140"/>
    </row>
  </sheetData>
  <phoneticPr fontId="1" type="noConversion"/>
  <dataValidations count="1">
    <dataValidation type="list" allowBlank="1" showInputMessage="1" showErrorMessage="1" sqref="C3" xr:uid="{4EB18AC5-D82A-4110-A609-BDA45461BBEC}">
      <formula1>"1,2"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CDF2-5C38-4C5A-BE41-1CF1B24987B4}">
  <dimension ref="A1:Q50"/>
  <sheetViews>
    <sheetView zoomScale="85" zoomScaleNormal="85" workbookViewId="0">
      <pane ySplit="2" topLeftCell="A27" activePane="bottomLeft" state="frozen"/>
      <selection pane="bottomLeft" activeCell="D48" sqref="D48"/>
    </sheetView>
  </sheetViews>
  <sheetFormatPr defaultRowHeight="20" customHeight="1" x14ac:dyDescent="0.4"/>
  <cols>
    <col min="1" max="1" width="63.19921875" bestFit="1" customWidth="1"/>
    <col min="2" max="2" width="7" bestFit="1" customWidth="1"/>
    <col min="3" max="3" width="5.53125" bestFit="1" customWidth="1"/>
    <col min="4" max="4" width="9.53125" bestFit="1" customWidth="1"/>
    <col min="5" max="6" width="7" bestFit="1" customWidth="1"/>
    <col min="7" max="9" width="6.53125" bestFit="1" customWidth="1"/>
    <col min="10" max="12" width="7" bestFit="1" customWidth="1"/>
    <col min="13" max="13" width="7.53125" bestFit="1" customWidth="1"/>
    <col min="14" max="14" width="9.53125" bestFit="1" customWidth="1"/>
    <col min="15" max="15" width="9.19921875" bestFit="1" customWidth="1"/>
    <col min="16" max="16" width="16.86328125" bestFit="1" customWidth="1"/>
  </cols>
  <sheetData>
    <row r="1" spans="1:17" ht="20" customHeight="1" x14ac:dyDescent="0.4">
      <c r="A1" s="186" t="s">
        <v>9</v>
      </c>
      <c r="B1" s="186" t="s">
        <v>15</v>
      </c>
      <c r="C1" s="186"/>
      <c r="D1" s="186"/>
      <c r="E1" s="186"/>
      <c r="F1" s="186"/>
      <c r="G1" s="186"/>
      <c r="H1" s="186"/>
      <c r="I1" s="186"/>
      <c r="J1" s="105"/>
      <c r="K1" s="105"/>
      <c r="L1" s="105"/>
      <c r="M1" s="105"/>
      <c r="N1" s="105"/>
    </row>
    <row r="2" spans="1:17" ht="20" customHeight="1" x14ac:dyDescent="0.4">
      <c r="A2" s="186"/>
      <c r="B2" s="143">
        <v>2018</v>
      </c>
      <c r="C2" s="143">
        <v>2019</v>
      </c>
      <c r="D2" s="143">
        <v>2020</v>
      </c>
      <c r="E2" s="143" t="s">
        <v>10</v>
      </c>
      <c r="F2" s="143" t="s">
        <v>11</v>
      </c>
      <c r="G2" s="143" t="s">
        <v>12</v>
      </c>
      <c r="H2" s="143" t="s">
        <v>13</v>
      </c>
      <c r="I2" s="143" t="s">
        <v>14</v>
      </c>
      <c r="J2" s="143" t="s">
        <v>65</v>
      </c>
      <c r="K2" s="143" t="s">
        <v>66</v>
      </c>
      <c r="L2" s="143" t="s">
        <v>67</v>
      </c>
      <c r="M2" s="143" t="s">
        <v>68</v>
      </c>
      <c r="N2" s="143" t="s">
        <v>69</v>
      </c>
    </row>
    <row r="3" spans="1:17" ht="20" customHeight="1" x14ac:dyDescent="0.4">
      <c r="A3" s="1" t="s">
        <v>0</v>
      </c>
      <c r="B3" s="143">
        <v>0.5</v>
      </c>
      <c r="C3" s="143">
        <v>0.7</v>
      </c>
      <c r="D3" s="143">
        <v>1</v>
      </c>
      <c r="E3" s="143">
        <v>3.4</v>
      </c>
      <c r="F3" s="143">
        <v>6.8</v>
      </c>
      <c r="G3" s="143">
        <v>34</v>
      </c>
      <c r="H3" s="143">
        <v>102</v>
      </c>
      <c r="I3" s="143">
        <v>204</v>
      </c>
      <c r="J3" s="143">
        <v>337.96000000000004</v>
      </c>
      <c r="K3" s="143">
        <v>506.6</v>
      </c>
      <c r="L3" s="143">
        <v>709.24</v>
      </c>
      <c r="M3" s="143">
        <v>945.88</v>
      </c>
      <c r="N3" s="143">
        <v>1216.52</v>
      </c>
    </row>
    <row r="4" spans="1:17" ht="20" customHeight="1" x14ac:dyDescent="0.4">
      <c r="A4" s="1" t="s">
        <v>16</v>
      </c>
      <c r="B4" s="143">
        <v>0.2</v>
      </c>
      <c r="C4" s="143">
        <v>0.3</v>
      </c>
      <c r="D4" s="143">
        <v>0.4</v>
      </c>
      <c r="E4" s="143">
        <v>1.4</v>
      </c>
      <c r="F4" s="143">
        <v>2.4</v>
      </c>
      <c r="G4" s="143">
        <v>11.9</v>
      </c>
      <c r="H4" s="143">
        <v>30.6</v>
      </c>
      <c r="I4" s="143">
        <v>61.2</v>
      </c>
      <c r="J4" s="105"/>
      <c r="K4" s="105"/>
      <c r="L4" s="105"/>
      <c r="M4" s="105"/>
      <c r="N4" s="105"/>
    </row>
    <row r="5" spans="1:17" ht="20" customHeight="1" x14ac:dyDescent="0.4">
      <c r="A5" s="1" t="s">
        <v>17</v>
      </c>
      <c r="B5" s="143">
        <v>0.2</v>
      </c>
      <c r="C5" s="143">
        <v>0.3</v>
      </c>
      <c r="D5" s="143">
        <v>0.5</v>
      </c>
      <c r="E5" s="143">
        <v>1.7</v>
      </c>
      <c r="F5" s="143">
        <v>3.7</v>
      </c>
      <c r="G5" s="143">
        <v>18.7</v>
      </c>
      <c r="H5" s="143">
        <v>61.2</v>
      </c>
      <c r="I5" s="143">
        <v>122.4</v>
      </c>
      <c r="J5" s="105"/>
      <c r="K5" s="105"/>
      <c r="L5" s="105"/>
      <c r="M5" s="105"/>
      <c r="N5" s="105"/>
    </row>
    <row r="6" spans="1:17" ht="20" customHeight="1" x14ac:dyDescent="0.4">
      <c r="A6" s="1" t="s">
        <v>18</v>
      </c>
      <c r="B6" s="143">
        <v>0</v>
      </c>
      <c r="C6" s="143">
        <v>0.1</v>
      </c>
      <c r="D6" s="143">
        <v>0.1</v>
      </c>
      <c r="E6" s="143">
        <v>0.3</v>
      </c>
      <c r="F6" s="143">
        <v>0.7</v>
      </c>
      <c r="G6" s="143">
        <v>3.4</v>
      </c>
      <c r="H6" s="143">
        <v>10.199999999999999</v>
      </c>
      <c r="I6" s="143">
        <v>20.399999999999999</v>
      </c>
      <c r="J6" s="105"/>
      <c r="K6" s="105"/>
      <c r="L6" s="105"/>
      <c r="M6" s="105"/>
      <c r="N6" s="105"/>
    </row>
    <row r="7" spans="1:17" ht="20" customHeight="1" x14ac:dyDescent="0.4">
      <c r="A7" s="1" t="s">
        <v>1</v>
      </c>
      <c r="B7" s="143">
        <v>0.3</v>
      </c>
      <c r="C7" s="143">
        <v>0.5</v>
      </c>
      <c r="D7" s="143">
        <v>0.7</v>
      </c>
      <c r="E7" s="143">
        <v>0.8</v>
      </c>
      <c r="F7" s="143">
        <v>4.5</v>
      </c>
      <c r="G7" s="143">
        <v>16.7</v>
      </c>
      <c r="H7" s="143">
        <v>54.4</v>
      </c>
      <c r="I7" s="143">
        <v>112.2</v>
      </c>
      <c r="J7" s="105"/>
      <c r="K7" s="105"/>
      <c r="L7" s="105"/>
      <c r="M7" s="105"/>
      <c r="N7" s="105"/>
    </row>
    <row r="8" spans="1:17" ht="20" customHeight="1" x14ac:dyDescent="0.4">
      <c r="A8" s="1" t="s">
        <v>19</v>
      </c>
      <c r="B8" s="143">
        <v>5.4</v>
      </c>
      <c r="C8" s="143">
        <v>7.5</v>
      </c>
      <c r="D8" s="143">
        <v>9.5</v>
      </c>
      <c r="E8" s="150">
        <f>11.6*(1+$Q$8)</f>
        <v>13.92</v>
      </c>
      <c r="F8" s="150">
        <f>13.6*(1+Q8)</f>
        <v>16.32</v>
      </c>
      <c r="G8" s="150">
        <f>15.6*(1+Q8)</f>
        <v>18.72</v>
      </c>
      <c r="H8" s="143">
        <v>17.7</v>
      </c>
      <c r="I8" s="143">
        <v>19.7</v>
      </c>
      <c r="J8" s="105"/>
      <c r="K8" s="105"/>
      <c r="L8" s="105"/>
      <c r="M8" s="105"/>
      <c r="N8" s="105"/>
      <c r="P8" t="s">
        <v>92</v>
      </c>
      <c r="Q8" s="149">
        <v>0.2</v>
      </c>
    </row>
    <row r="9" spans="1:17" ht="20" customHeight="1" x14ac:dyDescent="0.4">
      <c r="A9" s="1" t="s">
        <v>20</v>
      </c>
      <c r="B9" s="143">
        <v>2.2000000000000002</v>
      </c>
      <c r="C9" s="143">
        <v>3</v>
      </c>
      <c r="D9" s="143">
        <v>3.8</v>
      </c>
      <c r="E9" s="143">
        <v>4.5999999999999996</v>
      </c>
      <c r="F9" s="143">
        <v>5.4</v>
      </c>
      <c r="G9" s="143">
        <v>6.3</v>
      </c>
      <c r="H9" s="143">
        <v>7.1</v>
      </c>
      <c r="I9" s="143">
        <v>7.9</v>
      </c>
      <c r="J9" s="105"/>
      <c r="K9" s="105"/>
      <c r="L9" s="105"/>
      <c r="M9" s="105"/>
      <c r="N9" s="105"/>
    </row>
    <row r="10" spans="1:17" ht="20" customHeight="1" x14ac:dyDescent="0.4">
      <c r="A10" s="1" t="s">
        <v>21</v>
      </c>
      <c r="B10" s="143">
        <v>1.6</v>
      </c>
      <c r="C10" s="143">
        <v>2.2000000000000002</v>
      </c>
      <c r="D10" s="143">
        <v>2.9</v>
      </c>
      <c r="E10" s="143">
        <v>3.5</v>
      </c>
      <c r="F10" s="143">
        <v>4.0999999999999996</v>
      </c>
      <c r="G10" s="143">
        <v>4.7</v>
      </c>
      <c r="H10" s="143">
        <v>5.3</v>
      </c>
      <c r="I10" s="143">
        <v>5.9</v>
      </c>
      <c r="J10" s="105"/>
      <c r="K10" s="105"/>
      <c r="L10" s="105"/>
      <c r="M10" s="105"/>
      <c r="N10" s="105"/>
    </row>
    <row r="11" spans="1:17" ht="20" customHeight="1" x14ac:dyDescent="0.4">
      <c r="A11" s="1" t="s">
        <v>22</v>
      </c>
      <c r="B11" s="143">
        <v>1.1000000000000001</v>
      </c>
      <c r="C11" s="143">
        <v>1.5</v>
      </c>
      <c r="D11" s="143">
        <v>1.9</v>
      </c>
      <c r="E11" s="143">
        <v>2.2999999999999998</v>
      </c>
      <c r="F11" s="143">
        <v>2.7</v>
      </c>
      <c r="G11" s="143">
        <v>3.1</v>
      </c>
      <c r="H11" s="143">
        <v>3.5</v>
      </c>
      <c r="I11" s="143">
        <v>3.9</v>
      </c>
      <c r="J11" s="105"/>
      <c r="K11" s="105"/>
      <c r="L11" s="105"/>
      <c r="M11" s="105"/>
      <c r="N11" s="105"/>
    </row>
    <row r="12" spans="1:17" ht="20" customHeight="1" x14ac:dyDescent="0.4">
      <c r="A12" s="1" t="s">
        <v>91</v>
      </c>
      <c r="B12" s="143">
        <v>0.5</v>
      </c>
      <c r="C12" s="143">
        <v>0.7</v>
      </c>
      <c r="D12" s="143">
        <v>1</v>
      </c>
      <c r="E12" s="143">
        <v>1.2</v>
      </c>
      <c r="F12" s="143">
        <v>1.4</v>
      </c>
      <c r="G12" s="143">
        <v>1.6</v>
      </c>
      <c r="H12" s="143">
        <v>1.8</v>
      </c>
      <c r="I12" s="143">
        <v>2</v>
      </c>
      <c r="J12" s="105"/>
      <c r="K12" s="105"/>
      <c r="L12" s="105"/>
      <c r="M12" s="105"/>
      <c r="N12" s="105"/>
    </row>
    <row r="13" spans="1:17" ht="20" customHeight="1" x14ac:dyDescent="0.4">
      <c r="A13" s="1" t="s">
        <v>2</v>
      </c>
      <c r="B13" s="143">
        <v>0.3</v>
      </c>
      <c r="C13" s="143">
        <v>0.7</v>
      </c>
      <c r="D13" s="143">
        <v>1</v>
      </c>
      <c r="E13" s="143">
        <v>2</v>
      </c>
      <c r="F13" s="143">
        <v>3.1</v>
      </c>
      <c r="G13" s="143">
        <v>4.4000000000000004</v>
      </c>
      <c r="H13" s="143">
        <v>5.8</v>
      </c>
      <c r="I13" s="143">
        <v>10.5</v>
      </c>
      <c r="J13" s="105"/>
      <c r="K13" s="105"/>
      <c r="L13" s="105"/>
      <c r="M13" s="105"/>
      <c r="N13" s="105"/>
    </row>
    <row r="14" spans="1:17" ht="20" customHeight="1" x14ac:dyDescent="0.4">
      <c r="A14" s="1" t="s">
        <v>3</v>
      </c>
      <c r="B14" s="143">
        <v>0</v>
      </c>
      <c r="C14" s="143">
        <v>0</v>
      </c>
      <c r="D14" s="143">
        <v>0.1</v>
      </c>
      <c r="E14" s="143">
        <v>0.3</v>
      </c>
      <c r="F14" s="143">
        <v>0.7</v>
      </c>
      <c r="G14" s="143">
        <v>3.7</v>
      </c>
      <c r="H14" s="143">
        <v>6.8</v>
      </c>
      <c r="I14" s="143">
        <v>13.6</v>
      </c>
      <c r="J14" s="105"/>
      <c r="K14" s="105"/>
      <c r="L14" s="105"/>
      <c r="M14" s="105"/>
      <c r="N14" s="105"/>
    </row>
    <row r="15" spans="1:17" ht="20" customHeight="1" x14ac:dyDescent="0.4">
      <c r="A15" s="1" t="s">
        <v>4</v>
      </c>
      <c r="B15" s="143">
        <v>-5.7</v>
      </c>
      <c r="C15" s="143">
        <v>-8</v>
      </c>
      <c r="D15" s="143">
        <v>-10.3</v>
      </c>
      <c r="E15" s="150">
        <f>E3-E7-E8-E13-E14</f>
        <v>-13.620000000000001</v>
      </c>
      <c r="F15" s="150">
        <f>F3-F7-F8-F13-F14</f>
        <v>-17.82</v>
      </c>
      <c r="G15" s="150">
        <f>G3-G7-G8-G13-G14</f>
        <v>-9.52</v>
      </c>
      <c r="H15" s="143">
        <v>17.3</v>
      </c>
      <c r="I15" s="143">
        <v>47.9</v>
      </c>
      <c r="J15" s="105"/>
      <c r="K15" s="105"/>
      <c r="L15" s="105"/>
      <c r="M15" s="105"/>
      <c r="N15" s="105"/>
    </row>
    <row r="16" spans="1:17" ht="20" customHeight="1" x14ac:dyDescent="0.4">
      <c r="A16" s="1" t="s">
        <v>5</v>
      </c>
      <c r="B16" s="143">
        <v>0</v>
      </c>
      <c r="C16" s="143">
        <v>0</v>
      </c>
      <c r="D16" s="143">
        <v>0</v>
      </c>
      <c r="E16" s="143">
        <v>0</v>
      </c>
      <c r="F16" s="143">
        <v>0</v>
      </c>
      <c r="G16" s="143">
        <v>0</v>
      </c>
      <c r="H16" s="143">
        <v>2.6</v>
      </c>
      <c r="I16" s="143">
        <v>7.2</v>
      </c>
      <c r="J16" s="105"/>
      <c r="K16" s="105"/>
      <c r="L16" s="105"/>
      <c r="M16" s="105"/>
      <c r="N16" s="105"/>
    </row>
    <row r="17" spans="1:14" ht="20" customHeight="1" x14ac:dyDescent="0.4">
      <c r="A17" s="1" t="s">
        <v>6</v>
      </c>
      <c r="B17" s="143">
        <v>-5.7</v>
      </c>
      <c r="C17" s="143">
        <v>-8</v>
      </c>
      <c r="D17" s="143">
        <v>-10.3</v>
      </c>
      <c r="E17" s="143">
        <v>-11.3</v>
      </c>
      <c r="F17" s="143">
        <v>-15.1</v>
      </c>
      <c r="G17" s="143">
        <v>-6.5</v>
      </c>
      <c r="H17" s="143">
        <v>14.7</v>
      </c>
      <c r="I17" s="143">
        <v>40.700000000000003</v>
      </c>
      <c r="J17" s="105"/>
      <c r="K17" s="105"/>
      <c r="L17" s="105"/>
      <c r="M17" s="105"/>
      <c r="N17" s="105"/>
    </row>
    <row r="18" spans="1:14" ht="20" customHeight="1" x14ac:dyDescent="0.4">
      <c r="A18" s="1" t="s">
        <v>7</v>
      </c>
      <c r="B18" s="143">
        <v>0.6</v>
      </c>
      <c r="C18" s="143">
        <v>0.9</v>
      </c>
      <c r="D18" s="143">
        <v>2.5</v>
      </c>
      <c r="E18" s="143">
        <v>4.2</v>
      </c>
      <c r="F18" s="143">
        <v>4.4000000000000004</v>
      </c>
      <c r="G18" s="143">
        <v>3.4</v>
      </c>
      <c r="H18" s="143">
        <v>8.1999999999999993</v>
      </c>
      <c r="I18" s="143">
        <v>16.3</v>
      </c>
      <c r="J18" s="105"/>
      <c r="K18" s="105"/>
      <c r="L18" s="105"/>
      <c r="M18" s="105"/>
      <c r="N18" s="105"/>
    </row>
    <row r="19" spans="1:14" ht="20" customHeight="1" x14ac:dyDescent="0.4">
      <c r="A19" s="1" t="s">
        <v>8</v>
      </c>
      <c r="B19" s="143">
        <v>0</v>
      </c>
      <c r="C19" s="143">
        <v>0</v>
      </c>
      <c r="D19" s="143">
        <v>0</v>
      </c>
      <c r="E19" s="143">
        <v>0.1</v>
      </c>
      <c r="F19" s="143">
        <v>0.4</v>
      </c>
      <c r="G19" s="143">
        <v>2.1</v>
      </c>
      <c r="H19" s="143">
        <v>6.3</v>
      </c>
      <c r="I19" s="143">
        <v>12.9</v>
      </c>
      <c r="J19" s="105"/>
      <c r="K19" s="105"/>
      <c r="L19" s="105"/>
      <c r="M19" s="105"/>
      <c r="N19" s="105"/>
    </row>
    <row r="20" spans="1:14" ht="20" customHeight="1" x14ac:dyDescent="0.4">
      <c r="A20" s="2"/>
    </row>
    <row r="21" spans="1:14" ht="20" customHeight="1" x14ac:dyDescent="0.4">
      <c r="A21" s="1" t="s">
        <v>23</v>
      </c>
      <c r="B21">
        <f>B15+B14</f>
        <v>-5.7</v>
      </c>
      <c r="C21">
        <f t="shared" ref="C21:I21" si="0">C15+C14</f>
        <v>-8</v>
      </c>
      <c r="D21">
        <f t="shared" si="0"/>
        <v>-10.200000000000001</v>
      </c>
      <c r="E21" s="185">
        <f t="shared" si="0"/>
        <v>-13.32</v>
      </c>
      <c r="F21" s="185">
        <f t="shared" si="0"/>
        <v>-17.12</v>
      </c>
      <c r="G21" s="185">
        <f t="shared" si="0"/>
        <v>-5.8199999999999994</v>
      </c>
      <c r="H21">
        <f t="shared" si="0"/>
        <v>24.1</v>
      </c>
      <c r="I21">
        <f t="shared" si="0"/>
        <v>61.5</v>
      </c>
    </row>
    <row r="22" spans="1:14" ht="20" customHeight="1" x14ac:dyDescent="0.4">
      <c r="A22" s="3" t="s">
        <v>24</v>
      </c>
      <c r="B22">
        <f>-B16</f>
        <v>0</v>
      </c>
      <c r="C22">
        <f t="shared" ref="C22:I22" si="1">-C16</f>
        <v>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-2.6</v>
      </c>
      <c r="I22">
        <f t="shared" si="1"/>
        <v>-7.2</v>
      </c>
    </row>
    <row r="23" spans="1:14" ht="20" customHeight="1" x14ac:dyDescent="0.4">
      <c r="A23" s="4" t="s">
        <v>25</v>
      </c>
      <c r="B23">
        <f>B12</f>
        <v>0.5</v>
      </c>
      <c r="C23">
        <f t="shared" ref="C23:I23" si="2">C12</f>
        <v>0.7</v>
      </c>
      <c r="D23">
        <f t="shared" si="2"/>
        <v>1</v>
      </c>
      <c r="E23">
        <f t="shared" si="2"/>
        <v>1.2</v>
      </c>
      <c r="F23">
        <f t="shared" si="2"/>
        <v>1.4</v>
      </c>
      <c r="G23">
        <f t="shared" si="2"/>
        <v>1.6</v>
      </c>
      <c r="H23">
        <f t="shared" si="2"/>
        <v>1.8</v>
      </c>
      <c r="I23">
        <f t="shared" si="2"/>
        <v>2</v>
      </c>
    </row>
    <row r="24" spans="1:14" ht="20" customHeight="1" x14ac:dyDescent="0.4">
      <c r="A24" s="3" t="s">
        <v>26</v>
      </c>
      <c r="B24">
        <f>-B19</f>
        <v>0</v>
      </c>
      <c r="C24">
        <f t="shared" ref="C24:I24" si="3">-C19</f>
        <v>0</v>
      </c>
      <c r="D24">
        <f t="shared" si="3"/>
        <v>0</v>
      </c>
      <c r="E24">
        <f t="shared" si="3"/>
        <v>-0.1</v>
      </c>
      <c r="F24">
        <f t="shared" si="3"/>
        <v>-0.4</v>
      </c>
      <c r="G24">
        <f t="shared" si="3"/>
        <v>-2.1</v>
      </c>
      <c r="H24">
        <f t="shared" si="3"/>
        <v>-6.3</v>
      </c>
      <c r="I24">
        <f t="shared" si="3"/>
        <v>-12.9</v>
      </c>
    </row>
    <row r="25" spans="1:14" ht="20" customHeight="1" x14ac:dyDescent="0.4">
      <c r="A25" s="3" t="s">
        <v>27</v>
      </c>
      <c r="B25">
        <f>-B18</f>
        <v>-0.6</v>
      </c>
      <c r="C25">
        <f t="shared" ref="C25:I25" si="4">-C18</f>
        <v>-0.9</v>
      </c>
      <c r="D25">
        <f t="shared" si="4"/>
        <v>-2.5</v>
      </c>
      <c r="E25">
        <f t="shared" si="4"/>
        <v>-4.2</v>
      </c>
      <c r="F25">
        <f t="shared" si="4"/>
        <v>-4.4000000000000004</v>
      </c>
      <c r="G25">
        <f t="shared" si="4"/>
        <v>-3.4</v>
      </c>
      <c r="H25">
        <f t="shared" si="4"/>
        <v>-8.1999999999999993</v>
      </c>
      <c r="I25">
        <f t="shared" si="4"/>
        <v>-16.3</v>
      </c>
    </row>
    <row r="26" spans="1:14" ht="20" customHeight="1" x14ac:dyDescent="0.4">
      <c r="A26" s="93" t="s">
        <v>28</v>
      </c>
      <c r="B26" s="93">
        <f>SUM(B21:B25)</f>
        <v>-5.8</v>
      </c>
      <c r="C26" s="93">
        <f t="shared" ref="C26:I26" si="5">SUM(C21:C25)</f>
        <v>-8.1999999999999993</v>
      </c>
      <c r="D26" s="93">
        <f t="shared" si="5"/>
        <v>-11.700000000000001</v>
      </c>
      <c r="E26" s="145">
        <f t="shared" si="5"/>
        <v>-16.420000000000002</v>
      </c>
      <c r="F26" s="145">
        <f t="shared" si="5"/>
        <v>-20.520000000000003</v>
      </c>
      <c r="G26" s="145">
        <f t="shared" si="5"/>
        <v>-9.7199999999999989</v>
      </c>
      <c r="H26" s="93">
        <f t="shared" si="5"/>
        <v>8.8000000000000007</v>
      </c>
      <c r="I26" s="93">
        <f t="shared" si="5"/>
        <v>27.099999999999998</v>
      </c>
      <c r="J26" s="93"/>
      <c r="K26" s="93"/>
      <c r="L26" s="93"/>
      <c r="M26" s="93"/>
      <c r="N26" s="93"/>
    </row>
    <row r="28" spans="1:14" ht="20" customHeight="1" x14ac:dyDescent="0.4">
      <c r="A28" s="2" t="s">
        <v>70</v>
      </c>
      <c r="J28" s="73">
        <f>J3/I3-1</f>
        <v>0.65666666666666695</v>
      </c>
      <c r="K28" s="73">
        <f t="shared" ref="K28:N28" si="6">K3/J3-1</f>
        <v>0.49899396378269611</v>
      </c>
      <c r="L28" s="73">
        <f t="shared" si="6"/>
        <v>0.39999999999999991</v>
      </c>
      <c r="M28" s="73">
        <f t="shared" si="6"/>
        <v>0.33365292425695103</v>
      </c>
      <c r="N28" s="73">
        <f t="shared" si="6"/>
        <v>0.28612508986340757</v>
      </c>
    </row>
    <row r="29" spans="1:14" ht="20" customHeight="1" x14ac:dyDescent="0.4">
      <c r="A29" s="2" t="s">
        <v>71</v>
      </c>
      <c r="E29">
        <f>E26</f>
        <v>-16.420000000000002</v>
      </c>
      <c r="F29">
        <f>F26</f>
        <v>-20.520000000000003</v>
      </c>
      <c r="G29">
        <f t="shared" ref="G29:I29" si="7">G26</f>
        <v>-9.7199999999999989</v>
      </c>
      <c r="H29">
        <f t="shared" si="7"/>
        <v>8.8000000000000007</v>
      </c>
      <c r="I29">
        <f t="shared" si="7"/>
        <v>27.099999999999998</v>
      </c>
      <c r="J29" s="90">
        <f>I29*(1+J28)</f>
        <v>44.895666666666671</v>
      </c>
      <c r="K29" s="90">
        <f t="shared" ref="K29:N29" si="8">J29*(1+K28)</f>
        <v>67.298333333333332</v>
      </c>
      <c r="L29" s="90">
        <f t="shared" si="8"/>
        <v>94.217666666666659</v>
      </c>
      <c r="M29" s="90">
        <f t="shared" si="8"/>
        <v>125.65366666666665</v>
      </c>
      <c r="N29" s="90">
        <f t="shared" si="8"/>
        <v>161.60633333333331</v>
      </c>
    </row>
    <row r="30" spans="1:14" ht="20" customHeight="1" x14ac:dyDescent="0.4">
      <c r="A30" s="2"/>
      <c r="J30" s="90"/>
      <c r="K30" s="90"/>
      <c r="L30" s="90"/>
      <c r="M30" s="90"/>
      <c r="N30" s="90"/>
    </row>
    <row r="31" spans="1:14" ht="20" customHeight="1" x14ac:dyDescent="0.4">
      <c r="A31" s="94" t="s">
        <v>63</v>
      </c>
      <c r="B31" s="91"/>
      <c r="C31" s="91"/>
      <c r="D31" s="91"/>
      <c r="E31" s="95">
        <f t="shared" ref="E31:N31" si="9">E29*E35</f>
        <v>-14.092574557897526</v>
      </c>
      <c r="F31" s="95">
        <f t="shared" si="9"/>
        <v>-15.115124656313048</v>
      </c>
      <c r="G31" s="95">
        <f t="shared" si="9"/>
        <v>-6.1449425942017459</v>
      </c>
      <c r="H31" s="95">
        <f t="shared" si="9"/>
        <v>4.77475866674021</v>
      </c>
      <c r="I31" s="95">
        <f t="shared" si="9"/>
        <v>12.619880217720921</v>
      </c>
      <c r="J31" s="95">
        <f t="shared" si="9"/>
        <v>17.943516368522978</v>
      </c>
      <c r="K31" s="95">
        <f t="shared" si="9"/>
        <v>23.084720868380462</v>
      </c>
      <c r="L31" s="95">
        <f t="shared" si="9"/>
        <v>27.737661996362139</v>
      </c>
      <c r="M31" s="95">
        <f t="shared" si="9"/>
        <v>31.748986165877167</v>
      </c>
      <c r="N31" s="95">
        <f t="shared" si="9"/>
        <v>35.045338614208738</v>
      </c>
    </row>
    <row r="32" spans="1:14" ht="20" customHeight="1" x14ac:dyDescent="0.4">
      <c r="A32" s="101" t="s">
        <v>61</v>
      </c>
      <c r="B32" s="101"/>
      <c r="C32" s="101"/>
      <c r="D32" s="136">
        <f>SUM(E31:N31)</f>
        <v>117.6022210894003</v>
      </c>
      <c r="E32" s="102"/>
      <c r="F32" s="102"/>
      <c r="G32" s="102"/>
      <c r="H32" s="102"/>
      <c r="I32" s="102"/>
      <c r="J32" s="102"/>
      <c r="K32" s="102"/>
      <c r="L32" s="102"/>
      <c r="M32" s="102"/>
      <c r="N32" s="103"/>
    </row>
    <row r="33" spans="1:17" ht="20" customHeight="1" x14ac:dyDescent="0.4">
      <c r="E33" s="78"/>
      <c r="F33" s="78"/>
      <c r="G33" s="78"/>
      <c r="H33" s="78"/>
      <c r="I33" s="78"/>
    </row>
    <row r="34" spans="1:17" ht="20" customHeight="1" x14ac:dyDescent="0.4">
      <c r="A34" t="s">
        <v>43</v>
      </c>
      <c r="B34" s="73">
        <f>WACC!C40</f>
        <v>0.16515260803060144</v>
      </c>
      <c r="E34" s="78"/>
      <c r="F34" s="78"/>
      <c r="G34" s="78"/>
      <c r="H34" s="78"/>
      <c r="I34" s="78"/>
    </row>
    <row r="35" spans="1:17" ht="20" customHeight="1" x14ac:dyDescent="0.4">
      <c r="A35" t="s">
        <v>58</v>
      </c>
      <c r="E35" s="78">
        <f>1/(1+$B$34)^E36</f>
        <v>0.85825667222274815</v>
      </c>
      <c r="F35" s="78">
        <f t="shared" ref="F35:N35" si="10">1/(1+$B$34)^F36</f>
        <v>0.73660451541486582</v>
      </c>
      <c r="G35" s="78">
        <f t="shared" si="10"/>
        <v>0.63219574014421265</v>
      </c>
      <c r="H35" s="78">
        <f t="shared" si="10"/>
        <v>0.54258621212956926</v>
      </c>
      <c r="I35" s="78">
        <f t="shared" si="10"/>
        <v>0.46567823681627019</v>
      </c>
      <c r="J35" s="78">
        <f>1/(1+$B$34)^J36</f>
        <v>0.39967145385648895</v>
      </c>
      <c r="K35" s="78">
        <f t="shared" si="10"/>
        <v>0.34302069196929785</v>
      </c>
      <c r="L35" s="78">
        <f t="shared" si="10"/>
        <v>0.29439979759311391</v>
      </c>
      <c r="M35" s="78">
        <f t="shared" si="10"/>
        <v>0.25267059058531655</v>
      </c>
      <c r="N35" s="78">
        <f t="shared" si="10"/>
        <v>0.21685622024431023</v>
      </c>
    </row>
    <row r="36" spans="1:17" ht="20" customHeight="1" x14ac:dyDescent="0.4">
      <c r="A36" t="s">
        <v>59</v>
      </c>
      <c r="E36">
        <v>1</v>
      </c>
      <c r="F36">
        <v>2</v>
      </c>
      <c r="G36">
        <v>3</v>
      </c>
      <c r="H36">
        <v>4</v>
      </c>
      <c r="I36">
        <v>5</v>
      </c>
      <c r="J36">
        <v>6</v>
      </c>
      <c r="K36">
        <v>7</v>
      </c>
      <c r="L36">
        <v>8</v>
      </c>
      <c r="M36">
        <v>9</v>
      </c>
      <c r="N36">
        <v>10</v>
      </c>
    </row>
    <row r="38" spans="1:17" ht="20" customHeight="1" x14ac:dyDescent="0.4">
      <c r="A38" t="s">
        <v>72</v>
      </c>
      <c r="B38" s="73">
        <f>CHOOSE($B$39,设置情景!G3,设置情景!G4)</f>
        <v>3.5099999999999999E-2</v>
      </c>
      <c r="P38" s="140"/>
      <c r="Q38" s="140"/>
    </row>
    <row r="39" spans="1:17" ht="20" customHeight="1" x14ac:dyDescent="0.4">
      <c r="A39" t="s">
        <v>83</v>
      </c>
      <c r="B39" s="142">
        <v>2</v>
      </c>
      <c r="P39" s="140"/>
      <c r="Q39" s="140"/>
    </row>
    <row r="40" spans="1:17" ht="20" customHeight="1" x14ac:dyDescent="0.4">
      <c r="B40" s="140"/>
      <c r="C40" s="140"/>
      <c r="P40" s="140"/>
      <c r="Q40" s="140"/>
    </row>
    <row r="41" spans="1:17" ht="20" customHeight="1" x14ac:dyDescent="0.4">
      <c r="A41" s="79" t="s">
        <v>73</v>
      </c>
      <c r="B41" s="80"/>
      <c r="C41" s="80"/>
      <c r="D41" s="80"/>
      <c r="E41" s="80"/>
      <c r="F41" s="80"/>
      <c r="G41" s="80"/>
      <c r="H41" s="80"/>
      <c r="J41" s="80"/>
      <c r="K41" s="80"/>
      <c r="L41" s="80"/>
      <c r="M41" s="80"/>
      <c r="N41" s="104">
        <f>N29*(1+B38)/(B34-B38)</f>
        <v>1286.2388395469357</v>
      </c>
      <c r="O41" s="80"/>
      <c r="P41" s="140"/>
      <c r="Q41" s="140"/>
    </row>
    <row r="42" spans="1:17" ht="20" customHeight="1" x14ac:dyDescent="0.4">
      <c r="A42" s="79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140"/>
      <c r="Q42" s="140"/>
    </row>
    <row r="43" spans="1:17" ht="20" customHeight="1" x14ac:dyDescent="0.4">
      <c r="A43" s="96" t="s">
        <v>74</v>
      </c>
      <c r="B43" s="97"/>
      <c r="C43" s="97"/>
      <c r="D43" s="135">
        <f>N41/(1+B34)^D44</f>
        <v>278.9288930755763</v>
      </c>
      <c r="E43" s="83"/>
      <c r="F43" s="83"/>
      <c r="G43" s="97"/>
      <c r="H43" s="97"/>
      <c r="I43" s="97"/>
      <c r="J43" s="97"/>
      <c r="K43" s="97"/>
      <c r="L43" s="97"/>
      <c r="M43" s="97"/>
      <c r="N43" s="97"/>
      <c r="O43" s="80"/>
      <c r="P43" s="140"/>
      <c r="Q43" s="141"/>
    </row>
    <row r="44" spans="1:17" ht="20" customHeight="1" x14ac:dyDescent="0.4">
      <c r="A44" s="79" t="s">
        <v>60</v>
      </c>
      <c r="B44" s="80"/>
      <c r="C44" s="80"/>
      <c r="D44" s="80">
        <v>10</v>
      </c>
      <c r="G44" s="80"/>
      <c r="H44" s="80"/>
      <c r="I44" s="80"/>
      <c r="J44" s="80"/>
      <c r="K44" s="80"/>
      <c r="L44" s="80"/>
      <c r="M44" s="80"/>
      <c r="N44" s="80"/>
      <c r="O44" s="80"/>
      <c r="P44" s="92"/>
      <c r="Q44" s="91"/>
    </row>
    <row r="45" spans="1:17" ht="20" customHeight="1" x14ac:dyDescent="0.4">
      <c r="A45" s="79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92"/>
      <c r="Q45" s="91"/>
    </row>
    <row r="46" spans="1:17" ht="20" customHeight="1" x14ac:dyDescent="0.4">
      <c r="A46" s="82"/>
      <c r="B46" s="80"/>
      <c r="C46" s="80"/>
      <c r="D46" s="80"/>
      <c r="E46" s="81"/>
      <c r="F46" s="81"/>
      <c r="G46" s="81"/>
      <c r="H46" s="80"/>
      <c r="I46" s="80"/>
      <c r="J46" s="80"/>
      <c r="K46" s="80"/>
      <c r="L46" s="80"/>
      <c r="M46" s="80"/>
      <c r="N46" s="80"/>
      <c r="O46" s="92"/>
      <c r="P46" s="92"/>
      <c r="Q46" s="91"/>
    </row>
    <row r="47" spans="1:17" ht="20" customHeight="1" x14ac:dyDescent="0.4">
      <c r="A47" s="98" t="s">
        <v>62</v>
      </c>
      <c r="B47" s="99"/>
      <c r="C47" s="99"/>
      <c r="D47" s="134">
        <f>D43+D32</f>
        <v>396.5311141649766</v>
      </c>
      <c r="E47" s="83"/>
      <c r="F47" s="99"/>
      <c r="G47" s="83"/>
      <c r="H47" s="100"/>
      <c r="I47" s="99"/>
      <c r="J47" s="99"/>
      <c r="K47" s="99"/>
      <c r="L47" s="99"/>
      <c r="M47" s="99"/>
      <c r="N47" s="99"/>
      <c r="O47" s="92"/>
      <c r="P47" s="92"/>
      <c r="Q47" s="91"/>
    </row>
    <row r="48" spans="1:17" ht="20" customHeight="1" x14ac:dyDescent="0.4">
      <c r="A48" s="79" t="s">
        <v>89</v>
      </c>
      <c r="B48" s="80"/>
      <c r="C48" s="80"/>
      <c r="D48" s="146">
        <f>SUM(E31:G31)</f>
        <v>-35.352641808412322</v>
      </c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92"/>
      <c r="Q48" s="91"/>
    </row>
    <row r="49" spans="16:17" ht="20" customHeight="1" x14ac:dyDescent="0.4">
      <c r="P49" s="91"/>
      <c r="Q49" s="91"/>
    </row>
    <row r="50" spans="16:17" ht="20" customHeight="1" x14ac:dyDescent="0.4">
      <c r="P50" s="91"/>
      <c r="Q50" s="91"/>
    </row>
  </sheetData>
  <mergeCells count="2">
    <mergeCell ref="A1:A2"/>
    <mergeCell ref="B1:I1"/>
  </mergeCells>
  <phoneticPr fontId="1" type="noConversion"/>
  <dataValidations count="2">
    <dataValidation type="list" allowBlank="1" showInputMessage="1" showErrorMessage="1" sqref="Q38:Q40" xr:uid="{2FFBFF53-078C-4B77-A155-E7A583E3A97E}">
      <formula1>"1,2,3"</formula1>
    </dataValidation>
    <dataValidation type="list" allowBlank="1" showInputMessage="1" showErrorMessage="1" sqref="B39" xr:uid="{28DCC450-FF6B-4EEF-98A3-D004F66164FA}">
      <formula1>"1,2"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719F-07D4-4381-9DE5-29AAAA46C93B}">
  <dimension ref="B1:P40"/>
  <sheetViews>
    <sheetView topLeftCell="A28" zoomScaleNormal="100" workbookViewId="0">
      <selection activeCell="B40" sqref="B40"/>
    </sheetView>
  </sheetViews>
  <sheetFormatPr defaultRowHeight="13.9" x14ac:dyDescent="0.4"/>
  <cols>
    <col min="1" max="1" width="2" customWidth="1"/>
    <col min="2" max="2" width="6.86328125" bestFit="1" customWidth="1"/>
    <col min="3" max="3" width="8" bestFit="1" customWidth="1"/>
    <col min="4" max="4" width="2.86328125" customWidth="1"/>
    <col min="5" max="5" width="16.1328125" bestFit="1" customWidth="1"/>
    <col min="6" max="6" width="16.1328125" customWidth="1"/>
    <col min="7" max="9" width="12.796875" bestFit="1" customWidth="1"/>
    <col min="10" max="10" width="2.796875" customWidth="1"/>
    <col min="11" max="11" width="12.46484375" bestFit="1" customWidth="1"/>
    <col min="12" max="12" width="16.1328125" bestFit="1" customWidth="1"/>
    <col min="13" max="13" width="3.33203125" customWidth="1"/>
    <col min="14" max="14" width="9.53125" bestFit="1" customWidth="1"/>
    <col min="15" max="15" width="16.796875" bestFit="1" customWidth="1"/>
    <col min="16" max="16" width="12.796875" bestFit="1" customWidth="1"/>
    <col min="17" max="17" width="16.1328125" bestFit="1" customWidth="1"/>
    <col min="18" max="20" width="12.46484375" bestFit="1" customWidth="1"/>
    <col min="25" max="25" width="16.1328125" bestFit="1" customWidth="1"/>
    <col min="26" max="28" width="12.46484375" bestFit="1" customWidth="1"/>
  </cols>
  <sheetData>
    <row r="1" spans="2:16" x14ac:dyDescent="0.4">
      <c r="B1" s="190" t="s">
        <v>40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</row>
    <row r="2" spans="2:16" x14ac:dyDescent="0.4"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5"/>
      <c r="N2" s="5"/>
      <c r="O2" s="5"/>
      <c r="P2" s="5"/>
    </row>
    <row r="3" spans="2:16" x14ac:dyDescent="0.4">
      <c r="B3" s="6" t="s">
        <v>29</v>
      </c>
      <c r="C3" s="9">
        <v>2.168399E-2</v>
      </c>
      <c r="D3" s="5"/>
      <c r="E3" s="6"/>
      <c r="F3" s="111">
        <v>2018</v>
      </c>
      <c r="G3" s="111">
        <v>2019</v>
      </c>
      <c r="H3" s="111">
        <v>2020</v>
      </c>
      <c r="I3" s="111" t="s">
        <v>64</v>
      </c>
      <c r="J3" s="38"/>
      <c r="K3" s="62"/>
      <c r="L3" s="111">
        <v>2020</v>
      </c>
      <c r="M3" s="5"/>
      <c r="N3" s="7"/>
      <c r="O3" s="112">
        <v>2020</v>
      </c>
      <c r="P3" s="113" t="s">
        <v>64</v>
      </c>
    </row>
    <row r="4" spans="2:16" x14ac:dyDescent="0.4">
      <c r="B4" s="6" t="s">
        <v>30</v>
      </c>
      <c r="C4" s="9">
        <v>9.3916010000000008E-2</v>
      </c>
      <c r="D4" s="5"/>
      <c r="E4" s="6" t="s">
        <v>33</v>
      </c>
      <c r="F4" s="144">
        <v>1870000</v>
      </c>
      <c r="G4" s="7">
        <v>885620</v>
      </c>
      <c r="H4" s="7">
        <v>1550000</v>
      </c>
      <c r="I4" s="7">
        <v>1435206.6666666667</v>
      </c>
      <c r="J4" s="44"/>
      <c r="K4" s="114" t="s">
        <v>46</v>
      </c>
      <c r="L4" s="7">
        <v>48.74</v>
      </c>
      <c r="M4" s="5"/>
      <c r="N4" s="10" t="s">
        <v>57</v>
      </c>
      <c r="O4" s="10">
        <v>54641929</v>
      </c>
      <c r="P4" s="10">
        <v>54641929</v>
      </c>
    </row>
    <row r="5" spans="2:16" x14ac:dyDescent="0.4">
      <c r="B5" s="6" t="s">
        <v>31</v>
      </c>
      <c r="C5" s="130">
        <v>1.79</v>
      </c>
      <c r="D5" s="5"/>
      <c r="E5" s="6" t="s">
        <v>34</v>
      </c>
      <c r="F5" s="144">
        <v>1168012</v>
      </c>
      <c r="G5" s="8">
        <v>7154798</v>
      </c>
      <c r="H5" s="8">
        <v>5938279</v>
      </c>
      <c r="I5" s="8">
        <v>4753696.333333333</v>
      </c>
      <c r="J5" s="45"/>
      <c r="K5" s="130" t="s">
        <v>52</v>
      </c>
      <c r="L5" s="64">
        <v>1526539389</v>
      </c>
      <c r="M5" s="5"/>
      <c r="N5" s="5"/>
      <c r="O5" s="5"/>
      <c r="P5" s="49"/>
    </row>
    <row r="6" spans="2:16" x14ac:dyDescent="0.4">
      <c r="B6" s="6" t="s">
        <v>32</v>
      </c>
      <c r="C6" s="9">
        <v>0.18979364790000003</v>
      </c>
      <c r="D6" s="5"/>
      <c r="E6" s="6" t="s">
        <v>36</v>
      </c>
      <c r="F6" s="144">
        <v>123643</v>
      </c>
      <c r="G6" s="10">
        <v>370536</v>
      </c>
      <c r="H6" s="10">
        <v>426015</v>
      </c>
      <c r="I6" s="37">
        <v>306731.33333333331</v>
      </c>
      <c r="J6" s="46"/>
      <c r="K6" s="11" t="s">
        <v>48</v>
      </c>
      <c r="L6" s="37">
        <v>74403529819.860001</v>
      </c>
      <c r="M6" s="5"/>
      <c r="N6" s="5"/>
      <c r="O6" s="5"/>
      <c r="P6" s="49"/>
    </row>
    <row r="7" spans="2:16" x14ac:dyDescent="0.4">
      <c r="B7" s="5"/>
      <c r="C7" s="5"/>
      <c r="D7" s="5"/>
      <c r="E7" s="6" t="s">
        <v>35</v>
      </c>
      <c r="F7" s="144"/>
      <c r="G7" s="62"/>
      <c r="H7" s="11"/>
      <c r="I7" s="74">
        <v>0.21</v>
      </c>
      <c r="J7" s="47"/>
      <c r="K7" s="6" t="s">
        <v>53</v>
      </c>
      <c r="L7" s="114">
        <v>74403529819.860001</v>
      </c>
      <c r="M7" s="5"/>
      <c r="N7" s="5"/>
      <c r="O7" s="5"/>
      <c r="P7" s="69"/>
    </row>
    <row r="8" spans="2:16" x14ac:dyDescent="0.4">
      <c r="B8" s="5"/>
      <c r="C8" s="88"/>
      <c r="D8" s="5"/>
      <c r="E8" s="6" t="s">
        <v>37</v>
      </c>
      <c r="F8" s="144">
        <v>3038012</v>
      </c>
      <c r="G8" s="144">
        <v>8040418</v>
      </c>
      <c r="H8" s="144">
        <v>7488279</v>
      </c>
      <c r="I8" s="10">
        <v>6188903</v>
      </c>
      <c r="J8" s="48"/>
      <c r="K8" s="6" t="s">
        <v>54</v>
      </c>
      <c r="L8" s="10">
        <v>7488279</v>
      </c>
      <c r="M8" s="5"/>
      <c r="N8" s="5"/>
      <c r="O8" s="5"/>
      <c r="P8" s="49"/>
    </row>
    <row r="9" spans="2:16" x14ac:dyDescent="0.4">
      <c r="B9" s="5"/>
      <c r="C9" s="5"/>
      <c r="D9" s="5"/>
      <c r="E9" s="6" t="s">
        <v>38</v>
      </c>
      <c r="F9" s="6"/>
      <c r="G9" s="14"/>
      <c r="H9" s="14"/>
      <c r="I9" s="74">
        <v>4.9561502795137248E-2</v>
      </c>
      <c r="J9" s="49"/>
      <c r="K9" s="6" t="s">
        <v>55</v>
      </c>
      <c r="L9" s="14">
        <v>0.99989936599187434</v>
      </c>
      <c r="M9" s="5"/>
      <c r="N9" s="5"/>
      <c r="O9" s="5"/>
      <c r="P9" s="5"/>
    </row>
    <row r="10" spans="2:16" x14ac:dyDescent="0.4">
      <c r="B10" s="5"/>
      <c r="C10" s="5"/>
      <c r="D10" s="5"/>
      <c r="E10" s="6" t="s">
        <v>39</v>
      </c>
      <c r="F10" s="6"/>
      <c r="G10" s="14"/>
      <c r="H10" s="14"/>
      <c r="I10" s="74">
        <v>3.9153587208158425E-2</v>
      </c>
      <c r="J10" s="49"/>
      <c r="K10" s="6" t="s">
        <v>56</v>
      </c>
      <c r="L10" s="14">
        <v>1.0063400812566926E-4</v>
      </c>
      <c r="M10" s="5"/>
      <c r="N10" s="5"/>
      <c r="O10" s="5"/>
      <c r="P10" s="5"/>
    </row>
    <row r="11" spans="2:16" x14ac:dyDescent="0.4">
      <c r="B11" s="5"/>
      <c r="C11" s="5"/>
      <c r="D11" s="5"/>
      <c r="E11" s="38"/>
      <c r="F11" s="38"/>
      <c r="G11" s="49"/>
      <c r="H11" s="49"/>
      <c r="I11" s="153"/>
      <c r="J11" s="49"/>
      <c r="K11" s="14" t="s">
        <v>44</v>
      </c>
      <c r="L11" s="74">
        <v>0.18977848838690833</v>
      </c>
      <c r="M11" s="5"/>
      <c r="N11" s="5"/>
      <c r="O11" s="5"/>
      <c r="P11" s="5"/>
    </row>
    <row r="12" spans="2:16" s="154" customFormat="1" x14ac:dyDescent="0.4">
      <c r="E12" s="155"/>
      <c r="F12" s="155"/>
      <c r="G12" s="156"/>
      <c r="H12" s="156"/>
      <c r="I12" s="157"/>
      <c r="J12" s="156"/>
      <c r="K12" s="156"/>
      <c r="L12" s="157"/>
    </row>
    <row r="13" spans="2:16" s="154" customFormat="1" x14ac:dyDescent="0.4">
      <c r="E13" s="155"/>
      <c r="F13" s="155"/>
      <c r="G13" s="156"/>
      <c r="H13" s="156"/>
      <c r="I13" s="157"/>
      <c r="J13" s="156"/>
      <c r="K13" s="156"/>
      <c r="L13" s="157"/>
    </row>
    <row r="14" spans="2:16" x14ac:dyDescent="0.4">
      <c r="B14" s="191" t="s">
        <v>41</v>
      </c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</row>
    <row r="15" spans="2:16" x14ac:dyDescent="0.4"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83"/>
      <c r="N15" s="83"/>
      <c r="O15" s="83"/>
      <c r="P15" s="83"/>
    </row>
    <row r="16" spans="2:16" x14ac:dyDescent="0.4">
      <c r="B16" s="159" t="s">
        <v>29</v>
      </c>
      <c r="C16" s="160">
        <v>2.168399E-2</v>
      </c>
      <c r="D16" s="83"/>
      <c r="E16" s="159"/>
      <c r="F16" s="161">
        <v>2018</v>
      </c>
      <c r="G16" s="161">
        <v>2019</v>
      </c>
      <c r="H16" s="161">
        <v>2020</v>
      </c>
      <c r="I16" s="161" t="s">
        <v>64</v>
      </c>
      <c r="J16" s="162"/>
      <c r="K16" s="161"/>
      <c r="L16" s="161">
        <v>2020</v>
      </c>
      <c r="M16" s="83"/>
      <c r="N16" s="163"/>
      <c r="O16" s="164">
        <v>2020</v>
      </c>
      <c r="P16" s="164" t="s">
        <v>64</v>
      </c>
    </row>
    <row r="17" spans="2:16" x14ac:dyDescent="0.4">
      <c r="B17" s="159" t="s">
        <v>30</v>
      </c>
      <c r="C17" s="160">
        <v>9.3916010000000008E-2</v>
      </c>
      <c r="D17" s="83"/>
      <c r="E17" s="159" t="s">
        <v>33</v>
      </c>
      <c r="F17" s="159"/>
      <c r="G17" s="165"/>
      <c r="H17" s="165"/>
      <c r="I17" s="165">
        <v>0</v>
      </c>
      <c r="J17" s="166"/>
      <c r="K17" s="167" t="s">
        <v>45</v>
      </c>
      <c r="L17" s="165">
        <v>28.83</v>
      </c>
      <c r="M17" s="83"/>
      <c r="N17" s="168" t="s">
        <v>57</v>
      </c>
      <c r="O17" s="169">
        <v>36373276</v>
      </c>
      <c r="P17" s="169">
        <v>36373276</v>
      </c>
    </row>
    <row r="18" spans="2:16" x14ac:dyDescent="0.4">
      <c r="B18" s="159" t="s">
        <v>31</v>
      </c>
      <c r="C18" s="170">
        <v>1.56</v>
      </c>
      <c r="D18" s="83"/>
      <c r="E18" s="183" t="s">
        <v>85</v>
      </c>
      <c r="F18" s="183"/>
      <c r="G18" s="183"/>
      <c r="H18" s="183"/>
      <c r="I18" s="183"/>
      <c r="J18" s="171"/>
      <c r="K18" s="172" t="s">
        <v>51</v>
      </c>
      <c r="L18" s="173">
        <v>1809288310</v>
      </c>
      <c r="M18" s="83"/>
      <c r="N18" s="83"/>
      <c r="O18" s="83"/>
      <c r="P18" s="174"/>
    </row>
    <row r="19" spans="2:16" x14ac:dyDescent="0.4">
      <c r="B19" s="159" t="s">
        <v>32</v>
      </c>
      <c r="C19" s="160">
        <v>0.16819296560000002</v>
      </c>
      <c r="D19" s="83"/>
      <c r="E19" s="159" t="s">
        <v>34</v>
      </c>
      <c r="F19" s="159"/>
      <c r="G19" s="170"/>
      <c r="H19" s="170">
        <v>511638</v>
      </c>
      <c r="I19" s="170">
        <v>511638</v>
      </c>
      <c r="J19" s="175"/>
      <c r="K19" s="176" t="s">
        <v>47</v>
      </c>
      <c r="L19" s="176">
        <v>52161781977.299995</v>
      </c>
      <c r="M19" s="83"/>
      <c r="N19" s="83"/>
      <c r="O19" s="83"/>
      <c r="P19" s="174"/>
    </row>
    <row r="20" spans="2:16" x14ac:dyDescent="0.4">
      <c r="B20" s="83"/>
      <c r="C20" s="83"/>
      <c r="D20" s="83"/>
      <c r="E20" s="159" t="s">
        <v>86</v>
      </c>
      <c r="F20" s="183"/>
      <c r="G20" s="183"/>
      <c r="H20" s="183"/>
      <c r="I20" s="184">
        <v>6.1749999999999999E-2</v>
      </c>
      <c r="J20" s="178"/>
      <c r="K20" s="159" t="s">
        <v>53</v>
      </c>
      <c r="L20" s="167">
        <v>52161781977.299995</v>
      </c>
      <c r="M20" s="83"/>
      <c r="N20" s="83"/>
      <c r="O20" s="83"/>
      <c r="P20" s="103"/>
    </row>
    <row r="21" spans="2:16" x14ac:dyDescent="0.4">
      <c r="B21" s="83"/>
      <c r="C21" s="83"/>
      <c r="D21" s="83"/>
      <c r="E21" s="159" t="s">
        <v>36</v>
      </c>
      <c r="F21" s="159"/>
      <c r="G21" s="168"/>
      <c r="H21" s="168"/>
      <c r="I21" s="176">
        <v>31593.646499999999</v>
      </c>
      <c r="J21" s="179"/>
      <c r="K21" s="159" t="s">
        <v>54</v>
      </c>
      <c r="L21" s="168">
        <v>511638</v>
      </c>
      <c r="M21" s="83"/>
      <c r="N21" s="83"/>
      <c r="O21" s="83"/>
      <c r="P21" s="174"/>
    </row>
    <row r="22" spans="2:16" x14ac:dyDescent="0.4">
      <c r="B22" s="83"/>
      <c r="C22" s="177"/>
      <c r="D22" s="83"/>
      <c r="E22" s="159" t="s">
        <v>35</v>
      </c>
      <c r="F22" s="159"/>
      <c r="G22" s="183"/>
      <c r="H22" s="180"/>
      <c r="I22" s="180">
        <v>0.21</v>
      </c>
      <c r="J22" s="174"/>
      <c r="K22" s="159" t="s">
        <v>55</v>
      </c>
      <c r="L22" s="181">
        <v>0.99999019142057344</v>
      </c>
      <c r="M22" s="83"/>
      <c r="N22" s="83"/>
      <c r="O22" s="83"/>
      <c r="P22" s="83"/>
    </row>
    <row r="23" spans="2:16" x14ac:dyDescent="0.4">
      <c r="B23" s="83"/>
      <c r="C23" s="83"/>
      <c r="D23" s="83"/>
      <c r="E23" s="159" t="s">
        <v>37</v>
      </c>
      <c r="F23" s="159"/>
      <c r="G23" s="168"/>
      <c r="H23" s="168">
        <v>511638</v>
      </c>
      <c r="I23" s="168">
        <v>511638</v>
      </c>
      <c r="J23" s="174"/>
      <c r="K23" s="159" t="s">
        <v>56</v>
      </c>
      <c r="L23" s="181">
        <v>9.808579426613418E-6</v>
      </c>
      <c r="M23" s="83"/>
      <c r="N23" s="83"/>
      <c r="O23" s="83"/>
      <c r="P23" s="83"/>
    </row>
    <row r="24" spans="2:16" x14ac:dyDescent="0.4">
      <c r="B24" s="83"/>
      <c r="C24" s="83"/>
      <c r="D24" s="83"/>
      <c r="E24" s="159" t="s">
        <v>38</v>
      </c>
      <c r="F24" s="159"/>
      <c r="G24" s="181"/>
      <c r="H24" s="181"/>
      <c r="I24" s="181">
        <v>6.1749999999999999E-2</v>
      </c>
      <c r="J24" s="174"/>
      <c r="K24" s="181" t="s">
        <v>44</v>
      </c>
      <c r="L24" s="182">
        <v>0.16819179435296383</v>
      </c>
      <c r="M24" s="83"/>
      <c r="N24" s="83"/>
      <c r="O24" s="83"/>
      <c r="P24" s="83"/>
    </row>
    <row r="25" spans="2:16" x14ac:dyDescent="0.4">
      <c r="B25" s="83"/>
      <c r="C25" s="83"/>
      <c r="D25" s="83"/>
      <c r="E25" s="159" t="s">
        <v>39</v>
      </c>
      <c r="F25" s="159"/>
      <c r="G25" s="181"/>
      <c r="H25" s="181"/>
      <c r="I25" s="181">
        <v>4.8782499999999999E-2</v>
      </c>
      <c r="J25" s="174"/>
      <c r="K25" s="83"/>
      <c r="L25" s="83"/>
      <c r="M25" s="83"/>
      <c r="N25" s="83"/>
      <c r="O25" s="83"/>
      <c r="P25" s="83"/>
    </row>
    <row r="28" spans="2:16" x14ac:dyDescent="0.4">
      <c r="B28" s="192" t="s">
        <v>42</v>
      </c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</row>
    <row r="29" spans="2:16" x14ac:dyDescent="0.4"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27"/>
      <c r="N29" s="27"/>
      <c r="O29" s="27"/>
      <c r="P29" s="27"/>
    </row>
    <row r="30" spans="2:16" s="125" customFormat="1" x14ac:dyDescent="0.4">
      <c r="B30" s="126" t="s">
        <v>29</v>
      </c>
      <c r="C30" s="131">
        <v>2.168399E-2</v>
      </c>
      <c r="D30" s="120"/>
      <c r="E30" s="119"/>
      <c r="F30" s="119"/>
      <c r="G30" s="119">
        <v>2019</v>
      </c>
      <c r="H30" s="119">
        <v>2020</v>
      </c>
      <c r="I30" s="119" t="s">
        <v>64</v>
      </c>
      <c r="J30" s="121"/>
      <c r="K30" s="119"/>
      <c r="L30" s="119">
        <v>2020</v>
      </c>
      <c r="M30" s="120"/>
      <c r="N30" s="122"/>
      <c r="O30" s="124">
        <v>2020</v>
      </c>
      <c r="P30" s="124" t="s">
        <v>64</v>
      </c>
    </row>
    <row r="31" spans="2:16" x14ac:dyDescent="0.4">
      <c r="B31" s="26" t="s">
        <v>30</v>
      </c>
      <c r="C31" s="28">
        <v>9.3916010000000008E-2</v>
      </c>
      <c r="D31" s="27"/>
      <c r="E31" s="26" t="s">
        <v>33</v>
      </c>
      <c r="F31" s="26"/>
      <c r="G31" s="29"/>
      <c r="H31" s="29">
        <v>127900</v>
      </c>
      <c r="I31" s="29">
        <v>127900</v>
      </c>
      <c r="J31" s="55"/>
      <c r="K31" s="127" t="s">
        <v>45</v>
      </c>
      <c r="L31" s="29">
        <v>42.83</v>
      </c>
      <c r="M31" s="27"/>
      <c r="N31" s="32" t="s">
        <v>57</v>
      </c>
      <c r="O31" s="32">
        <v>44706779</v>
      </c>
      <c r="P31" s="32">
        <v>44706779</v>
      </c>
    </row>
    <row r="32" spans="2:16" x14ac:dyDescent="0.4">
      <c r="B32" s="26" t="s">
        <v>31</v>
      </c>
      <c r="C32" s="30">
        <v>2.0299999999999998</v>
      </c>
      <c r="D32" s="27"/>
      <c r="E32" s="26" t="s">
        <v>34</v>
      </c>
      <c r="F32" s="26"/>
      <c r="G32" s="30"/>
      <c r="H32" s="30">
        <v>1645000</v>
      </c>
      <c r="I32" s="30">
        <v>1645000</v>
      </c>
      <c r="J32" s="56"/>
      <c r="K32" s="128" t="s">
        <v>51</v>
      </c>
      <c r="L32" s="65">
        <v>1439485669</v>
      </c>
      <c r="M32" s="27"/>
      <c r="N32" s="27"/>
      <c r="O32" s="27"/>
      <c r="P32" s="59"/>
    </row>
    <row r="33" spans="2:16" x14ac:dyDescent="0.4">
      <c r="B33" s="26" t="s">
        <v>32</v>
      </c>
      <c r="C33" s="28">
        <v>0.21233349029999998</v>
      </c>
      <c r="D33" s="27"/>
      <c r="E33" s="26" t="s">
        <v>36</v>
      </c>
      <c r="F33" s="26"/>
      <c r="G33" s="32"/>
      <c r="H33" s="32">
        <v>22451</v>
      </c>
      <c r="I33" s="61">
        <v>22451</v>
      </c>
      <c r="J33" s="33"/>
      <c r="K33" s="61" t="s">
        <v>47</v>
      </c>
      <c r="L33" s="61">
        <v>61653171203.269997</v>
      </c>
      <c r="M33" s="27"/>
      <c r="N33" s="27"/>
      <c r="O33" s="27"/>
      <c r="P33" s="59"/>
    </row>
    <row r="34" spans="2:16" x14ac:dyDescent="0.4">
      <c r="B34" s="27"/>
      <c r="C34" s="27"/>
      <c r="D34" s="27"/>
      <c r="E34" s="26" t="s">
        <v>35</v>
      </c>
      <c r="F34" s="26"/>
      <c r="G34" s="68"/>
      <c r="H34" s="35"/>
      <c r="I34" s="35">
        <v>0.21</v>
      </c>
      <c r="J34" s="57"/>
      <c r="K34" s="119" t="s">
        <v>53</v>
      </c>
      <c r="L34" s="127">
        <v>61653171203.269997</v>
      </c>
      <c r="M34" s="27"/>
      <c r="N34" s="27"/>
      <c r="O34" s="27"/>
      <c r="P34" s="71"/>
    </row>
    <row r="35" spans="2:16" x14ac:dyDescent="0.4">
      <c r="B35" s="27"/>
      <c r="C35" s="27"/>
      <c r="D35" s="27"/>
      <c r="E35" s="26" t="s">
        <v>37</v>
      </c>
      <c r="F35" s="26"/>
      <c r="G35" s="32"/>
      <c r="H35" s="32">
        <v>1772900</v>
      </c>
      <c r="I35" s="32">
        <v>1772900</v>
      </c>
      <c r="J35" s="58"/>
      <c r="K35" s="26" t="s">
        <v>54</v>
      </c>
      <c r="L35" s="32">
        <v>1772900</v>
      </c>
      <c r="M35" s="27"/>
      <c r="N35" s="27"/>
      <c r="O35" s="27"/>
      <c r="P35" s="59"/>
    </row>
    <row r="36" spans="2:16" x14ac:dyDescent="0.4">
      <c r="B36" s="27"/>
      <c r="C36" s="87"/>
      <c r="D36" s="27"/>
      <c r="E36" s="26" t="s">
        <v>38</v>
      </c>
      <c r="F36" s="26"/>
      <c r="G36" s="36"/>
      <c r="H36" s="36"/>
      <c r="I36" s="36">
        <v>1.2663432793727791E-2</v>
      </c>
      <c r="J36" s="59"/>
      <c r="K36" s="26" t="s">
        <v>55</v>
      </c>
      <c r="L36" s="36">
        <v>0.99997124480403343</v>
      </c>
      <c r="M36" s="27"/>
      <c r="N36" s="27"/>
      <c r="O36" s="27"/>
      <c r="P36" s="27"/>
    </row>
    <row r="37" spans="2:16" x14ac:dyDescent="0.4">
      <c r="B37" s="27"/>
      <c r="C37" s="27"/>
      <c r="D37" s="27"/>
      <c r="E37" s="26" t="s">
        <v>39</v>
      </c>
      <c r="F37" s="26"/>
      <c r="G37" s="36"/>
      <c r="H37" s="36"/>
      <c r="I37" s="36">
        <v>1.0004111907044954E-2</v>
      </c>
      <c r="J37" s="59"/>
      <c r="K37" s="26" t="s">
        <v>56</v>
      </c>
      <c r="L37" s="36">
        <v>2.8755195966611389E-5</v>
      </c>
      <c r="M37" s="27"/>
      <c r="N37" s="27"/>
      <c r="O37" s="27"/>
      <c r="P37" s="27"/>
    </row>
    <row r="38" spans="2:16" x14ac:dyDescent="0.4">
      <c r="B38" s="27"/>
      <c r="C38" s="27"/>
      <c r="D38" s="27"/>
      <c r="E38" s="40"/>
      <c r="F38" s="40"/>
      <c r="G38" s="59"/>
      <c r="H38" s="59"/>
      <c r="I38" s="59"/>
      <c r="J38" s="59"/>
      <c r="K38" s="36" t="s">
        <v>44</v>
      </c>
      <c r="L38" s="75">
        <v>0.21232767227907451</v>
      </c>
      <c r="M38" s="27"/>
      <c r="N38" s="27"/>
      <c r="O38" s="27"/>
      <c r="P38" s="27"/>
    </row>
    <row r="40" spans="2:16" x14ac:dyDescent="0.4">
      <c r="B40" s="132" t="s">
        <v>93</v>
      </c>
      <c r="C40" s="133">
        <v>0.19142098280309089</v>
      </c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</sheetData>
  <mergeCells count="3">
    <mergeCell ref="B1:P1"/>
    <mergeCell ref="B14:P14"/>
    <mergeCell ref="B28:P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收入预测</vt:lpstr>
      <vt:lpstr>自由现金流与企业价值预测与融资缺口估计</vt:lpstr>
      <vt:lpstr>Rwacc-金融负债</vt:lpstr>
      <vt:lpstr>WACC</vt:lpstr>
      <vt:lpstr>Rwacc-总负债 （值）</vt:lpstr>
      <vt:lpstr>设置情景</vt:lpstr>
      <vt:lpstr>融资缺口-保守</vt:lpstr>
      <vt:lpstr>WACC (值)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刘家悦</dc:creator>
  <cp:lastModifiedBy>cy h</cp:lastModifiedBy>
  <dcterms:created xsi:type="dcterms:W3CDTF">2015-06-05T18:19:34Z</dcterms:created>
  <dcterms:modified xsi:type="dcterms:W3CDTF">2021-09-10T07:29:25Z</dcterms:modified>
</cp:coreProperties>
</file>