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:\Projekte\DemandMappingZambia\Industry\Data\"/>
    </mc:Choice>
  </mc:AlternateContent>
  <xr:revisionPtr revIDLastSave="0" documentId="13_ncr:1_{6382616E-1D5C-4F47-B7BE-44C66A4EA6E8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alib6" sheetId="6" r:id="rId1"/>
    <sheet name="Calib7" sheetId="7" r:id="rId2"/>
    <sheet name="Comparison" sheetId="8" r:id="rId3"/>
    <sheet name="Parameter" sheetId="2" r:id="rId4"/>
    <sheet name="Calib2" sheetId="1" r:id="rId5"/>
    <sheet name="Calib3" sheetId="3" r:id="rId6"/>
    <sheet name="Calib4" sheetId="4" r:id="rId7"/>
    <sheet name="Calib5" sheetId="5" r:id="rId8"/>
  </sheets>
  <definedNames>
    <definedName name="_xlnm._FilterDatabase" localSheetId="4" hidden="1">Calib2!$A$1:$AP$42</definedName>
    <definedName name="_xlnm._FilterDatabase" localSheetId="5" hidden="1">Calib3!$A$1:$AP$42</definedName>
    <definedName name="_xlnm._FilterDatabase" localSheetId="6" hidden="1">Calib4!$A$1:$AR$42</definedName>
    <definedName name="_xlnm._FilterDatabase" localSheetId="7" hidden="1">Calib5!$A$1:$AR$42</definedName>
    <definedName name="_xlnm._FilterDatabase" localSheetId="0" hidden="1">Calib6!$A$1:$AR$42</definedName>
    <definedName name="_xlnm._FilterDatabase" localSheetId="1" hidden="1">Calib7!$A$1:$AR$42</definedName>
    <definedName name="_xlnm._FilterDatabase" localSheetId="2" hidden="1">Comparison!$A$1:$AR$42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47" i="8" l="1"/>
  <c r="J41" i="2"/>
  <c r="J40" i="2"/>
  <c r="N26" i="2"/>
  <c r="N27" i="2"/>
  <c r="O26" i="2"/>
  <c r="K27" i="2"/>
  <c r="J27" i="2" l="1"/>
  <c r="J26" i="2"/>
  <c r="M26" i="2" l="1"/>
  <c r="M27" i="2" s="1"/>
  <c r="AD42" i="8" l="1"/>
  <c r="AI42" i="8" s="1"/>
  <c r="AD41" i="8"/>
  <c r="AD40" i="8"/>
  <c r="AI40" i="8" s="1"/>
  <c r="AD39" i="8"/>
  <c r="AI39" i="8" s="1"/>
  <c r="AD38" i="8"/>
  <c r="AI38" i="8" s="1"/>
  <c r="AD37" i="8"/>
  <c r="AI37" i="8" s="1"/>
  <c r="AD36" i="8"/>
  <c r="AI36" i="8" s="1"/>
  <c r="AD35" i="8"/>
  <c r="AI35" i="8" s="1"/>
  <c r="AD34" i="8"/>
  <c r="AF33" i="8"/>
  <c r="AE33" i="8"/>
  <c r="AD33" i="8"/>
  <c r="AD32" i="8"/>
  <c r="AD31" i="8"/>
  <c r="AI31" i="8" s="1"/>
  <c r="AD30" i="8"/>
  <c r="AD29" i="8"/>
  <c r="AI29" i="8" s="1"/>
  <c r="AF28" i="8"/>
  <c r="AE28" i="8"/>
  <c r="AD28" i="8"/>
  <c r="AF27" i="8"/>
  <c r="AE27" i="8"/>
  <c r="AD27" i="8"/>
  <c r="AD26" i="8"/>
  <c r="AD25" i="8"/>
  <c r="AD24" i="8"/>
  <c r="AH24" i="8" s="1"/>
  <c r="AF23" i="8"/>
  <c r="AE23" i="8"/>
  <c r="AD23" i="8"/>
  <c r="AD22" i="8"/>
  <c r="AI22" i="8" s="1"/>
  <c r="AD21" i="8"/>
  <c r="AH21" i="8" s="1"/>
  <c r="AD20" i="8"/>
  <c r="AH20" i="8" s="1"/>
  <c r="AD19" i="8"/>
  <c r="AI19" i="8" s="1"/>
  <c r="AD18" i="8"/>
  <c r="Q18" i="8" s="1"/>
  <c r="AD17" i="8"/>
  <c r="AI17" i="8" s="1"/>
  <c r="AD16" i="8"/>
  <c r="Q16" i="8" s="1"/>
  <c r="AD15" i="8"/>
  <c r="AF14" i="8"/>
  <c r="AE14" i="8"/>
  <c r="AD14" i="8"/>
  <c r="AD13" i="8"/>
  <c r="Q13" i="8" s="1"/>
  <c r="AD12" i="8"/>
  <c r="AH12" i="8" s="1"/>
  <c r="AD11" i="8"/>
  <c r="AI11" i="8" s="1"/>
  <c r="AD10" i="8"/>
  <c r="AI10" i="8" s="1"/>
  <c r="AD9" i="8"/>
  <c r="AI9" i="8" s="1"/>
  <c r="AD8" i="8"/>
  <c r="Q8" i="8" s="1"/>
  <c r="AF7" i="8"/>
  <c r="AE7" i="8"/>
  <c r="AD7" i="8"/>
  <c r="AD6" i="8"/>
  <c r="AD5" i="8"/>
  <c r="AD4" i="8"/>
  <c r="AD3" i="8"/>
  <c r="AI3" i="8" s="1"/>
  <c r="AE7" i="7"/>
  <c r="AF7" i="7"/>
  <c r="AE14" i="7"/>
  <c r="AF14" i="7"/>
  <c r="AE23" i="7"/>
  <c r="AF23" i="7"/>
  <c r="AE27" i="7"/>
  <c r="AF27" i="7"/>
  <c r="AE28" i="7"/>
  <c r="AF28" i="7"/>
  <c r="AE33" i="7"/>
  <c r="AF33" i="7"/>
  <c r="AD42" i="7"/>
  <c r="AI42" i="7" s="1"/>
  <c r="AD41" i="7"/>
  <c r="AD40" i="7"/>
  <c r="AI40" i="7" s="1"/>
  <c r="AD39" i="7"/>
  <c r="AI39" i="7" s="1"/>
  <c r="AD38" i="7"/>
  <c r="AD37" i="7"/>
  <c r="AI37" i="7" s="1"/>
  <c r="AD36" i="7"/>
  <c r="AI36" i="7" s="1"/>
  <c r="AD35" i="7"/>
  <c r="AI35" i="7" s="1"/>
  <c r="AD34" i="7"/>
  <c r="AD33" i="7"/>
  <c r="AD32" i="7"/>
  <c r="AD31" i="7"/>
  <c r="AD30" i="7"/>
  <c r="AD29" i="7"/>
  <c r="AI29" i="7" s="1"/>
  <c r="AD28" i="7"/>
  <c r="AD27" i="7"/>
  <c r="AD26" i="7"/>
  <c r="AD25" i="7"/>
  <c r="AD24" i="7"/>
  <c r="AG24" i="7" s="1"/>
  <c r="AD23" i="7"/>
  <c r="AD22" i="7"/>
  <c r="AD21" i="7"/>
  <c r="AG21" i="7" s="1"/>
  <c r="AD20" i="7"/>
  <c r="AG20" i="7" s="1"/>
  <c r="AD19" i="7"/>
  <c r="AI19" i="7" s="1"/>
  <c r="AD18" i="7"/>
  <c r="AI18" i="7" s="1"/>
  <c r="AD17" i="7"/>
  <c r="AI17" i="7" s="1"/>
  <c r="AD16" i="7"/>
  <c r="AD15" i="7"/>
  <c r="AI15" i="7" s="1"/>
  <c r="AD14" i="7"/>
  <c r="AD13" i="7"/>
  <c r="AD12" i="7"/>
  <c r="AH12" i="7" s="1"/>
  <c r="AD11" i="7"/>
  <c r="AI11" i="7" s="1"/>
  <c r="AD10" i="7"/>
  <c r="AI10" i="7" s="1"/>
  <c r="AD9" i="7"/>
  <c r="AI9" i="7" s="1"/>
  <c r="AD8" i="7"/>
  <c r="AD7" i="7"/>
  <c r="AD6" i="7"/>
  <c r="AD5" i="7"/>
  <c r="AD4" i="7"/>
  <c r="AD3" i="7"/>
  <c r="AI3" i="7" s="1"/>
  <c r="AH33" i="8" l="1"/>
  <c r="AG14" i="7"/>
  <c r="AH14" i="8"/>
  <c r="AH28" i="8"/>
  <c r="AG27" i="7"/>
  <c r="AH23" i="8"/>
  <c r="AH7" i="8"/>
  <c r="AG33" i="8"/>
  <c r="AG27" i="8"/>
  <c r="AG23" i="8"/>
  <c r="AI34" i="8"/>
  <c r="AI15" i="8"/>
  <c r="AG12" i="8"/>
  <c r="AG20" i="8"/>
  <c r="AG28" i="8"/>
  <c r="AI8" i="8"/>
  <c r="AH27" i="8"/>
  <c r="AG7" i="8"/>
  <c r="AI16" i="8"/>
  <c r="AG14" i="8"/>
  <c r="AG21" i="8"/>
  <c r="AG24" i="8"/>
  <c r="AI47" i="8"/>
  <c r="AI18" i="8"/>
  <c r="AI13" i="8"/>
  <c r="AH33" i="7"/>
  <c r="AH23" i="7"/>
  <c r="AH28" i="7"/>
  <c r="AH27" i="7"/>
  <c r="AG33" i="7"/>
  <c r="AH7" i="7"/>
  <c r="Q18" i="7"/>
  <c r="AH14" i="7"/>
  <c r="AH21" i="7"/>
  <c r="AG7" i="7"/>
  <c r="AH24" i="7"/>
  <c r="AI22" i="7"/>
  <c r="AI8" i="7"/>
  <c r="Q13" i="7"/>
  <c r="AI16" i="7"/>
  <c r="AH20" i="7"/>
  <c r="AI31" i="7"/>
  <c r="AI34" i="7"/>
  <c r="AI38" i="7"/>
  <c r="Q8" i="7"/>
  <c r="Q16" i="7"/>
  <c r="AG23" i="7"/>
  <c r="AG12" i="7"/>
  <c r="AI13" i="7"/>
  <c r="AG28" i="7"/>
  <c r="AF7" i="6"/>
  <c r="AF14" i="6"/>
  <c r="AF23" i="6"/>
  <c r="AF27" i="6"/>
  <c r="AF28" i="6"/>
  <c r="AF33" i="6"/>
  <c r="AE7" i="6"/>
  <c r="AE14" i="6"/>
  <c r="AE23" i="6"/>
  <c r="AE27" i="6"/>
  <c r="AE28" i="6"/>
  <c r="AE33" i="6"/>
  <c r="C3" i="2"/>
  <c r="C20" i="2" s="1"/>
  <c r="C2" i="2"/>
  <c r="AF38" i="8" l="1"/>
  <c r="AH38" i="8" s="1"/>
  <c r="AF35" i="8"/>
  <c r="AH35" i="8" s="1"/>
  <c r="AF11" i="7"/>
  <c r="AH11" i="7" s="1"/>
  <c r="AF29" i="8"/>
  <c r="AH29" i="8" s="1"/>
  <c r="AF12" i="7"/>
  <c r="AF29" i="7"/>
  <c r="AH29" i="7" s="1"/>
  <c r="AF35" i="7"/>
  <c r="AH35" i="7" s="1"/>
  <c r="AF34" i="8"/>
  <c r="AH34" i="8" s="1"/>
  <c r="AF12" i="8"/>
  <c r="AF11" i="8"/>
  <c r="AH11" i="8" s="1"/>
  <c r="AF34" i="7"/>
  <c r="AH34" i="7" s="1"/>
  <c r="AF38" i="7"/>
  <c r="AH38" i="7" s="1"/>
  <c r="AF11" i="6"/>
  <c r="AF19" i="6"/>
  <c r="AF18" i="6"/>
  <c r="AF12" i="6"/>
  <c r="AF20" i="6"/>
  <c r="AF29" i="6"/>
  <c r="AF13" i="6"/>
  <c r="AF22" i="6"/>
  <c r="AF38" i="6"/>
  <c r="AF35" i="6"/>
  <c r="AF16" i="6"/>
  <c r="AF15" i="6"/>
  <c r="AF8" i="6"/>
  <c r="AF9" i="6"/>
  <c r="AF17" i="6"/>
  <c r="AF34" i="6"/>
  <c r="AF42" i="6"/>
  <c r="AF10" i="6"/>
  <c r="AI46" i="8"/>
  <c r="I20" i="2"/>
  <c r="C6" i="2" s="1"/>
  <c r="I21" i="2" l="1"/>
  <c r="C7" i="2" s="1"/>
  <c r="C22" i="2" s="1"/>
  <c r="AF22" i="8" s="1"/>
  <c r="AH22" i="8" s="1"/>
  <c r="AF8" i="7"/>
  <c r="AH8" i="7" s="1"/>
  <c r="AF22" i="7"/>
  <c r="AH22" i="7" s="1"/>
  <c r="AF42" i="7"/>
  <c r="AH42" i="7" s="1"/>
  <c r="AF19" i="8"/>
  <c r="AH19" i="8" s="1"/>
  <c r="AI49" i="8"/>
  <c r="AI50" i="8"/>
  <c r="AD42" i="6"/>
  <c r="AI42" i="6" s="1"/>
  <c r="AD41" i="6"/>
  <c r="AD40" i="6"/>
  <c r="AI40" i="6" s="1"/>
  <c r="AD39" i="6"/>
  <c r="AI39" i="6" s="1"/>
  <c r="AD38" i="6"/>
  <c r="AD37" i="6"/>
  <c r="AD36" i="6"/>
  <c r="AI36" i="6" s="1"/>
  <c r="AD35" i="6"/>
  <c r="AI35" i="6" s="1"/>
  <c r="AD34" i="6"/>
  <c r="AD33" i="6"/>
  <c r="AD32" i="6"/>
  <c r="AD31" i="6"/>
  <c r="AD30" i="6"/>
  <c r="AD29" i="6"/>
  <c r="AI29" i="6" s="1"/>
  <c r="AD28" i="6"/>
  <c r="AD27" i="6"/>
  <c r="AD26" i="6"/>
  <c r="AD25" i="6"/>
  <c r="AD24" i="6"/>
  <c r="AH24" i="6" s="1"/>
  <c r="AD23" i="6"/>
  <c r="AD22" i="6"/>
  <c r="AI22" i="6" s="1"/>
  <c r="AD21" i="6"/>
  <c r="AH21" i="6" s="1"/>
  <c r="AD20" i="6"/>
  <c r="AH20" i="6" s="1"/>
  <c r="AD19" i="6"/>
  <c r="AI19" i="6" s="1"/>
  <c r="AD18" i="6"/>
  <c r="AI18" i="6" s="1"/>
  <c r="AD17" i="6"/>
  <c r="AI17" i="6" s="1"/>
  <c r="AD16" i="6"/>
  <c r="Q16" i="6" s="1"/>
  <c r="AD15" i="6"/>
  <c r="AD14" i="6"/>
  <c r="AD13" i="6"/>
  <c r="AI13" i="6" s="1"/>
  <c r="AD12" i="6"/>
  <c r="AH12" i="6" s="1"/>
  <c r="AD11" i="6"/>
  <c r="AD10" i="6"/>
  <c r="AI10" i="6" s="1"/>
  <c r="AD9" i="6"/>
  <c r="AI9" i="6" s="1"/>
  <c r="AD8" i="6"/>
  <c r="Q8" i="6" s="1"/>
  <c r="AD7" i="6"/>
  <c r="AD6" i="6"/>
  <c r="AD5" i="6"/>
  <c r="AD4" i="6"/>
  <c r="AD3" i="6"/>
  <c r="AI3" i="6" s="1"/>
  <c r="AD13" i="5"/>
  <c r="Q13" i="5" s="1"/>
  <c r="AD42" i="5"/>
  <c r="AI42" i="5" s="1"/>
  <c r="AD41" i="5"/>
  <c r="AD40" i="5"/>
  <c r="AI40" i="5" s="1"/>
  <c r="AD39" i="5"/>
  <c r="AD38" i="5"/>
  <c r="AD37" i="5"/>
  <c r="AI37" i="5" s="1"/>
  <c r="AD36" i="5"/>
  <c r="AI36" i="5" s="1"/>
  <c r="AD35" i="5"/>
  <c r="AI35" i="5" s="1"/>
  <c r="AD34" i="5"/>
  <c r="AF33" i="5"/>
  <c r="AE33" i="5"/>
  <c r="AD33" i="5"/>
  <c r="AD32" i="5"/>
  <c r="AD31" i="5"/>
  <c r="AI31" i="5" s="1"/>
  <c r="AD30" i="5"/>
  <c r="AD29" i="5"/>
  <c r="AI29" i="5" s="1"/>
  <c r="AF28" i="5"/>
  <c r="AE28" i="5"/>
  <c r="AD28" i="5"/>
  <c r="AF27" i="5"/>
  <c r="AE27" i="5"/>
  <c r="AD27" i="5"/>
  <c r="AD26" i="5"/>
  <c r="AD25" i="5"/>
  <c r="AD24" i="5"/>
  <c r="AG24" i="5" s="1"/>
  <c r="AF23" i="5"/>
  <c r="AE23" i="5"/>
  <c r="AD23" i="5"/>
  <c r="AD22" i="5"/>
  <c r="AI22" i="5" s="1"/>
  <c r="AD21" i="5"/>
  <c r="AG21" i="5" s="1"/>
  <c r="AD20" i="5"/>
  <c r="AH20" i="5" s="1"/>
  <c r="AD19" i="5"/>
  <c r="AI19" i="5" s="1"/>
  <c r="AD18" i="5"/>
  <c r="AI18" i="5" s="1"/>
  <c r="AD17" i="5"/>
  <c r="AI17" i="5" s="1"/>
  <c r="AD16" i="5"/>
  <c r="Q16" i="5" s="1"/>
  <c r="AD15" i="5"/>
  <c r="AI15" i="5" s="1"/>
  <c r="AF14" i="5"/>
  <c r="AE14" i="5"/>
  <c r="AD14" i="5"/>
  <c r="AD12" i="5"/>
  <c r="AH12" i="5" s="1"/>
  <c r="AD11" i="5"/>
  <c r="AI11" i="5" s="1"/>
  <c r="AD10" i="5"/>
  <c r="AI10" i="5" s="1"/>
  <c r="AD9" i="5"/>
  <c r="AI9" i="5" s="1"/>
  <c r="AD8" i="5"/>
  <c r="Q8" i="5" s="1"/>
  <c r="AF7" i="5"/>
  <c r="AE7" i="5"/>
  <c r="AD7" i="5"/>
  <c r="AD6" i="5"/>
  <c r="AD5" i="5"/>
  <c r="AD4" i="5"/>
  <c r="AD3" i="5"/>
  <c r="AI3" i="5" s="1"/>
  <c r="AG42" i="4"/>
  <c r="AD41" i="4"/>
  <c r="AD40" i="4"/>
  <c r="AI40" i="4" s="1"/>
  <c r="AD39" i="4"/>
  <c r="AI39" i="4" s="1"/>
  <c r="AD38" i="4"/>
  <c r="AI38" i="4" s="1"/>
  <c r="AD37" i="4"/>
  <c r="AI37" i="4" s="1"/>
  <c r="AD36" i="4"/>
  <c r="AD35" i="4"/>
  <c r="AD34" i="4"/>
  <c r="AF33" i="4"/>
  <c r="AE33" i="4"/>
  <c r="AD33" i="4"/>
  <c r="AD32" i="4"/>
  <c r="AD31" i="4"/>
  <c r="AD30" i="4"/>
  <c r="AD29" i="4"/>
  <c r="AI29" i="4" s="1"/>
  <c r="AF28" i="4"/>
  <c r="AE28" i="4"/>
  <c r="AD28" i="4"/>
  <c r="AF27" i="4"/>
  <c r="AE27" i="4"/>
  <c r="AD27" i="4"/>
  <c r="AD26" i="4"/>
  <c r="AD25" i="4"/>
  <c r="AD24" i="4"/>
  <c r="AG24" i="4" s="1"/>
  <c r="AF23" i="4"/>
  <c r="AE23" i="4"/>
  <c r="AD23" i="4"/>
  <c r="AD22" i="4"/>
  <c r="AD21" i="4"/>
  <c r="AG21" i="4" s="1"/>
  <c r="AD20" i="4"/>
  <c r="AG20" i="4" s="1"/>
  <c r="AD19" i="4"/>
  <c r="AI19" i="4" s="1"/>
  <c r="AD18" i="4"/>
  <c r="Q18" i="4" s="1"/>
  <c r="AD17" i="4"/>
  <c r="AI17" i="4" s="1"/>
  <c r="AD16" i="4"/>
  <c r="AD15" i="4"/>
  <c r="AI15" i="4" s="1"/>
  <c r="AF14" i="4"/>
  <c r="AE14" i="4"/>
  <c r="AD14" i="4"/>
  <c r="AD13" i="4"/>
  <c r="Q13" i="4" s="1"/>
  <c r="AD12" i="4"/>
  <c r="AH12" i="4" s="1"/>
  <c r="AD11" i="4"/>
  <c r="AI11" i="4" s="1"/>
  <c r="AD10" i="4"/>
  <c r="AI10" i="4" s="1"/>
  <c r="AD9" i="4"/>
  <c r="AI9" i="4" s="1"/>
  <c r="AD8" i="4"/>
  <c r="AI8" i="4" s="1"/>
  <c r="AF7" i="4"/>
  <c r="AE7" i="4"/>
  <c r="AD7" i="4"/>
  <c r="AD6" i="4"/>
  <c r="AD5" i="4"/>
  <c r="AD4" i="4"/>
  <c r="AD3" i="4"/>
  <c r="AI3" i="4" s="1"/>
  <c r="AD42" i="3"/>
  <c r="AH42" i="3" s="1"/>
  <c r="AD41" i="3"/>
  <c r="AD40" i="3"/>
  <c r="AD39" i="3"/>
  <c r="AD38" i="3"/>
  <c r="AD37" i="3"/>
  <c r="AD36" i="3"/>
  <c r="AD35" i="3"/>
  <c r="AD34" i="3"/>
  <c r="AF33" i="3"/>
  <c r="AE33" i="3"/>
  <c r="AD33" i="3"/>
  <c r="AD32" i="3"/>
  <c r="AD31" i="3"/>
  <c r="AD30" i="3"/>
  <c r="AD29" i="3"/>
  <c r="AF28" i="3"/>
  <c r="AE28" i="3"/>
  <c r="AD28" i="3"/>
  <c r="AF27" i="3"/>
  <c r="AE27" i="3"/>
  <c r="AD27" i="3"/>
  <c r="AD26" i="3"/>
  <c r="AD25" i="3"/>
  <c r="AD24" i="3"/>
  <c r="AH24" i="3" s="1"/>
  <c r="AF23" i="3"/>
  <c r="AE23" i="3"/>
  <c r="AD23" i="3"/>
  <c r="AD22" i="3"/>
  <c r="AD21" i="3"/>
  <c r="AH21" i="3" s="1"/>
  <c r="AD20" i="3"/>
  <c r="AH20" i="3" s="1"/>
  <c r="AD19" i="3"/>
  <c r="AD18" i="3"/>
  <c r="Q18" i="3" s="1"/>
  <c r="AD17" i="3"/>
  <c r="AD16" i="3"/>
  <c r="AD15" i="3"/>
  <c r="AF14" i="3"/>
  <c r="AE14" i="3"/>
  <c r="AD14" i="3"/>
  <c r="AD13" i="3"/>
  <c r="Q13" i="3" s="1"/>
  <c r="AD12" i="3"/>
  <c r="AH12" i="3" s="1"/>
  <c r="AD11" i="3"/>
  <c r="AD10" i="3"/>
  <c r="AD9" i="3"/>
  <c r="AD8" i="3"/>
  <c r="Q8" i="3" s="1"/>
  <c r="AF7" i="3"/>
  <c r="AE7" i="3"/>
  <c r="AD7" i="3"/>
  <c r="AD6" i="3"/>
  <c r="AD5" i="3"/>
  <c r="AD4" i="3"/>
  <c r="AD3" i="3"/>
  <c r="AF17" i="8" l="1"/>
  <c r="AH17" i="8" s="1"/>
  <c r="AF20" i="7"/>
  <c r="AF15" i="8"/>
  <c r="AH15" i="8" s="1"/>
  <c r="AF40" i="6"/>
  <c r="AF40" i="8"/>
  <c r="AH40" i="8" s="1"/>
  <c r="AF13" i="7"/>
  <c r="AH13" i="7" s="1"/>
  <c r="AF31" i="7"/>
  <c r="AH31" i="7" s="1"/>
  <c r="AF31" i="6"/>
  <c r="AF39" i="8"/>
  <c r="AH39" i="8" s="1"/>
  <c r="AF40" i="7"/>
  <c r="AH40" i="7" s="1"/>
  <c r="AF3" i="6"/>
  <c r="AF39" i="7"/>
  <c r="AH39" i="7" s="1"/>
  <c r="AF36" i="7"/>
  <c r="AH36" i="7" s="1"/>
  <c r="AF36" i="6"/>
  <c r="AF20" i="8"/>
  <c r="AF15" i="7"/>
  <c r="AH15" i="7" s="1"/>
  <c r="AF16" i="8"/>
  <c r="AH16" i="8" s="1"/>
  <c r="AF37" i="6"/>
  <c r="AF17" i="7"/>
  <c r="AH17" i="7" s="1"/>
  <c r="AF3" i="7"/>
  <c r="AH3" i="7" s="1"/>
  <c r="AF37" i="8"/>
  <c r="AH37" i="8" s="1"/>
  <c r="AF19" i="7"/>
  <c r="AH19" i="7" s="1"/>
  <c r="AF18" i="7"/>
  <c r="AH18" i="7" s="1"/>
  <c r="AF9" i="7"/>
  <c r="AH9" i="7" s="1"/>
  <c r="AF42" i="8"/>
  <c r="AH42" i="8" s="1"/>
  <c r="AF10" i="8"/>
  <c r="AH10" i="8" s="1"/>
  <c r="AF13" i="8"/>
  <c r="AH13" i="8" s="1"/>
  <c r="AF3" i="8"/>
  <c r="AH3" i="8" s="1"/>
  <c r="AF9" i="8"/>
  <c r="AH9" i="8" s="1"/>
  <c r="AF37" i="7"/>
  <c r="AH37" i="7" s="1"/>
  <c r="AF18" i="8"/>
  <c r="AH18" i="8" s="1"/>
  <c r="AF8" i="8"/>
  <c r="AH8" i="8" s="1"/>
  <c r="AF39" i="6"/>
  <c r="AF36" i="8"/>
  <c r="AH36" i="8" s="1"/>
  <c r="AF31" i="8"/>
  <c r="AH31" i="8" s="1"/>
  <c r="AF16" i="7"/>
  <c r="AH16" i="7" s="1"/>
  <c r="AF10" i="7"/>
  <c r="AH10" i="7" s="1"/>
  <c r="AI16" i="6"/>
  <c r="AH33" i="6"/>
  <c r="AG14" i="6"/>
  <c r="AI13" i="5"/>
  <c r="AH23" i="6"/>
  <c r="AH23" i="5"/>
  <c r="AG27" i="6"/>
  <c r="AI8" i="5"/>
  <c r="AH28" i="5"/>
  <c r="AH27" i="3"/>
  <c r="AG12" i="6"/>
  <c r="AI8" i="6"/>
  <c r="AG24" i="6"/>
  <c r="AH7" i="6"/>
  <c r="AG20" i="6"/>
  <c r="AG23" i="3"/>
  <c r="AG7" i="6"/>
  <c r="Q18" i="6"/>
  <c r="AH7" i="3"/>
  <c r="AI11" i="6"/>
  <c r="AG21" i="6"/>
  <c r="AH27" i="6"/>
  <c r="AH14" i="6"/>
  <c r="AI15" i="6"/>
  <c r="AH28" i="6"/>
  <c r="AG33" i="6"/>
  <c r="AI37" i="6"/>
  <c r="Q13" i="6"/>
  <c r="AI31" i="6"/>
  <c r="AI34" i="6"/>
  <c r="AI38" i="6"/>
  <c r="AG23" i="6"/>
  <c r="AG28" i="6"/>
  <c r="AG20" i="5"/>
  <c r="AH7" i="5"/>
  <c r="AG14" i="5"/>
  <c r="AG12" i="5"/>
  <c r="AH24" i="5"/>
  <c r="AG7" i="5"/>
  <c r="AH27" i="5"/>
  <c r="AG23" i="5"/>
  <c r="AI38" i="5"/>
  <c r="AH14" i="5"/>
  <c r="AI16" i="5"/>
  <c r="AI34" i="5"/>
  <c r="AH21" i="5"/>
  <c r="AH33" i="5"/>
  <c r="AG28" i="5"/>
  <c r="AI39" i="5"/>
  <c r="Q18" i="5"/>
  <c r="AG27" i="5"/>
  <c r="AG33" i="5"/>
  <c r="AI13" i="4"/>
  <c r="AI31" i="4"/>
  <c r="AI34" i="4"/>
  <c r="AI16" i="4"/>
  <c r="AI35" i="4"/>
  <c r="AI36" i="4"/>
  <c r="AH20" i="4"/>
  <c r="AI18" i="4"/>
  <c r="AI22" i="4"/>
  <c r="AH14" i="4"/>
  <c r="AG27" i="4"/>
  <c r="AG23" i="4"/>
  <c r="Q16" i="4"/>
  <c r="Q8" i="4"/>
  <c r="AH21" i="4"/>
  <c r="AH27" i="4"/>
  <c r="AG12" i="4"/>
  <c r="AG7" i="4"/>
  <c r="AH7" i="4"/>
  <c r="AH23" i="4"/>
  <c r="AG14" i="4"/>
  <c r="AH24" i="4"/>
  <c r="AH28" i="4"/>
  <c r="AH33" i="4"/>
  <c r="AH42" i="4"/>
  <c r="AG28" i="4"/>
  <c r="AG33" i="4"/>
  <c r="AG14" i="3"/>
  <c r="AH33" i="3"/>
  <c r="AG28" i="3"/>
  <c r="AH28" i="3"/>
  <c r="AG21" i="3"/>
  <c r="AH23" i="3"/>
  <c r="Q16" i="3"/>
  <c r="AG12" i="3"/>
  <c r="AH14" i="3"/>
  <c r="AG20" i="3"/>
  <c r="AG42" i="3"/>
  <c r="AG33" i="3"/>
  <c r="AG7" i="3"/>
  <c r="AG27" i="3"/>
  <c r="AG24" i="3"/>
  <c r="F11" i="2"/>
  <c r="F10" i="2"/>
  <c r="C4" i="2"/>
  <c r="C19" i="2" s="1"/>
  <c r="C8" i="2"/>
  <c r="C21" i="2" s="1"/>
  <c r="AD29" i="1"/>
  <c r="AD17" i="1"/>
  <c r="AE19" i="8" l="1"/>
  <c r="AG19" i="8" s="1"/>
  <c r="AE3" i="8"/>
  <c r="AG3" i="8" s="1"/>
  <c r="AE15" i="7"/>
  <c r="AG15" i="7" s="1"/>
  <c r="AE19" i="7"/>
  <c r="AG19" i="7" s="1"/>
  <c r="AE36" i="7"/>
  <c r="AG36" i="7" s="1"/>
  <c r="AE40" i="7"/>
  <c r="AG40" i="7" s="1"/>
  <c r="AE39" i="7"/>
  <c r="AG39" i="7" s="1"/>
  <c r="AE22" i="8"/>
  <c r="AG22" i="8" s="1"/>
  <c r="AE16" i="8"/>
  <c r="AG16" i="8" s="1"/>
  <c r="AE8" i="8"/>
  <c r="AG8" i="8" s="1"/>
  <c r="AE13" i="8"/>
  <c r="AG13" i="8" s="1"/>
  <c r="AE8" i="7"/>
  <c r="AG8" i="7" s="1"/>
  <c r="AE16" i="7"/>
  <c r="AG16" i="7" s="1"/>
  <c r="AE20" i="7"/>
  <c r="AE37" i="7"/>
  <c r="AG37" i="7" s="1"/>
  <c r="AE31" i="7"/>
  <c r="AG31" i="7" s="1"/>
  <c r="AE40" i="8"/>
  <c r="AG40" i="8" s="1"/>
  <c r="AE18" i="8"/>
  <c r="AG18" i="8" s="1"/>
  <c r="AE10" i="8"/>
  <c r="AG10" i="8" s="1"/>
  <c r="AE37" i="8"/>
  <c r="AG37" i="8" s="1"/>
  <c r="AE15" i="8"/>
  <c r="AG15" i="8" s="1"/>
  <c r="AE9" i="7"/>
  <c r="AG9" i="7" s="1"/>
  <c r="AE13" i="7"/>
  <c r="AG13" i="7" s="1"/>
  <c r="AE17" i="7"/>
  <c r="AG17" i="7" s="1"/>
  <c r="AE22" i="7"/>
  <c r="AG22" i="7" s="1"/>
  <c r="AE42" i="7"/>
  <c r="AG42" i="7" s="1"/>
  <c r="AE39" i="8"/>
  <c r="AG39" i="8" s="1"/>
  <c r="AE17" i="8"/>
  <c r="AG17" i="8" s="1"/>
  <c r="AE10" i="7"/>
  <c r="AG10" i="7" s="1"/>
  <c r="AE18" i="7"/>
  <c r="AG18" i="7" s="1"/>
  <c r="AE42" i="8"/>
  <c r="AG42" i="8" s="1"/>
  <c r="AE20" i="8"/>
  <c r="AE31" i="8"/>
  <c r="AG31" i="8" s="1"/>
  <c r="AE9" i="8"/>
  <c r="AG9" i="8" s="1"/>
  <c r="AE36" i="8"/>
  <c r="AG36" i="8" s="1"/>
  <c r="AE3" i="7"/>
  <c r="AG3" i="7" s="1"/>
  <c r="AE31" i="6"/>
  <c r="AG31" i="6" s="1"/>
  <c r="AE39" i="6"/>
  <c r="AG39" i="6" s="1"/>
  <c r="AE40" i="6"/>
  <c r="AG40" i="6" s="1"/>
  <c r="AE37" i="6"/>
  <c r="AG37" i="6" s="1"/>
  <c r="AE36" i="6"/>
  <c r="AE3" i="6"/>
  <c r="AG3" i="6" s="1"/>
  <c r="AE11" i="8"/>
  <c r="AG11" i="8" s="1"/>
  <c r="AE11" i="7"/>
  <c r="AG11" i="7" s="1"/>
  <c r="AE38" i="8"/>
  <c r="AG38" i="8" s="1"/>
  <c r="AE35" i="8"/>
  <c r="AG35" i="8" s="1"/>
  <c r="AE12" i="7"/>
  <c r="AE29" i="7"/>
  <c r="AG29" i="7" s="1"/>
  <c r="AE29" i="8"/>
  <c r="AG29" i="8" s="1"/>
  <c r="AE34" i="7"/>
  <c r="AG34" i="7" s="1"/>
  <c r="AE38" i="7"/>
  <c r="AG38" i="7" s="1"/>
  <c r="AE34" i="8"/>
  <c r="AG34" i="8" s="1"/>
  <c r="AE12" i="8"/>
  <c r="AE35" i="7"/>
  <c r="AG35" i="7" s="1"/>
  <c r="AE13" i="6"/>
  <c r="AG13" i="6" s="1"/>
  <c r="AE22" i="6"/>
  <c r="AG22" i="6" s="1"/>
  <c r="AE38" i="6"/>
  <c r="AG38" i="6" s="1"/>
  <c r="AE12" i="6"/>
  <c r="AE15" i="6"/>
  <c r="AG15" i="6" s="1"/>
  <c r="AE29" i="6"/>
  <c r="AG29" i="6" s="1"/>
  <c r="AE10" i="6"/>
  <c r="AG10" i="6" s="1"/>
  <c r="AE8" i="6"/>
  <c r="AG8" i="6" s="1"/>
  <c r="AE16" i="6"/>
  <c r="AG16" i="6" s="1"/>
  <c r="AE35" i="6"/>
  <c r="AG35" i="6" s="1"/>
  <c r="AE20" i="6"/>
  <c r="AE9" i="6"/>
  <c r="AG9" i="6" s="1"/>
  <c r="AE17" i="6"/>
  <c r="AG17" i="6" s="1"/>
  <c r="AE34" i="6"/>
  <c r="AG34" i="6" s="1"/>
  <c r="AE42" i="6"/>
  <c r="AG42" i="6" s="1"/>
  <c r="AE18" i="6"/>
  <c r="AG18" i="6" s="1"/>
  <c r="AE11" i="6"/>
  <c r="AG11" i="6" s="1"/>
  <c r="AE19" i="6"/>
  <c r="AG19" i="6" s="1"/>
  <c r="AE42" i="5"/>
  <c r="AG42" i="5" s="1"/>
  <c r="AE39" i="5"/>
  <c r="AG39" i="5" s="1"/>
  <c r="AE31" i="5"/>
  <c r="AG31" i="5" s="1"/>
  <c r="AE17" i="5"/>
  <c r="AG17" i="5" s="1"/>
  <c r="AE40" i="4"/>
  <c r="AG40" i="4" s="1"/>
  <c r="AE18" i="4"/>
  <c r="AG18" i="4" s="1"/>
  <c r="AE10" i="4"/>
  <c r="AG10" i="4" s="1"/>
  <c r="AE42" i="3"/>
  <c r="AE34" i="3"/>
  <c r="AG34" i="3" s="1"/>
  <c r="AE26" i="3"/>
  <c r="AG26" i="3" s="1"/>
  <c r="AE20" i="3"/>
  <c r="AE12" i="3"/>
  <c r="AE31" i="3"/>
  <c r="AG31" i="3" s="1"/>
  <c r="AE17" i="3"/>
  <c r="AG17" i="3" s="1"/>
  <c r="AE36" i="5"/>
  <c r="AG36" i="5" s="1"/>
  <c r="AE11" i="5"/>
  <c r="AG11" i="5" s="1"/>
  <c r="AE29" i="4"/>
  <c r="AG29" i="4" s="1"/>
  <c r="AE19" i="5"/>
  <c r="AG19" i="5" s="1"/>
  <c r="AE8" i="5"/>
  <c r="AG8" i="5" s="1"/>
  <c r="AE42" i="4"/>
  <c r="AG36" i="6"/>
  <c r="AE38" i="5"/>
  <c r="AG38" i="5" s="1"/>
  <c r="AE22" i="5"/>
  <c r="AG22" i="5" s="1"/>
  <c r="AE16" i="5"/>
  <c r="AG16" i="5" s="1"/>
  <c r="AE39" i="4"/>
  <c r="AG39" i="4" s="1"/>
  <c r="AE31" i="4"/>
  <c r="AG31" i="4" s="1"/>
  <c r="AE17" i="4"/>
  <c r="AG17" i="4" s="1"/>
  <c r="AE9" i="4"/>
  <c r="AG9" i="4" s="1"/>
  <c r="AE19" i="3"/>
  <c r="AG19" i="3" s="1"/>
  <c r="AE11" i="3"/>
  <c r="AG11" i="3" s="1"/>
  <c r="AE3" i="3"/>
  <c r="AG3" i="3" s="1"/>
  <c r="AE10" i="5"/>
  <c r="AG10" i="5" s="1"/>
  <c r="AE16" i="3"/>
  <c r="AG16" i="3" s="1"/>
  <c r="AE15" i="4"/>
  <c r="AG15" i="4" s="1"/>
  <c r="AE12" i="4"/>
  <c r="AE35" i="5"/>
  <c r="AG35" i="5" s="1"/>
  <c r="AE13" i="5"/>
  <c r="AG13" i="5" s="1"/>
  <c r="AE36" i="4"/>
  <c r="AG36" i="4" s="1"/>
  <c r="AE38" i="3"/>
  <c r="AG38" i="3" s="1"/>
  <c r="AE22" i="3"/>
  <c r="AG22" i="3" s="1"/>
  <c r="AE8" i="3"/>
  <c r="AG8" i="3" s="1"/>
  <c r="AE20" i="5"/>
  <c r="AE13" i="4"/>
  <c r="AG13" i="4" s="1"/>
  <c r="AE37" i="3"/>
  <c r="AG37" i="3" s="1"/>
  <c r="AE15" i="3"/>
  <c r="AG15" i="3" s="1"/>
  <c r="AE34" i="4"/>
  <c r="AG34" i="4" s="1"/>
  <c r="AE40" i="5"/>
  <c r="AG40" i="5" s="1"/>
  <c r="AE18" i="5"/>
  <c r="AG18" i="5" s="1"/>
  <c r="AE19" i="4"/>
  <c r="AG19" i="4" s="1"/>
  <c r="AE11" i="4"/>
  <c r="AG11" i="4" s="1"/>
  <c r="AE3" i="4"/>
  <c r="AG3" i="4" s="1"/>
  <c r="AE35" i="3"/>
  <c r="AG35" i="3" s="1"/>
  <c r="AE13" i="3"/>
  <c r="AG13" i="3" s="1"/>
  <c r="AE35" i="4"/>
  <c r="AG35" i="4" s="1"/>
  <c r="AE37" i="4"/>
  <c r="AG37" i="4" s="1"/>
  <c r="AE39" i="3"/>
  <c r="AG39" i="3" s="1"/>
  <c r="AE20" i="4"/>
  <c r="AE37" i="5"/>
  <c r="AG37" i="5" s="1"/>
  <c r="AE29" i="5"/>
  <c r="AG29" i="5" s="1"/>
  <c r="AE15" i="5"/>
  <c r="AG15" i="5" s="1"/>
  <c r="AE12" i="5"/>
  <c r="AE38" i="4"/>
  <c r="AG38" i="4" s="1"/>
  <c r="AE22" i="4"/>
  <c r="AG22" i="4" s="1"/>
  <c r="AE16" i="4"/>
  <c r="AG16" i="4" s="1"/>
  <c r="AE8" i="4"/>
  <c r="AG8" i="4" s="1"/>
  <c r="AE40" i="3"/>
  <c r="AG40" i="3" s="1"/>
  <c r="AE18" i="3"/>
  <c r="AG18" i="3" s="1"/>
  <c r="AE10" i="3"/>
  <c r="AG10" i="3" s="1"/>
  <c r="AE34" i="5"/>
  <c r="AG34" i="5" s="1"/>
  <c r="AE9" i="5"/>
  <c r="AG9" i="5" s="1"/>
  <c r="AE29" i="3"/>
  <c r="AG29" i="3" s="1"/>
  <c r="AE3" i="5"/>
  <c r="AG3" i="5" s="1"/>
  <c r="AE9" i="3"/>
  <c r="AG9" i="3" s="1"/>
  <c r="AE36" i="3"/>
  <c r="AG36" i="3" s="1"/>
  <c r="AD11" i="1"/>
  <c r="AF23" i="1"/>
  <c r="AF33" i="1"/>
  <c r="AE23" i="1"/>
  <c r="AE33" i="1"/>
  <c r="AD35" i="1"/>
  <c r="AD36" i="1"/>
  <c r="AD37" i="1"/>
  <c r="AD38" i="1"/>
  <c r="AD39" i="1"/>
  <c r="AD40" i="1"/>
  <c r="AD34" i="1"/>
  <c r="AD4" i="1"/>
  <c r="AD5" i="1"/>
  <c r="AD6" i="1"/>
  <c r="AD7" i="1"/>
  <c r="AD8" i="1"/>
  <c r="Q8" i="1" s="1"/>
  <c r="AD9" i="1"/>
  <c r="AD10" i="1"/>
  <c r="AD12" i="1"/>
  <c r="AH12" i="1" s="1"/>
  <c r="AD13" i="1"/>
  <c r="Q13" i="1" s="1"/>
  <c r="AD14" i="1"/>
  <c r="AD15" i="1"/>
  <c r="AD16" i="1"/>
  <c r="Q16" i="1" s="1"/>
  <c r="AD18" i="1"/>
  <c r="Q18" i="1" s="1"/>
  <c r="AD19" i="1"/>
  <c r="AD20" i="1"/>
  <c r="AH20" i="1" s="1"/>
  <c r="AD21" i="1"/>
  <c r="AD22" i="1"/>
  <c r="AD23" i="1"/>
  <c r="AD24" i="1"/>
  <c r="AG24" i="1" s="1"/>
  <c r="AD25" i="1"/>
  <c r="AD26" i="1"/>
  <c r="AD27" i="1"/>
  <c r="AD28" i="1"/>
  <c r="AD30" i="1"/>
  <c r="AD31" i="1"/>
  <c r="AD32" i="1"/>
  <c r="AD33" i="1"/>
  <c r="AD41" i="1"/>
  <c r="AD42" i="1"/>
  <c r="AG42" i="1" s="1"/>
  <c r="AD3" i="1"/>
  <c r="AG33" i="1" l="1"/>
  <c r="AG23" i="1"/>
  <c r="AH24" i="1"/>
  <c r="AH33" i="1"/>
  <c r="AG20" i="1"/>
  <c r="AG12" i="1"/>
  <c r="AH23" i="1"/>
  <c r="AH42" i="1"/>
  <c r="C14" i="2"/>
  <c r="C23" i="2"/>
  <c r="AH42" i="6" l="1"/>
  <c r="AH15" i="6"/>
  <c r="AF22" i="5"/>
  <c r="AH22" i="5" s="1"/>
  <c r="AF39" i="4"/>
  <c r="AH39" i="4" s="1"/>
  <c r="AF35" i="4"/>
  <c r="AH35" i="4" s="1"/>
  <c r="AF19" i="4"/>
  <c r="AH19" i="4" s="1"/>
  <c r="AF15" i="4"/>
  <c r="AH15" i="4" s="1"/>
  <c r="AF38" i="3"/>
  <c r="AH38" i="3" s="1"/>
  <c r="AF34" i="3"/>
  <c r="AH34" i="3" s="1"/>
  <c r="AF31" i="3"/>
  <c r="AH31" i="3" s="1"/>
  <c r="AF22" i="3"/>
  <c r="AH22" i="3" s="1"/>
  <c r="AF10" i="3"/>
  <c r="AH10" i="3" s="1"/>
  <c r="AF17" i="5"/>
  <c r="AH17" i="5" s="1"/>
  <c r="AF9" i="5"/>
  <c r="AH9" i="5" s="1"/>
  <c r="AF42" i="4"/>
  <c r="AH38" i="6"/>
  <c r="AH34" i="6"/>
  <c r="AH31" i="6"/>
  <c r="AH18" i="6"/>
  <c r="AH11" i="6"/>
  <c r="AF37" i="5"/>
  <c r="AH37" i="5" s="1"/>
  <c r="AF3" i="5"/>
  <c r="AH3" i="5" s="1"/>
  <c r="AH22" i="6"/>
  <c r="AF13" i="5"/>
  <c r="AH13" i="5" s="1"/>
  <c r="AF38" i="4"/>
  <c r="AH38" i="4" s="1"/>
  <c r="AF34" i="4"/>
  <c r="AH34" i="4" s="1"/>
  <c r="AF31" i="4"/>
  <c r="AH31" i="4" s="1"/>
  <c r="AF18" i="4"/>
  <c r="AH18" i="4" s="1"/>
  <c r="AH37" i="6"/>
  <c r="AH17" i="6"/>
  <c r="AH10" i="6"/>
  <c r="AF40" i="5"/>
  <c r="AH40" i="5" s="1"/>
  <c r="AF36" i="5"/>
  <c r="AH36" i="5" s="1"/>
  <c r="AF20" i="5"/>
  <c r="AF16" i="5"/>
  <c r="AH16" i="5" s="1"/>
  <c r="AF12" i="5"/>
  <c r="AF8" i="5"/>
  <c r="AH8" i="5" s="1"/>
  <c r="AF22" i="4"/>
  <c r="AH22" i="4" s="1"/>
  <c r="AF10" i="4"/>
  <c r="AH10" i="4" s="1"/>
  <c r="AF20" i="3"/>
  <c r="AF16" i="3"/>
  <c r="AH16" i="3" s="1"/>
  <c r="AF17" i="4"/>
  <c r="AH17" i="4" s="1"/>
  <c r="AF40" i="3"/>
  <c r="AH40" i="3" s="1"/>
  <c r="AF12" i="3"/>
  <c r="AF15" i="3"/>
  <c r="AH15" i="3" s="1"/>
  <c r="AF18" i="5"/>
  <c r="AH18" i="5" s="1"/>
  <c r="AF29" i="4"/>
  <c r="AH29" i="4" s="1"/>
  <c r="AF17" i="3"/>
  <c r="AH17" i="3" s="1"/>
  <c r="AF13" i="3"/>
  <c r="AH13" i="3" s="1"/>
  <c r="AF9" i="3"/>
  <c r="AH9" i="3" s="1"/>
  <c r="AF3" i="3"/>
  <c r="AH3" i="3" s="1"/>
  <c r="AF29" i="5"/>
  <c r="AH29" i="5" s="1"/>
  <c r="AF37" i="4"/>
  <c r="AH37" i="4" s="1"/>
  <c r="AF36" i="3"/>
  <c r="AH36" i="3" s="1"/>
  <c r="AF8" i="3"/>
  <c r="AH8" i="3" s="1"/>
  <c r="AF31" i="5"/>
  <c r="AH31" i="5" s="1"/>
  <c r="AF12" i="4"/>
  <c r="AH40" i="6"/>
  <c r="AH36" i="6"/>
  <c r="AH13" i="6"/>
  <c r="AH9" i="6"/>
  <c r="AH3" i="6"/>
  <c r="AF39" i="5"/>
  <c r="AH39" i="5" s="1"/>
  <c r="AF35" i="5"/>
  <c r="AH35" i="5" s="1"/>
  <c r="AF19" i="5"/>
  <c r="AH19" i="5" s="1"/>
  <c r="AF15" i="5"/>
  <c r="AH15" i="5" s="1"/>
  <c r="AF11" i="5"/>
  <c r="AH11" i="5" s="1"/>
  <c r="AF13" i="4"/>
  <c r="AH13" i="4" s="1"/>
  <c r="AF9" i="4"/>
  <c r="AH9" i="4" s="1"/>
  <c r="AF3" i="4"/>
  <c r="AH3" i="4" s="1"/>
  <c r="AF29" i="3"/>
  <c r="AH29" i="3" s="1"/>
  <c r="AF26" i="3"/>
  <c r="AH26" i="3" s="1"/>
  <c r="AF19" i="3"/>
  <c r="AH19" i="3" s="1"/>
  <c r="AF10" i="5"/>
  <c r="AH10" i="5" s="1"/>
  <c r="AH29" i="6"/>
  <c r="AH16" i="6"/>
  <c r="AF40" i="4"/>
  <c r="AH40" i="4" s="1"/>
  <c r="AF36" i="4"/>
  <c r="AH36" i="4" s="1"/>
  <c r="AF20" i="4"/>
  <c r="AF16" i="4"/>
  <c r="AH16" i="4" s="1"/>
  <c r="AF39" i="3"/>
  <c r="AH39" i="3" s="1"/>
  <c r="AF35" i="3"/>
  <c r="AH35" i="3" s="1"/>
  <c r="AF11" i="3"/>
  <c r="AH11" i="3" s="1"/>
  <c r="AH39" i="6"/>
  <c r="AH35" i="6"/>
  <c r="AH19" i="6"/>
  <c r="AH8" i="6"/>
  <c r="AF42" i="5"/>
  <c r="AH42" i="5" s="1"/>
  <c r="AF38" i="5"/>
  <c r="AH38" i="5" s="1"/>
  <c r="AF34" i="5"/>
  <c r="AH34" i="5" s="1"/>
  <c r="AF8" i="4"/>
  <c r="AH8" i="4" s="1"/>
  <c r="AF42" i="3"/>
  <c r="AF18" i="3"/>
  <c r="AH18" i="3" s="1"/>
  <c r="AF11" i="4"/>
  <c r="AH11" i="4" s="1"/>
  <c r="AF37" i="3"/>
  <c r="AH37" i="3" s="1"/>
  <c r="C25" i="2"/>
  <c r="C15" i="2"/>
  <c r="AE27" i="1"/>
  <c r="AG27" i="1" s="1"/>
  <c r="AE21" i="1"/>
  <c r="AG21" i="1" s="1"/>
  <c r="AE7" i="1"/>
  <c r="AG7" i="1" s="1"/>
  <c r="AE28" i="1"/>
  <c r="AG28" i="1" s="1"/>
  <c r="AE14" i="1"/>
  <c r="AG14" i="1" s="1"/>
  <c r="AE3" i="1"/>
  <c r="AG3" i="1" s="1"/>
  <c r="C26" i="2"/>
  <c r="C16" i="2"/>
  <c r="AF27" i="1"/>
  <c r="AH27" i="1" s="1"/>
  <c r="AF7" i="1"/>
  <c r="AH7" i="1" s="1"/>
  <c r="AF28" i="1"/>
  <c r="AH28" i="1" s="1"/>
  <c r="AF21" i="1"/>
  <c r="AH21" i="1" s="1"/>
  <c r="AF14" i="1"/>
  <c r="AH14" i="1" s="1"/>
  <c r="C24" i="2"/>
  <c r="AF3" i="1" s="1"/>
  <c r="AH3" i="1" s="1"/>
  <c r="AF30" i="8" l="1"/>
  <c r="AH30" i="8" s="1"/>
  <c r="AF5" i="8"/>
  <c r="AH5" i="8" s="1"/>
  <c r="AF24" i="7"/>
  <c r="AF32" i="7"/>
  <c r="AH32" i="7" s="1"/>
  <c r="AF32" i="8"/>
  <c r="AH32" i="8" s="1"/>
  <c r="AF24" i="8"/>
  <c r="AF41" i="8"/>
  <c r="AH41" i="8" s="1"/>
  <c r="AF4" i="7"/>
  <c r="AH4" i="7" s="1"/>
  <c r="AF25" i="7"/>
  <c r="AH25" i="7" s="1"/>
  <c r="AF41" i="7"/>
  <c r="AH41" i="7" s="1"/>
  <c r="AF26" i="8"/>
  <c r="AH26" i="8" s="1"/>
  <c r="AF4" i="8"/>
  <c r="AH4" i="8" s="1"/>
  <c r="AF6" i="8"/>
  <c r="AH6" i="8" s="1"/>
  <c r="AF25" i="8"/>
  <c r="AH25" i="8" s="1"/>
  <c r="AF6" i="7"/>
  <c r="AH6" i="7" s="1"/>
  <c r="AF5" i="7"/>
  <c r="AH5" i="7" s="1"/>
  <c r="AF26" i="7"/>
  <c r="AH26" i="7" s="1"/>
  <c r="AF30" i="7"/>
  <c r="AH30" i="7" s="1"/>
  <c r="AF41" i="6"/>
  <c r="AH41" i="6" s="1"/>
  <c r="AF4" i="6"/>
  <c r="AF5" i="6"/>
  <c r="AH5" i="6" s="1"/>
  <c r="AF30" i="6"/>
  <c r="AH30" i="6" s="1"/>
  <c r="AF6" i="6"/>
  <c r="AH6" i="6" s="1"/>
  <c r="AF25" i="6"/>
  <c r="AH25" i="6" s="1"/>
  <c r="AF24" i="6"/>
  <c r="AF32" i="6"/>
  <c r="AH32" i="6" s="1"/>
  <c r="AF26" i="6"/>
  <c r="AH26" i="6" s="1"/>
  <c r="AE41" i="8"/>
  <c r="AG41" i="8" s="1"/>
  <c r="AE25" i="8"/>
  <c r="AG25" i="8" s="1"/>
  <c r="AE24" i="7"/>
  <c r="AE32" i="7"/>
  <c r="AG32" i="7" s="1"/>
  <c r="AE30" i="8"/>
  <c r="AG30" i="8" s="1"/>
  <c r="AE5" i="8"/>
  <c r="AG5" i="8" s="1"/>
  <c r="AE4" i="7"/>
  <c r="AG4" i="7" s="1"/>
  <c r="AE25" i="7"/>
  <c r="AG25" i="7" s="1"/>
  <c r="AE41" i="7"/>
  <c r="AG41" i="7" s="1"/>
  <c r="AE32" i="8"/>
  <c r="AG32" i="8" s="1"/>
  <c r="AE24" i="8"/>
  <c r="AE6" i="8"/>
  <c r="AG6" i="8" s="1"/>
  <c r="AE5" i="7"/>
  <c r="AG5" i="7" s="1"/>
  <c r="AE26" i="7"/>
  <c r="AG26" i="7" s="1"/>
  <c r="AE30" i="7"/>
  <c r="AG30" i="7" s="1"/>
  <c r="AE26" i="8"/>
  <c r="AG26" i="8" s="1"/>
  <c r="AE4" i="8"/>
  <c r="AG4" i="8" s="1"/>
  <c r="AE6" i="7"/>
  <c r="AG6" i="7" s="1"/>
  <c r="AE5" i="6"/>
  <c r="AG5" i="6" s="1"/>
  <c r="AE30" i="6"/>
  <c r="AG30" i="6" s="1"/>
  <c r="AE6" i="6"/>
  <c r="AG6" i="6" s="1"/>
  <c r="AE32" i="6"/>
  <c r="AG32" i="6" s="1"/>
  <c r="AE24" i="6"/>
  <c r="AE25" i="6"/>
  <c r="AG25" i="6" s="1"/>
  <c r="AE41" i="6"/>
  <c r="AG41" i="6" s="1"/>
  <c r="AE26" i="6"/>
  <c r="AG26" i="6" s="1"/>
  <c r="AE4" i="6"/>
  <c r="AG4" i="6" s="1"/>
  <c r="AF25" i="3"/>
  <c r="AH25" i="3" s="1"/>
  <c r="AF5" i="3"/>
  <c r="AH5" i="3" s="1"/>
  <c r="AF32" i="3"/>
  <c r="AH32" i="3" s="1"/>
  <c r="AF30" i="3"/>
  <c r="AH30" i="3" s="1"/>
  <c r="AF24" i="4"/>
  <c r="AF41" i="5"/>
  <c r="AH41" i="5" s="1"/>
  <c r="AF4" i="5"/>
  <c r="AH4" i="5" s="1"/>
  <c r="AF26" i="4"/>
  <c r="AH26" i="4" s="1"/>
  <c r="AF6" i="4"/>
  <c r="AH6" i="4" s="1"/>
  <c r="AF6" i="3"/>
  <c r="AH6" i="3" s="1"/>
  <c r="AF30" i="5"/>
  <c r="AH30" i="5" s="1"/>
  <c r="AF24" i="5"/>
  <c r="AF30" i="4"/>
  <c r="AH30" i="4" s="1"/>
  <c r="AH4" i="6"/>
  <c r="AF6" i="5"/>
  <c r="AH6" i="5" s="1"/>
  <c r="AF32" i="4"/>
  <c r="AH32" i="4" s="1"/>
  <c r="AF24" i="3"/>
  <c r="AF4" i="3"/>
  <c r="AH4" i="3" s="1"/>
  <c r="AF4" i="4"/>
  <c r="AH4" i="4" s="1"/>
  <c r="AF26" i="5"/>
  <c r="AH26" i="5" s="1"/>
  <c r="AF25" i="4"/>
  <c r="AH25" i="4" s="1"/>
  <c r="AF5" i="4"/>
  <c r="AH5" i="4" s="1"/>
  <c r="AF41" i="3"/>
  <c r="AH41" i="3" s="1"/>
  <c r="AF32" i="5"/>
  <c r="AH32" i="5" s="1"/>
  <c r="AF5" i="5"/>
  <c r="AH5" i="5" s="1"/>
  <c r="AF41" i="4"/>
  <c r="AH41" i="4" s="1"/>
  <c r="AF25" i="5"/>
  <c r="AH25" i="5" s="1"/>
  <c r="AE25" i="5"/>
  <c r="AG25" i="5" s="1"/>
  <c r="AE30" i="4"/>
  <c r="AG30" i="4" s="1"/>
  <c r="AE24" i="4"/>
  <c r="AE4" i="4"/>
  <c r="AG4" i="4" s="1"/>
  <c r="AE25" i="3"/>
  <c r="AG25" i="3" s="1"/>
  <c r="AE5" i="3"/>
  <c r="AG5" i="3" s="1"/>
  <c r="AE41" i="3"/>
  <c r="AG41" i="3" s="1"/>
  <c r="AE41" i="5"/>
  <c r="AG41" i="5" s="1"/>
  <c r="AE4" i="5"/>
  <c r="AG4" i="5" s="1"/>
  <c r="AE26" i="4"/>
  <c r="AG26" i="4" s="1"/>
  <c r="AE6" i="4"/>
  <c r="AG6" i="4" s="1"/>
  <c r="AE32" i="3"/>
  <c r="AG32" i="3" s="1"/>
  <c r="AE25" i="4"/>
  <c r="AG25" i="4" s="1"/>
  <c r="AE30" i="5"/>
  <c r="AG30" i="5" s="1"/>
  <c r="AE24" i="5"/>
  <c r="AE5" i="4"/>
  <c r="AG5" i="4" s="1"/>
  <c r="AE5" i="5"/>
  <c r="AG5" i="5" s="1"/>
  <c r="AE6" i="5"/>
  <c r="AG6" i="5" s="1"/>
  <c r="AE32" i="4"/>
  <c r="AG32" i="4" s="1"/>
  <c r="AE24" i="3"/>
  <c r="AE4" i="3"/>
  <c r="AG4" i="3" s="1"/>
  <c r="AE26" i="5"/>
  <c r="AG26" i="5" s="1"/>
  <c r="AE30" i="3"/>
  <c r="AG30" i="3" s="1"/>
  <c r="AE6" i="3"/>
  <c r="AG6" i="3" s="1"/>
  <c r="AE32" i="5"/>
  <c r="AG32" i="5" s="1"/>
  <c r="AE41" i="4"/>
  <c r="AG41" i="4" s="1"/>
  <c r="AF24" i="1"/>
  <c r="AF4" i="1"/>
  <c r="AH4" i="1" s="1"/>
  <c r="AF25" i="1"/>
  <c r="AH25" i="1" s="1"/>
  <c r="AF5" i="1"/>
  <c r="AH5" i="1" s="1"/>
  <c r="AF26" i="1"/>
  <c r="AH26" i="1" s="1"/>
  <c r="AF6" i="1"/>
  <c r="AH6" i="1" s="1"/>
  <c r="AF32" i="1"/>
  <c r="AH32" i="1" s="1"/>
  <c r="AF41" i="1"/>
  <c r="AH41" i="1" s="1"/>
  <c r="AF30" i="1"/>
  <c r="AH30" i="1" s="1"/>
  <c r="AE4" i="1"/>
  <c r="AG4" i="1" s="1"/>
  <c r="AE25" i="1"/>
  <c r="AG25" i="1" s="1"/>
  <c r="AE5" i="1"/>
  <c r="AG5" i="1" s="1"/>
  <c r="AE26" i="1"/>
  <c r="AG26" i="1" s="1"/>
  <c r="AE6" i="1"/>
  <c r="AG6" i="1" s="1"/>
  <c r="AE24" i="1"/>
  <c r="AE32" i="1"/>
  <c r="AG32" i="1" s="1"/>
  <c r="AE30" i="1"/>
  <c r="AG30" i="1" s="1"/>
  <c r="AE41" i="1"/>
  <c r="AG41" i="1" s="1"/>
  <c r="AE12" i="1"/>
  <c r="AE20" i="1"/>
  <c r="AE36" i="1"/>
  <c r="AG36" i="1" s="1"/>
  <c r="AE13" i="1"/>
  <c r="AG13" i="1" s="1"/>
  <c r="AE37" i="1"/>
  <c r="AG37" i="1" s="1"/>
  <c r="AE22" i="1"/>
  <c r="AG22" i="1" s="1"/>
  <c r="AE8" i="1"/>
  <c r="AG8" i="1" s="1"/>
  <c r="AE16" i="1"/>
  <c r="AG16" i="1" s="1"/>
  <c r="AE40" i="1"/>
  <c r="AG40" i="1" s="1"/>
  <c r="AE18" i="1"/>
  <c r="AG18" i="1" s="1"/>
  <c r="AE42" i="1"/>
  <c r="AE15" i="1"/>
  <c r="AG15" i="1" s="1"/>
  <c r="AE9" i="1"/>
  <c r="AG9" i="1" s="1"/>
  <c r="AE17" i="1"/>
  <c r="AG17" i="1" s="1"/>
  <c r="AE10" i="1"/>
  <c r="AG10" i="1" s="1"/>
  <c r="AE34" i="1"/>
  <c r="AG34" i="1" s="1"/>
  <c r="AE31" i="1"/>
  <c r="AG31" i="1" s="1"/>
  <c r="AE38" i="1"/>
  <c r="AG38" i="1" s="1"/>
  <c r="AE39" i="1"/>
  <c r="AG39" i="1" s="1"/>
  <c r="AE11" i="1"/>
  <c r="AG11" i="1" s="1"/>
  <c r="AE19" i="1"/>
  <c r="AG19" i="1" s="1"/>
  <c r="AE35" i="1"/>
  <c r="AG35" i="1" s="1"/>
  <c r="AE29" i="1"/>
  <c r="AG29" i="1" s="1"/>
  <c r="AF12" i="1"/>
  <c r="AF20" i="1"/>
  <c r="AF36" i="1"/>
  <c r="AH36" i="1" s="1"/>
  <c r="AF29" i="1"/>
  <c r="AH29" i="1" s="1"/>
  <c r="AF22" i="1"/>
  <c r="AH22" i="1" s="1"/>
  <c r="AF15" i="1"/>
  <c r="AH15" i="1" s="1"/>
  <c r="AF31" i="1"/>
  <c r="AH31" i="1" s="1"/>
  <c r="AF39" i="1"/>
  <c r="AH39" i="1" s="1"/>
  <c r="AF8" i="1"/>
  <c r="AH8" i="1" s="1"/>
  <c r="AF16" i="1"/>
  <c r="AH16" i="1" s="1"/>
  <c r="AF40" i="1"/>
  <c r="AH40" i="1" s="1"/>
  <c r="AF42" i="1"/>
  <c r="AF9" i="1"/>
  <c r="AH9" i="1" s="1"/>
  <c r="AF17" i="1"/>
  <c r="AH17" i="1" s="1"/>
  <c r="AF18" i="1"/>
  <c r="AH18" i="1" s="1"/>
  <c r="AF34" i="1"/>
  <c r="AH34" i="1" s="1"/>
  <c r="AF10" i="1"/>
  <c r="AH10" i="1" s="1"/>
  <c r="AF11" i="1"/>
  <c r="AH11" i="1" s="1"/>
  <c r="AF19" i="1"/>
  <c r="AH19" i="1" s="1"/>
  <c r="AF35" i="1"/>
  <c r="AH35" i="1" s="1"/>
  <c r="AF13" i="1"/>
  <c r="AH13" i="1" s="1"/>
  <c r="AF37" i="1"/>
  <c r="AH37" i="1" s="1"/>
  <c r="AF38" i="1"/>
  <c r="AH38" i="1" s="1"/>
</calcChain>
</file>

<file path=xl/sharedStrings.xml><?xml version="1.0" encoding="utf-8"?>
<sst xmlns="http://schemas.openxmlformats.org/spreadsheetml/2006/main" count="7001" uniqueCount="366">
  <si>
    <t>OBJECTID</t>
  </si>
  <si>
    <t>FeatureUID</t>
  </si>
  <si>
    <t>Label1</t>
  </si>
  <si>
    <t>Country</t>
  </si>
  <si>
    <t>FeatureNam</t>
  </si>
  <si>
    <t>FeatureTyp</t>
  </si>
  <si>
    <t>DsgAttr02</t>
  </si>
  <si>
    <t>DsgAttr03</t>
  </si>
  <si>
    <t>DsgAttr04</t>
  </si>
  <si>
    <t>DsgAttr05</t>
  </si>
  <si>
    <t>DsgAttr06</t>
  </si>
  <si>
    <t>DsgAttr08</t>
  </si>
  <si>
    <t>LocOpStat</t>
  </si>
  <si>
    <t>MemoOther</t>
  </si>
  <si>
    <t>MemoLoc</t>
  </si>
  <si>
    <t>Latitude</t>
  </si>
  <si>
    <t>Longitude</t>
  </si>
  <si>
    <t>LocConfid</t>
  </si>
  <si>
    <t>LocSource1</t>
  </si>
  <si>
    <t>InfSource1</t>
  </si>
  <si>
    <t>OperateNam</t>
  </si>
  <si>
    <t>OwnerName1</t>
  </si>
  <si>
    <t>OwnerName2</t>
  </si>
  <si>
    <t>ADM1</t>
  </si>
  <si>
    <t>DsgAttr07</t>
  </si>
  <si>
    <t>ZMB001</t>
  </si>
  <si>
    <t>ZMB1</t>
  </si>
  <si>
    <t>Zambia</t>
  </si>
  <si>
    <t>Baluba Center Underground Mine</t>
  </si>
  <si>
    <t>Mines and Quarries</t>
  </si>
  <si>
    <t>ZMB002</t>
  </si>
  <si>
    <t>ZMB2</t>
  </si>
  <si>
    <t>Bwana Mkubwa Solvent Extraction-Electrowinning Plant</t>
  </si>
  <si>
    <t>Mineral Processing Plants</t>
  </si>
  <si>
    <t>Copper</t>
  </si>
  <si>
    <t>Concentrate</t>
  </si>
  <si>
    <t>Y</t>
  </si>
  <si>
    <t>Metric tons</t>
  </si>
  <si>
    <t>Metal</t>
  </si>
  <si>
    <t>C&amp;M</t>
  </si>
  <si>
    <t>Ore. Operations suspended. Facility on care-and-maintenance status.</t>
  </si>
  <si>
    <t>Assumed Active</t>
  </si>
  <si>
    <t>Copper cathode.</t>
  </si>
  <si>
    <t>&lt;null&gt;</t>
  </si>
  <si>
    <t>A</t>
  </si>
  <si>
    <t>USGS Global GeoDB, revised</t>
  </si>
  <si>
    <t>USGS 2017 Minerals Yearbook, Vol. III, Zambia Country Chapter, Table 2; various other USGS, industry, geologic research, and company reports; various mining databases</t>
  </si>
  <si>
    <t>CNMC Luanshya Copper Mines Plc</t>
  </si>
  <si>
    <t>NFC Africa Mining Plc [80%]</t>
  </si>
  <si>
    <t>Zambia Consolidated Copper Mines Investments Holdings Plc (ZCCMâ€“IH) [20%]</t>
  </si>
  <si>
    <t>USGS Global GeoDB</t>
  </si>
  <si>
    <t>First Quantum Mining and Operations Ltd.</t>
  </si>
  <si>
    <t>First Quantum Minerals Ltd. [100%]</t>
  </si>
  <si>
    <t>Copperbelt</t>
  </si>
  <si>
    <t>ZMB003</t>
  </si>
  <si>
    <t>ZMB3</t>
  </si>
  <si>
    <t>Chambishi Facility</t>
  </si>
  <si>
    <t>Chambishi Cobalt Plant</t>
  </si>
  <si>
    <t>Chambishi Copper Smelter</t>
  </si>
  <si>
    <t>Copper cathode. Nkana Slag dumps.</t>
  </si>
  <si>
    <t>Copper anode (blister copper).</t>
  </si>
  <si>
    <t>E</t>
  </si>
  <si>
    <t>SNL</t>
  </si>
  <si>
    <t>Sino-Metals Leach Zambia Ltd.</t>
  </si>
  <si>
    <t>China Nonferrous Metals Mining (Group) Co. Ltd. [0%]</t>
  </si>
  <si>
    <t>Sino-Africa Mining Investments Ltd.&lt;null&gt;</t>
  </si>
  <si>
    <t>75 Kilometers northwest of Ndola</t>
  </si>
  <si>
    <t>Chambishi Metals Plc</t>
  </si>
  <si>
    <t>Eurasian Resources Group, S.a.r.l. (ERG) [90%]</t>
  </si>
  <si>
    <t>Zambia Consolidated Copper Mines Investments Holdings Plc (ZCCMâ€“IH) [10%]</t>
  </si>
  <si>
    <t>Chambishi Copper Smelter Co. Ltd.</t>
  </si>
  <si>
    <t>China Nonferrous Metal Mining (Group) Co. Ltd. [60%]</t>
  </si>
  <si>
    <t>Yunnan Copper Industry (Group) Co. Ltd. [40%]</t>
  </si>
  <si>
    <t>ZMB004</t>
  </si>
  <si>
    <t>ZMB4</t>
  </si>
  <si>
    <t>Chambishi Main Mine</t>
  </si>
  <si>
    <t>ZMB005</t>
  </si>
  <si>
    <t>ZMB5</t>
  </si>
  <si>
    <t>Chambishi West Mine</t>
  </si>
  <si>
    <t>ZMB006</t>
  </si>
  <si>
    <t>ZMB6</t>
  </si>
  <si>
    <t>Chibuluma South Mine</t>
  </si>
  <si>
    <t>Ore and concentrate</t>
  </si>
  <si>
    <t>Ore, which yields about 50,000 copper in concentrate.</t>
  </si>
  <si>
    <t>Jinchuan Group International Resources Co. Ltd. owns an 100% share split between Metorex Ltd. and Zambia Consolidated Copper Mines Investments Holdings Plc (ZCCMâ€“IH). Ore, which yields about 19,000 copper in concentrate.</t>
  </si>
  <si>
    <t>75 kilometers northwest of Ndola</t>
  </si>
  <si>
    <t>NFC Africa Mining Plc</t>
  </si>
  <si>
    <t>China Nonferrous Metal Mining (Group) Co. Ltd. [85%]</t>
  </si>
  <si>
    <t>Zambia Consolidated Copper Mines Investments Holdings Plc (ZCCMâ€“IH) [15%]</t>
  </si>
  <si>
    <t>76 kilometers northwest of Ndola</t>
  </si>
  <si>
    <t>About 12 kilometers west of Kitwe</t>
  </si>
  <si>
    <t>Metorex Ltd. [85%]</t>
  </si>
  <si>
    <t>ZMB008</t>
  </si>
  <si>
    <t>ZMB8</t>
  </si>
  <si>
    <t>Chingola Open Pit A Mine</t>
  </si>
  <si>
    <t>Ore. Capacity is a combination of Chingola open pit A and Nchanga open pit.</t>
  </si>
  <si>
    <t>Chingola</t>
  </si>
  <si>
    <t>Konkola Copper Mines Plc (KCM)</t>
  </si>
  <si>
    <t>Vedanta Resources Plc [79.4%]</t>
  </si>
  <si>
    <t>Zambia Consolidated Copper Mines Investments Holdings Plc (ZCCMâ€“IH) [20.6%]</t>
  </si>
  <si>
    <t>ZMB016</t>
  </si>
  <si>
    <t>ZMB16</t>
  </si>
  <si>
    <t>Fitwaola Open Pit Mine</t>
  </si>
  <si>
    <t>NA</t>
  </si>
  <si>
    <t>ZMB020</t>
  </si>
  <si>
    <t>ZMB20</t>
  </si>
  <si>
    <t>Kansanshi Mine</t>
  </si>
  <si>
    <t>Sulfide ore. 8,800,000 oxide ore. 8,600,000 mixed ore.</t>
  </si>
  <si>
    <t>North of Solwezi, Northwestern Province</t>
  </si>
  <si>
    <t>Kansanshi Mining Plc</t>
  </si>
  <si>
    <t>First Quantum Minerals Ltd. [80%]</t>
  </si>
  <si>
    <t>North-Western</t>
  </si>
  <si>
    <t>ZMB021</t>
  </si>
  <si>
    <t>ZMB21</t>
  </si>
  <si>
    <t>Kansanshi Smelter</t>
  </si>
  <si>
    <t>Northwestern Province</t>
  </si>
  <si>
    <t>ZMB023</t>
  </si>
  <si>
    <t>ZMB23</t>
  </si>
  <si>
    <t>Konkola Mine</t>
  </si>
  <si>
    <t>ZMB024</t>
  </si>
  <si>
    <t>Luanshya Slag Recovery</t>
  </si>
  <si>
    <t>ZMB24</t>
  </si>
  <si>
    <t>Luanshya North Mine</t>
  </si>
  <si>
    <t>ZMB025</t>
  </si>
  <si>
    <t>ZMB25</t>
  </si>
  <si>
    <t>Lubambe Copper Mine</t>
  </si>
  <si>
    <t>ZMB026</t>
  </si>
  <si>
    <t>ZMB26</t>
  </si>
  <si>
    <t>Lumwana Mine (Chimiwungo and Malundwe pits)</t>
  </si>
  <si>
    <t>N</t>
  </si>
  <si>
    <t>Slag, which yields 3,500 copper in concentrate.</t>
  </si>
  <si>
    <t>Ore, which yields about 45,000 copper in concentrate.</t>
  </si>
  <si>
    <t>Chililabombwe</t>
  </si>
  <si>
    <t>Google Earth</t>
  </si>
  <si>
    <t>Luanshya</t>
  </si>
  <si>
    <t>Near Chililabombwe</t>
  </si>
  <si>
    <t>Lubambe Copper Mine Ltd.</t>
  </si>
  <si>
    <t>African Rainbow Minerals Ltd. [40%]</t>
  </si>
  <si>
    <t>Vale S.A. [40%]</t>
  </si>
  <si>
    <t>20 kilometers west of Chingola</t>
  </si>
  <si>
    <t>Lumwana Mining Company Ltd.</t>
  </si>
  <si>
    <t>Barrick Gold Corp. [100%]</t>
  </si>
  <si>
    <t>ZMB031</t>
  </si>
  <si>
    <t>ZMB31</t>
  </si>
  <si>
    <t>Mkushi Heap Leach</t>
  </si>
  <si>
    <t>ZMB032</t>
  </si>
  <si>
    <t>ZMB32</t>
  </si>
  <si>
    <t>Mufulira (ISASMELT) Smelter</t>
  </si>
  <si>
    <t>ZMB033</t>
  </si>
  <si>
    <t>ZMB33</t>
  </si>
  <si>
    <t>Mufulira Mine</t>
  </si>
  <si>
    <t>Joint venture.</t>
  </si>
  <si>
    <t>Copper anode.</t>
  </si>
  <si>
    <t>Mkushi Copper Joint Venture Ltd.</t>
  </si>
  <si>
    <t>Seringa Mining Ltd. [51%]</t>
  </si>
  <si>
    <t>Katanga Resources Ltd. [49%]</t>
  </si>
  <si>
    <t>Mopani Copper Mines Plc</t>
  </si>
  <si>
    <t>Glencore Plc [73.1%]</t>
  </si>
  <si>
    <t>First Quantum Minerals Ltd. [16.9%]</t>
  </si>
  <si>
    <t>Central</t>
  </si>
  <si>
    <t>ZMB035</t>
  </si>
  <si>
    <t>ZMB35</t>
  </si>
  <si>
    <t>Mufulira Refinery</t>
  </si>
  <si>
    <t>ZMB036</t>
  </si>
  <si>
    <t>ZMB36</t>
  </si>
  <si>
    <t>Mufulira West Heap-Leach Facility</t>
  </si>
  <si>
    <t>ZMB037</t>
  </si>
  <si>
    <t>ZMB37</t>
  </si>
  <si>
    <t>Muliashi Leach Plant</t>
  </si>
  <si>
    <t>NFC Africa Mining Plc [100%]</t>
  </si>
  <si>
    <t>ZMB038</t>
  </si>
  <si>
    <t>ZMB38</t>
  </si>
  <si>
    <t>Munali Nickel Mine</t>
  </si>
  <si>
    <t>Ore and concentrate, Cu content</t>
  </si>
  <si>
    <t>Ore, which yields about 1,700 copper and 500 cobalt coproduct. Operations suspended. Facility on care-and-maintenance status.</t>
  </si>
  <si>
    <t>About 60 kilometers south of Lusaka</t>
  </si>
  <si>
    <t>Consolidated Nickel Mines Ltd.</t>
  </si>
  <si>
    <t>Consolidated Nickel Mines Ltd. [100%]</t>
  </si>
  <si>
    <t>Southern</t>
  </si>
  <si>
    <t>ZMB039</t>
  </si>
  <si>
    <t>ZMB39</t>
  </si>
  <si>
    <t>Mwambashi Mine</t>
  </si>
  <si>
    <t>Kalulushi, Copperbelt</t>
  </si>
  <si>
    <t>ZMB042</t>
  </si>
  <si>
    <t>ZMB42</t>
  </si>
  <si>
    <t>Nchanga Copper Smelter</t>
  </si>
  <si>
    <t>ZMB043</t>
  </si>
  <si>
    <t>ZMB43</t>
  </si>
  <si>
    <t>Nchanga Open Pit Mine</t>
  </si>
  <si>
    <t>ZMB044</t>
  </si>
  <si>
    <t>ZMB44</t>
  </si>
  <si>
    <t>Nchanga Tailings Leach Plant</t>
  </si>
  <si>
    <t>ZMB045</t>
  </si>
  <si>
    <t>ZMB45</t>
  </si>
  <si>
    <t>Nchanga Underground Mine</t>
  </si>
  <si>
    <t>Copper anode (blister copper), 3,000 copper-cobalt alloy.</t>
  </si>
  <si>
    <t>ZMB047</t>
  </si>
  <si>
    <t>Nkana Solvent Extraction Plant</t>
  </si>
  <si>
    <t>ZMB47</t>
  </si>
  <si>
    <t>Nkana Copper Refinery</t>
  </si>
  <si>
    <t>Southwest of Kitwe</t>
  </si>
  <si>
    <t>Kitwe</t>
  </si>
  <si>
    <t>ZMB048</t>
  </si>
  <si>
    <t>ZMB48</t>
  </si>
  <si>
    <t>Nkana Mine (Area A- open pit), southwest of Kitwe</t>
  </si>
  <si>
    <t>Nkana Mine (Area E- open pit), southwest of Kitwe</t>
  </si>
  <si>
    <t>Ore. Capacity is a combination of Nkana Mine areas, which includes Central, Mindola North, Mindola Sub-Vertical, and South Ore Body underground shafts, as well as Area A, Area E, and Mindola open pits.</t>
  </si>
  <si>
    <t>ZMB049</t>
  </si>
  <si>
    <t>ZMB49</t>
  </si>
  <si>
    <t>Nkana Mine (Central Ore Body shaft-underground), southwest of Kitwe</t>
  </si>
  <si>
    <t>ZMB050</t>
  </si>
  <si>
    <t>ZMB50</t>
  </si>
  <si>
    <t>Nkana Mine (Mindola North Ore Body shaft-underground), southwest of Kitwe</t>
  </si>
  <si>
    <t>ZMB051</t>
  </si>
  <si>
    <t>ZMB51</t>
  </si>
  <si>
    <t>Nkana Mine (Mindola- open pit), southwest of Kitwe</t>
  </si>
  <si>
    <t>MinDat Database</t>
  </si>
  <si>
    <t>ZMB052</t>
  </si>
  <si>
    <t>Nkana Mine (South Ore Body shaft-underground), southwest of Kitwe</t>
  </si>
  <si>
    <t>ZMB52</t>
  </si>
  <si>
    <t>Nkana Mine (Sub-Vertical Ore Body shaft-underground), southwest of Kitwe</t>
  </si>
  <si>
    <t>ZMB054</t>
  </si>
  <si>
    <t>Sable Copper Leach and Electrowinning Plant</t>
  </si>
  <si>
    <t>ZMB055</t>
  </si>
  <si>
    <t>ZMB55</t>
  </si>
  <si>
    <t>Sentinel Mine</t>
  </si>
  <si>
    <t>Copper cathode. Capacity is a combination of Sable copper leach and Sable Electrowinning Plant.</t>
  </si>
  <si>
    <t>Refinery at Kabwe</t>
  </si>
  <si>
    <t>SNL; USGS Global GeoDB; revised</t>
  </si>
  <si>
    <t>Sable Zinc Kabwe Ltd.</t>
  </si>
  <si>
    <t>Glencore Plc [100%]</t>
  </si>
  <si>
    <t>Type</t>
  </si>
  <si>
    <t>Facilities</t>
  </si>
  <si>
    <t>mines_zambia.csv</t>
  </si>
  <si>
    <t>x</t>
  </si>
  <si>
    <t>mines_USGS.xlsx</t>
  </si>
  <si>
    <t>t / yr</t>
  </si>
  <si>
    <t>Nampundwe (Zvishavane Shabanie)</t>
  </si>
  <si>
    <t>24,000 Cu; 1</t>
  </si>
  <si>
    <t>88,000 Cu; 1</t>
  </si>
  <si>
    <t>ore processing(tonnes)</t>
  </si>
  <si>
    <t>copper</t>
  </si>
  <si>
    <t>mill</t>
  </si>
  <si>
    <t>mine</t>
  </si>
  <si>
    <t>Facility</t>
  </si>
  <si>
    <t>Demand type</t>
  </si>
  <si>
    <t>Specific demand [GJ/t]</t>
  </si>
  <si>
    <t>Base material</t>
  </si>
  <si>
    <t>Ore grade</t>
  </si>
  <si>
    <t>Mine</t>
  </si>
  <si>
    <t>Electricity</t>
  </si>
  <si>
    <t>ore</t>
  </si>
  <si>
    <t>Concentrate grade</t>
  </si>
  <si>
    <t>Diesel</t>
  </si>
  <si>
    <t>Plant usage</t>
  </si>
  <si>
    <t>Mill</t>
  </si>
  <si>
    <t>concentrate</t>
  </si>
  <si>
    <t>Smelter</t>
  </si>
  <si>
    <t>pure material</t>
  </si>
  <si>
    <t>Refinery</t>
  </si>
  <si>
    <t>Plant</t>
  </si>
  <si>
    <t>Spec. Energy Elec</t>
  </si>
  <si>
    <t>Spec. Energy Diesel</t>
  </si>
  <si>
    <t>Energy Elec (TJ)</t>
  </si>
  <si>
    <t>Energy Diesel (TJ)</t>
  </si>
  <si>
    <t>Assumption base mat</t>
  </si>
  <si>
    <t>Ore</t>
  </si>
  <si>
    <t>Smelter/refinery</t>
  </si>
  <si>
    <t>Smelter+Refinary</t>
  </si>
  <si>
    <t>Refinary</t>
  </si>
  <si>
    <t>-</t>
  </si>
  <si>
    <t>Memo AK</t>
  </si>
  <si>
    <t>Orig. DsgAttr03 = Concentrate</t>
  </si>
  <si>
    <t>Proces</t>
  </si>
  <si>
    <t>ISASMELT</t>
  </si>
  <si>
    <t>Solvent Extraction-Electrowinning</t>
  </si>
  <si>
    <t>Leach and Electrowinning, Refinery</t>
  </si>
  <si>
    <t>Solvent Extraction (bur Co catode)</t>
  </si>
  <si>
    <t>Leach (but Co cathode)</t>
  </si>
  <si>
    <t xml:space="preserve"> Heap-Leach</t>
  </si>
  <si>
    <t>Production (t)</t>
  </si>
  <si>
    <t>Slag recovery?</t>
  </si>
  <si>
    <t>=refinary</t>
  </si>
  <si>
    <t>Underground</t>
  </si>
  <si>
    <t>Open Pit</t>
  </si>
  <si>
    <t>Open Pit?</t>
  </si>
  <si>
    <t>Heap Leach?</t>
  </si>
  <si>
    <t>If unknown =&gt; Open Pit</t>
  </si>
  <si>
    <t>Comment</t>
  </si>
  <si>
    <t>https://elib.dlr.de/130069/1/Renewable%20energy%20in%20copper%20production%20-%20a%20review.pdf</t>
  </si>
  <si>
    <t>Flash smelting in</t>
  </si>
  <si>
    <t>https://link.springer.com/article/10.1007/s11837-015-1380-1</t>
  </si>
  <si>
    <t>https://www.mining-technology.com/projects/munali_nickel/?cf-view</t>
  </si>
  <si>
    <t>The project extracted 900,000t of ore per year using long hole open stoping methods.</t>
  </si>
  <si>
    <t>Orig: Ore and concentrate, Cu content</t>
  </si>
  <si>
    <t>Production (Cu)</t>
  </si>
  <si>
    <t>S&amp;P</t>
  </si>
  <si>
    <t>https://www.first-quantum.com/English/our-operations/operating-mines/sentinel/production-statistics/default.aspx</t>
  </si>
  <si>
    <t>Sentinel  &gt;  Production Statistics
Production Statistics</t>
  </si>
  <si>
    <t>https://www.first-quantum.com/English/our-operations/operating-mines/kansanshi/production-statistics/default.aspx</t>
  </si>
  <si>
    <t>Kansanshi</t>
  </si>
  <si>
    <t>Elec</t>
  </si>
  <si>
    <t>GJ/t_Cu</t>
  </si>
  <si>
    <t>total cu production 2017 from mines:</t>
  </si>
  <si>
    <t>total cu production 2017 from smelters etc:</t>
  </si>
  <si>
    <t>concentrates</t>
  </si>
  <si>
    <t>Leaching, electrowon</t>
  </si>
  <si>
    <t>Total</t>
  </si>
  <si>
    <t>Hist. Mines output 2017:</t>
  </si>
  <si>
    <t>Hist. Smelter output 2017:</t>
  </si>
  <si>
    <t>6.4 Mt</t>
  </si>
  <si>
    <t xml:space="preserve"> 40kt</t>
  </si>
  <si>
    <t>Cu</t>
  </si>
  <si>
    <t>Mopani metal from USGS</t>
  </si>
  <si>
    <t>392kt</t>
  </si>
  <si>
    <t>Mopani ore from USGS</t>
  </si>
  <si>
    <t>total cu production 2017 from mines with usage 100%:</t>
  </si>
  <si>
    <t>Konkola ore from USGS</t>
  </si>
  <si>
    <t>Konkola metal from USGS</t>
  </si>
  <si>
    <t>48kt</t>
  </si>
  <si>
    <t>7.8 Mt</t>
  </si>
  <si>
    <t>553kt</t>
  </si>
  <si>
    <t>total cu production 2017 one time (highest value) from smelters etc with usage 100%:</t>
  </si>
  <si>
    <t>Mining</t>
  </si>
  <si>
    <t xml:space="preserve">Ore grade </t>
  </si>
  <si>
    <t>Open Pit [2]</t>
  </si>
  <si>
    <t>Underground [2]</t>
  </si>
  <si>
    <t>[1]</t>
  </si>
  <si>
    <t>[2]</t>
  </si>
  <si>
    <t>engeco, weir (2021): Mining energy comsumption 2021</t>
  </si>
  <si>
    <t>Open Pit, v2 [1]</t>
  </si>
  <si>
    <t>Open Pit, v1 [1]</t>
  </si>
  <si>
    <t>[3]</t>
  </si>
  <si>
    <t>(Karla), energy consumption by product</t>
  </si>
  <si>
    <t>Heat</t>
  </si>
  <si>
    <t>Co concentrate, Sulfide ore [3]</t>
  </si>
  <si>
    <t>11.5 kWh/kg</t>
  </si>
  <si>
    <t>1.5 kWh/kg</t>
  </si>
  <si>
    <t>Mining + Milling?</t>
  </si>
  <si>
    <t>Comminution</t>
  </si>
  <si>
    <t>Comminution [1]</t>
  </si>
  <si>
    <t>Unit</t>
  </si>
  <si>
    <t>Average [2]</t>
  </si>
  <si>
    <t>Smelter + refinary?</t>
  </si>
  <si>
    <t>60 kWh/kg</t>
  </si>
  <si>
    <t>3 kWh</t>
  </si>
  <si>
    <t>7 kWh/kg</t>
  </si>
  <si>
    <t>Diesel (+ gas?) (Fuel)</t>
  </si>
  <si>
    <t>[4]</t>
  </si>
  <si>
    <t>6.9-13.7</t>
  </si>
  <si>
    <t>2.5-3.3</t>
  </si>
  <si>
    <t>https://researchbank.swinburne.edu.au/file/aca1169e-7dd0-4293-a911-9fae0e969dd4/1/PDF%20(Published%20version).pdf</t>
  </si>
  <si>
    <t>Further Info</t>
  </si>
  <si>
    <t>https://www.sciencedirect.com/science/article/pii/S2666789421000441</t>
  </si>
  <si>
    <t>[5]</t>
  </si>
  <si>
    <t>[5] KH-hot calcine reverberatory</t>
  </si>
  <si>
    <t>Smelter+Ref</t>
  </si>
  <si>
    <t>https://link.springer.com/article/10.1007/s11837-015-1380-1/tables/5</t>
  </si>
  <si>
    <t>[5] Flash smelting–flash converting–slag flotation</t>
  </si>
  <si>
    <t>[5] Isasmelt–Peirce–Smith converting-rotary slag cleaning</t>
  </si>
  <si>
    <t xml:space="preserve">[5] Mitsubishi </t>
  </si>
  <si>
    <t>[5] Noranda–Teniente</t>
  </si>
  <si>
    <t>[6]</t>
  </si>
  <si>
    <t>[7]</t>
  </si>
  <si>
    <t>https://www.bmwk.de/Redaktion/DE/Downloads/E/energiewende-in-der-industrie-ap2a-branchensteckbrief-metall.pdf?__blob=publicationFile&amp;v=4</t>
  </si>
  <si>
    <t>https://www.umweltbundesamt.at/fileadmin/site/publikationen/REP0303.pdf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</si>
</sst>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u/>
      <sz val="11"/>
      <color theme="10"/>
      <name val="Calibri"/>
      <family val="2"/>
      <scheme val="minor"/>
    </font>
    <font>
      <strike/>
      <sz val="1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99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/>
    <xf numFmtId="0" fontId="3" fillId="0" borderId="0">
      <alignment vertical="top"/>
    </xf>
    <xf numFmtId="0" fontId="6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56">
    <xf numFmtId="0" fontId="0" fillId="0" borderId="0" xfId="0"/>
    <xf numFmtId="3" fontId="0" fillId="2" borderId="0" xfId="0" applyNumberFormat="1" applyFill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0" borderId="0" xfId="1" applyFont="1"/>
    <xf numFmtId="0" fontId="3" fillId="0" borderId="0" xfId="1"/>
    <xf numFmtId="10" fontId="3" fillId="0" borderId="0" xfId="1" applyNumberFormat="1"/>
    <xf numFmtId="9" fontId="3" fillId="0" borderId="0" xfId="1" applyNumberFormat="1"/>
    <xf numFmtId="0" fontId="5" fillId="0" borderId="1" xfId="2" applyFont="1" applyBorder="1" applyAlignment="1">
      <alignment horizontal="center" vertical="top" wrapText="1" shrinkToFit="1"/>
    </xf>
    <xf numFmtId="0" fontId="0" fillId="4" borderId="0" xfId="0" applyFill="1"/>
    <xf numFmtId="0" fontId="0" fillId="3" borderId="0" xfId="0" applyFill="1"/>
    <xf numFmtId="0" fontId="3" fillId="0" borderId="0" xfId="1" quotePrefix="1"/>
    <xf numFmtId="0" fontId="4" fillId="0" borderId="2" xfId="1" applyFont="1" applyBorder="1"/>
    <xf numFmtId="0" fontId="3" fillId="0" borderId="2" xfId="1" applyBorder="1"/>
    <xf numFmtId="0" fontId="6" fillId="0" borderId="0" xfId="3"/>
    <xf numFmtId="1" fontId="0" fillId="0" borderId="0" xfId="0" applyNumberFormat="1"/>
    <xf numFmtId="0" fontId="5" fillId="5" borderId="0" xfId="2" applyFont="1" applyFill="1" applyAlignment="1">
      <alignment horizontal="center" vertical="top" wrapText="1" shrinkToFit="1"/>
    </xf>
    <xf numFmtId="3" fontId="5" fillId="0" borderId="0" xfId="2" applyNumberFormat="1" applyFont="1" applyAlignment="1">
      <alignment horizontal="center" vertical="top" wrapText="1" shrinkToFit="1"/>
    </xf>
    <xf numFmtId="0" fontId="0" fillId="6" borderId="0" xfId="0" applyFill="1"/>
    <xf numFmtId="3" fontId="0" fillId="6" borderId="0" xfId="0" applyNumberFormat="1" applyFill="1"/>
    <xf numFmtId="3" fontId="0" fillId="5" borderId="0" xfId="0" applyNumberFormat="1" applyFill="1"/>
    <xf numFmtId="1" fontId="0" fillId="5" borderId="0" xfId="0" applyNumberFormat="1" applyFill="1"/>
    <xf numFmtId="3" fontId="0" fillId="7" borderId="0" xfId="0" applyNumberFormat="1" applyFill="1"/>
    <xf numFmtId="3" fontId="0" fillId="8" borderId="0" xfId="0" applyNumberFormat="1" applyFill="1"/>
    <xf numFmtId="0" fontId="0" fillId="8" borderId="0" xfId="0" applyFill="1"/>
    <xf numFmtId="0" fontId="7" fillId="0" borderId="0" xfId="1" applyFont="1"/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2" fontId="3" fillId="0" borderId="0" xfId="1" applyNumberFormat="1"/>
    <xf numFmtId="9" fontId="0" fillId="0" borderId="0" xfId="4" applyFont="1"/>
    <xf numFmtId="0" fontId="0" fillId="9" borderId="0" xfId="0" applyFill="1"/>
    <xf numFmtId="0" fontId="0" fillId="10" borderId="0" xfId="0" applyFill="1"/>
    <xf numFmtId="0" fontId="0" fillId="0" borderId="0" xfId="0" quotePrefix="1"/>
    <xf numFmtId="0" fontId="0" fillId="11" borderId="0" xfId="0" applyFill="1"/>
    <xf numFmtId="0" fontId="0" fillId="12" borderId="0" xfId="0" applyFill="1"/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4" xfId="0" applyBorder="1"/>
    <xf numFmtId="3" fontId="0" fillId="11" borderId="0" xfId="0" applyNumberFormat="1" applyFill="1"/>
    <xf numFmtId="3" fontId="2" fillId="11" borderId="0" xfId="0" applyNumberFormat="1" applyFont="1" applyFill="1"/>
    <xf numFmtId="3" fontId="0" fillId="12" borderId="0" xfId="0" applyNumberFormat="1" applyFill="1"/>
    <xf numFmtId="0" fontId="10" fillId="0" borderId="0" xfId="1" applyFont="1"/>
    <xf numFmtId="0" fontId="3" fillId="0" borderId="3" xfId="1" applyBorder="1"/>
    <xf numFmtId="0" fontId="10" fillId="0" borderId="1" xfId="1" applyFont="1" applyBorder="1"/>
    <xf numFmtId="0" fontId="3" fillId="0" borderId="1" xfId="1" applyBorder="1"/>
    <xf numFmtId="0" fontId="10" fillId="0" borderId="5" xfId="1" applyFont="1" applyBorder="1"/>
    <xf numFmtId="0" fontId="3" fillId="0" borderId="5" xfId="1" applyBorder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3" fillId="0" borderId="3" xfId="1" applyBorder="1" applyAlignment="1">
      <alignment horizontal="center"/>
    </xf>
  </cellXfs>
  <cellStyles count="5">
    <cellStyle name="Link" xfId="3" builtinId="8"/>
    <cellStyle name="Normal_Sheet1" xfId="2" xr:uid="{C794B6FC-C5E3-4B49-940E-B39DB56539BC}"/>
    <cellStyle name="Prozent" xfId="4" builtinId="5"/>
    <cellStyle name="Standard" xfId="0" builtinId="0"/>
    <cellStyle name="Standard 2" xfId="1" xr:uid="{BDC9F559-846A-4BDE-9510-014F7AF8ACA3}"/>
  </cellStyles>
  <dxfs count="0"/>
  <tableStyles count="0" defaultTableStyle="TableStyleMedium2" defaultPivotStyle="PivotStyleLight16"/>
  <colors>
    <mruColors>
      <color rgb="FF9999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47625</xdr:colOff>
      <xdr:row>46</xdr:row>
      <xdr:rowOff>142875</xdr:rowOff>
    </xdr:from>
    <xdr:to>
      <xdr:col>36</xdr:col>
      <xdr:colOff>266700</xdr:colOff>
      <xdr:row>49</xdr:row>
      <xdr:rowOff>85725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24FF4869-B08B-0894-976B-C7C2EBCED7B5}"/>
            </a:ext>
          </a:extLst>
        </xdr:cNvPr>
        <xdr:cNvCxnSpPr/>
      </xdr:nvCxnSpPr>
      <xdr:spPr>
        <a:xfrm flipV="1">
          <a:off x="21993225" y="9201150"/>
          <a:ext cx="828675" cy="5143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161925</xdr:colOff>
      <xdr:row>44</xdr:row>
      <xdr:rowOff>142875</xdr:rowOff>
    </xdr:from>
    <xdr:to>
      <xdr:col>37</xdr:col>
      <xdr:colOff>380170</xdr:colOff>
      <xdr:row>49</xdr:row>
      <xdr:rowOff>37994</xdr:rowOff>
    </xdr:to>
    <xdr:pic>
      <xdr:nvPicPr>
        <xdr:cNvPr id="2" name="Grafik 1" descr="Ein Bild, das Text, Screenshot, Schrift, Reihe enthält.&#10;&#10;Automatisch generierte Beschreibung">
          <a:extLst>
            <a:ext uri="{FF2B5EF4-FFF2-40B4-BE49-F238E27FC236}">
              <a16:creationId xmlns:a16="http://schemas.microsoft.com/office/drawing/2014/main" id="{6053BCD9-A4C2-DEDB-8BED-FDC1D50DF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31175" y="3867150"/>
          <a:ext cx="6638095" cy="8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76200</xdr:colOff>
      <xdr:row>45</xdr:row>
      <xdr:rowOff>38101</xdr:rowOff>
    </xdr:from>
    <xdr:to>
      <xdr:col>37</xdr:col>
      <xdr:colOff>84736</xdr:colOff>
      <xdr:row>51</xdr:row>
      <xdr:rowOff>73965</xdr:rowOff>
    </xdr:to>
    <xdr:pic>
      <xdr:nvPicPr>
        <xdr:cNvPr id="3" name="Grafik 2" descr="Ein Bild, das Text, Schrift, Screenshot, Algebra enthält.&#10;&#10;Automatisch generierte Beschreibung">
          <a:extLst>
            <a:ext uri="{FF2B5EF4-FFF2-40B4-BE49-F238E27FC236}">
              <a16:creationId xmlns:a16="http://schemas.microsoft.com/office/drawing/2014/main" id="{4E14AA71-4502-82FD-163A-59146B3E4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63750" y="5857876"/>
          <a:ext cx="5075836" cy="11788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45</xdr:row>
      <xdr:rowOff>0</xdr:rowOff>
    </xdr:from>
    <xdr:to>
      <xdr:col>36</xdr:col>
      <xdr:colOff>323183</xdr:colOff>
      <xdr:row>60</xdr:row>
      <xdr:rowOff>142500</xdr:rowOff>
    </xdr:to>
    <xdr:pic>
      <xdr:nvPicPr>
        <xdr:cNvPr id="3" name="Grafik 2" descr="Ein Bild, das Text, Screenshot, Schrift enthält.&#10;&#10;Automatisch generierte Beschreibung">
          <a:extLst>
            <a:ext uri="{FF2B5EF4-FFF2-40B4-BE49-F238E27FC236}">
              <a16:creationId xmlns:a16="http://schemas.microsoft.com/office/drawing/2014/main" id="{0CECD7BE-5799-5090-23DB-22983E72E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91975" y="8867775"/>
          <a:ext cx="5333333" cy="300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353459</xdr:colOff>
      <xdr:row>45</xdr:row>
      <xdr:rowOff>85725</xdr:rowOff>
    </xdr:from>
    <xdr:to>
      <xdr:col>17</xdr:col>
      <xdr:colOff>304080</xdr:colOff>
      <xdr:row>73</xdr:row>
      <xdr:rowOff>56283</xdr:rowOff>
    </xdr:to>
    <xdr:pic>
      <xdr:nvPicPr>
        <xdr:cNvPr id="4" name="Grafik 3" descr="Ein Bild, das Text, Screenshot, Schrift, Zahl enthält.&#10;&#10;Automatisch generierte Beschreibung">
          <a:extLst>
            <a:ext uri="{FF2B5EF4-FFF2-40B4-BE49-F238E27FC236}">
              <a16:creationId xmlns:a16="http://schemas.microsoft.com/office/drawing/2014/main" id="{496DF7FD-A2A9-E3D4-6442-22C4DD35E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78134" y="8953500"/>
          <a:ext cx="4408321" cy="53045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lib.dlr.de/130069/1/Renewable%20energy%20in%20copper%20production%20-%20a%20review.pdf" TargetMode="External"/><Relationship Id="rId2" Type="http://schemas.openxmlformats.org/officeDocument/2006/relationships/hyperlink" Target="https://elib.dlr.de/130069/1/Renewable%20energy%20in%20copper%20production%20-%20a%20review.pdf" TargetMode="External"/><Relationship Id="rId1" Type="http://schemas.openxmlformats.org/officeDocument/2006/relationships/hyperlink" Target="https://elib.dlr.de/130069/1/Renewable%20energy%20in%20copper%20production%20-%20a%20review.pdf" TargetMode="External"/><Relationship Id="rId6" Type="http://schemas.openxmlformats.org/officeDocument/2006/relationships/hyperlink" Target="https://www.umweltbundesamt.at/fileadmin/site/publikationen/REP0303.pdf" TargetMode="External"/><Relationship Id="rId5" Type="http://schemas.openxmlformats.org/officeDocument/2006/relationships/hyperlink" Target="https://researchbank.swinburne.edu.au/file/aca1169e-7dd0-4293-a911-9fae0e969dd4/1/PDF%20(Published%20version).pdf" TargetMode="External"/><Relationship Id="rId4" Type="http://schemas.openxmlformats.org/officeDocument/2006/relationships/hyperlink" Target="https://elib.dlr.de/130069/1/Renewable%20energy%20in%20copper%20production%20-%20a%20review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8AB01-951B-4547-A9E9-E088A1441BAF}">
  <sheetPr filterMode="1"/>
  <dimension ref="A1:AR42"/>
  <sheetViews>
    <sheetView topLeftCell="E1" workbookViewId="0">
      <selection activeCell="AE21" sqref="AE21:AF21"/>
    </sheetView>
  </sheetViews>
  <sheetFormatPr baseColWidth="10" defaultColWidth="9.1796875" defaultRowHeight="14.5" x14ac:dyDescent="0.35"/>
  <cols>
    <col min="1" max="4" width="9.1796875" hidden="1" customWidth="1"/>
    <col min="5" max="5" width="37.81640625" customWidth="1"/>
    <col min="6" max="6" width="17.7265625" bestFit="1" customWidth="1"/>
    <col min="7" max="7" width="25.26953125" customWidth="1"/>
    <col min="8" max="9" width="0" hidden="1" customWidth="1"/>
    <col min="10" max="10" width="13.81640625" customWidth="1"/>
    <col min="11" max="12" width="0" hidden="1" customWidth="1"/>
    <col min="14" max="15" width="0" hidden="1" customWidth="1"/>
    <col min="16" max="16" width="40.26953125" customWidth="1"/>
    <col min="17" max="17" width="26.54296875" customWidth="1"/>
    <col min="19" max="27" width="0" hidden="1" customWidth="1"/>
    <col min="28" max="28" width="10.1796875" bestFit="1" customWidth="1"/>
    <col min="29" max="29" width="0" hidden="1" customWidth="1"/>
    <col min="30" max="30" width="10.1796875" bestFit="1" customWidth="1"/>
    <col min="35" max="35" width="9.1796875" style="2"/>
    <col min="37" max="37" width="12" customWidth="1"/>
    <col min="38" max="38" width="10.1796875" bestFit="1" customWidth="1"/>
  </cols>
  <sheetData>
    <row r="1" spans="1:44" ht="3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267</v>
      </c>
      <c r="G1" t="s">
        <v>273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271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231</v>
      </c>
      <c r="AD1" t="s">
        <v>280</v>
      </c>
      <c r="AE1" s="11" t="s">
        <v>261</v>
      </c>
      <c r="AF1" s="11" t="s">
        <v>262</v>
      </c>
      <c r="AG1" s="11" t="s">
        <v>263</v>
      </c>
      <c r="AH1" s="11" t="s">
        <v>264</v>
      </c>
      <c r="AI1" s="20" t="s">
        <v>295</v>
      </c>
      <c r="AJ1" s="19" t="s">
        <v>296</v>
      </c>
      <c r="AK1" s="51" t="s">
        <v>233</v>
      </c>
      <c r="AL1" s="51"/>
      <c r="AM1" s="51"/>
      <c r="AN1" s="51"/>
      <c r="AO1" s="52" t="s">
        <v>235</v>
      </c>
      <c r="AP1" s="52"/>
      <c r="AQ1" s="52"/>
      <c r="AR1" s="52"/>
    </row>
    <row r="2" spans="1:44" hidden="1" x14ac:dyDescent="0.35">
      <c r="AK2" s="51" t="s">
        <v>240</v>
      </c>
      <c r="AL2" s="51"/>
      <c r="AM2" s="6" t="s">
        <v>241</v>
      </c>
      <c r="AN2" s="6" t="s">
        <v>241</v>
      </c>
      <c r="AO2" s="52" t="s">
        <v>242</v>
      </c>
      <c r="AP2" s="52"/>
      <c r="AQ2" s="52" t="s">
        <v>243</v>
      </c>
      <c r="AR2" s="52"/>
    </row>
    <row r="3" spans="1:44" hidden="1" x14ac:dyDescent="0.35">
      <c r="A3">
        <v>2201</v>
      </c>
      <c r="B3" t="s">
        <v>25</v>
      </c>
      <c r="C3" t="s">
        <v>26</v>
      </c>
      <c r="D3" t="s">
        <v>27</v>
      </c>
      <c r="E3" t="s">
        <v>28</v>
      </c>
      <c r="G3" t="s">
        <v>283</v>
      </c>
      <c r="H3" t="s">
        <v>29</v>
      </c>
      <c r="I3" t="s">
        <v>34</v>
      </c>
      <c r="J3" t="s">
        <v>82</v>
      </c>
      <c r="K3" t="s">
        <v>36</v>
      </c>
      <c r="L3" t="s">
        <v>36</v>
      </c>
      <c r="M3">
        <v>2017</v>
      </c>
      <c r="N3" t="s">
        <v>37</v>
      </c>
      <c r="O3" t="s">
        <v>39</v>
      </c>
      <c r="P3" t="s">
        <v>40</v>
      </c>
      <c r="Q3" t="s">
        <v>272</v>
      </c>
      <c r="R3" t="s">
        <v>43</v>
      </c>
      <c r="S3">
        <v>-13.04861</v>
      </c>
      <c r="T3">
        <v>28.338059999999999</v>
      </c>
      <c r="U3" t="s">
        <v>44</v>
      </c>
      <c r="V3" t="s">
        <v>45</v>
      </c>
      <c r="W3" t="s">
        <v>46</v>
      </c>
      <c r="X3" t="s">
        <v>47</v>
      </c>
      <c r="Y3" t="s">
        <v>48</v>
      </c>
      <c r="Z3" t="s">
        <v>49</v>
      </c>
      <c r="AA3" t="s">
        <v>53</v>
      </c>
      <c r="AB3" s="2">
        <v>1500000</v>
      </c>
      <c r="AC3" t="s">
        <v>232</v>
      </c>
      <c r="AD3">
        <f>IF(ISBLANK(AB3), "", AB3*Parameter!$H$3)</f>
        <v>1200000</v>
      </c>
      <c r="AE3">
        <f>IF(J3="Ore and concentrate",IF(G3="Underground", Parameter!$C$21,Parameter!$C$19), IF(F3="Smelter",Parameter!$C$10,IF(F3="Refinary",Parameter!$C$12,Parameter!$C$15)))</f>
        <v>7.2849999999999998E-2</v>
      </c>
      <c r="AF3">
        <f>IF(J3="Ore and concentrate",IF(G3="Underground",Parameter!$C$22,Parameter!$C$20),IF(F3="Smelter",Parameter!$C$11,IF(F3="Refinary",Parameter!$C$13,Parameter!$C$16)))</f>
        <v>1.333E-2</v>
      </c>
      <c r="AG3">
        <f>IF(AD3="","", AD3*AE3/1000)</f>
        <v>87.42</v>
      </c>
      <c r="AH3">
        <f>IF((AD3=""),"", AD3*AF3/1000)</f>
        <v>15.996</v>
      </c>
      <c r="AI3" s="2">
        <f>AD3*Parameter!$H$1</f>
        <v>7440</v>
      </c>
      <c r="AJ3" s="2">
        <v>1294</v>
      </c>
      <c r="AK3" t="s">
        <v>103</v>
      </c>
      <c r="AL3" t="s">
        <v>103</v>
      </c>
      <c r="AM3" s="1">
        <v>13836</v>
      </c>
      <c r="AN3" s="1">
        <v>13612</v>
      </c>
      <c r="AO3" t="s">
        <v>238</v>
      </c>
      <c r="AP3" t="s">
        <v>236</v>
      </c>
      <c r="AQ3" s="2">
        <v>725000</v>
      </c>
      <c r="AR3" t="s">
        <v>236</v>
      </c>
    </row>
    <row r="4" spans="1:44" x14ac:dyDescent="0.35">
      <c r="A4">
        <v>2202</v>
      </c>
      <c r="B4" t="s">
        <v>30</v>
      </c>
      <c r="C4" t="s">
        <v>31</v>
      </c>
      <c r="D4" t="s">
        <v>27</v>
      </c>
      <c r="E4" t="s">
        <v>32</v>
      </c>
      <c r="F4" t="s">
        <v>268</v>
      </c>
      <c r="G4" t="s">
        <v>275</v>
      </c>
      <c r="H4" t="s">
        <v>33</v>
      </c>
      <c r="I4" t="s">
        <v>34</v>
      </c>
      <c r="J4" t="s">
        <v>38</v>
      </c>
      <c r="K4" t="s">
        <v>36</v>
      </c>
      <c r="L4" t="s">
        <v>36</v>
      </c>
      <c r="M4">
        <v>2017</v>
      </c>
      <c r="N4" t="s">
        <v>37</v>
      </c>
      <c r="O4" t="s">
        <v>41</v>
      </c>
      <c r="P4" t="s">
        <v>42</v>
      </c>
      <c r="R4" t="s">
        <v>43</v>
      </c>
      <c r="S4">
        <v>-13.042299999999999</v>
      </c>
      <c r="T4">
        <v>28.709353</v>
      </c>
      <c r="U4" t="s">
        <v>44</v>
      </c>
      <c r="V4" t="s">
        <v>50</v>
      </c>
      <c r="W4" t="s">
        <v>46</v>
      </c>
      <c r="X4" t="s">
        <v>51</v>
      </c>
      <c r="Y4" t="s">
        <v>52</v>
      </c>
      <c r="Z4" t="s">
        <v>43</v>
      </c>
      <c r="AA4" t="s">
        <v>53</v>
      </c>
      <c r="AB4" s="2">
        <v>52000</v>
      </c>
      <c r="AC4" t="s">
        <v>232</v>
      </c>
      <c r="AD4">
        <f>IF(ISBLANK(AB4), "", AB4*Parameter!$H$3)</f>
        <v>41600</v>
      </c>
      <c r="AE4">
        <f>IF(J4="Ore and concentrate",IF(G4="Underground", Parameter!$C$21,Parameter!$C$19), IF(F4="Smelter",Parameter!$C$10,IF(F4="Refinary",Parameter!$C$12,Parameter!$C$15)))</f>
        <v>12.466000000000001</v>
      </c>
      <c r="AF4">
        <f>IF(J4="Ore and concentrate",IF(G4="Underground",Parameter!$C$22,Parameter!$C$20),IF(F4="Smelter",Parameter!$C$11,IF(F4="Refinary",Parameter!$C$13,Parameter!$C$16)))</f>
        <v>1.518</v>
      </c>
      <c r="AG4">
        <f t="shared" ref="AG4:AG41" si="0">IF(AD4="","", AD4*AE4/1000)</f>
        <v>518.5856</v>
      </c>
      <c r="AH4">
        <f t="shared" ref="AH4:AH41" si="1">IF((AD4=""),"", AD4*AF4/1000)</f>
        <v>63.148800000000001</v>
      </c>
      <c r="AM4" t="s">
        <v>234</v>
      </c>
      <c r="AN4" t="s">
        <v>234</v>
      </c>
      <c r="AO4" s="2">
        <v>10000</v>
      </c>
      <c r="AP4" t="s">
        <v>236</v>
      </c>
    </row>
    <row r="5" spans="1:44" x14ac:dyDescent="0.35">
      <c r="A5">
        <v>2205</v>
      </c>
      <c r="B5" t="s">
        <v>54</v>
      </c>
      <c r="C5" t="s">
        <v>55</v>
      </c>
      <c r="D5" t="s">
        <v>27</v>
      </c>
      <c r="E5" t="s">
        <v>56</v>
      </c>
      <c r="F5" t="s">
        <v>268</v>
      </c>
      <c r="H5" t="s">
        <v>33</v>
      </c>
      <c r="I5" t="s">
        <v>34</v>
      </c>
      <c r="J5" t="s">
        <v>38</v>
      </c>
      <c r="K5" t="s">
        <v>36</v>
      </c>
      <c r="L5" t="s">
        <v>36</v>
      </c>
      <c r="M5">
        <v>2017</v>
      </c>
      <c r="N5" t="s">
        <v>37</v>
      </c>
      <c r="O5" t="s">
        <v>41</v>
      </c>
      <c r="P5" t="s">
        <v>42</v>
      </c>
      <c r="R5" t="s">
        <v>43</v>
      </c>
      <c r="S5">
        <v>-12.649976000000001</v>
      </c>
      <c r="T5">
        <v>28.041173000000001</v>
      </c>
      <c r="U5" t="s">
        <v>61</v>
      </c>
      <c r="V5" t="s">
        <v>62</v>
      </c>
      <c r="W5" t="s">
        <v>46</v>
      </c>
      <c r="X5" t="s">
        <v>63</v>
      </c>
      <c r="Y5" t="s">
        <v>64</v>
      </c>
      <c r="Z5" t="s">
        <v>65</v>
      </c>
      <c r="AA5" t="s">
        <v>53</v>
      </c>
      <c r="AB5" s="2">
        <v>8000</v>
      </c>
      <c r="AC5" t="s">
        <v>232</v>
      </c>
      <c r="AD5">
        <f>IF(ISBLANK(AB5), "", AB5*Parameter!$H$3)</f>
        <v>6400</v>
      </c>
      <c r="AE5">
        <f>IF(J5="Ore and concentrate",IF(G5="Underground", Parameter!$C$21,Parameter!$C$19), IF(F5="Smelter",Parameter!$C$10,IF(F5="Refinary",Parameter!$C$12,Parameter!$C$15)))</f>
        <v>12.466000000000001</v>
      </c>
      <c r="AF5">
        <f>IF(J5="Ore and concentrate",IF(G5="Underground",Parameter!$C$22,Parameter!$C$20),IF(F5="Smelter",Parameter!$C$11,IF(F5="Refinary",Parameter!$C$13,Parameter!$C$16)))</f>
        <v>1.518</v>
      </c>
      <c r="AG5">
        <f t="shared" si="0"/>
        <v>79.78240000000001</v>
      </c>
      <c r="AH5">
        <f t="shared" si="1"/>
        <v>9.7152000000000012</v>
      </c>
      <c r="AK5" t="s">
        <v>103</v>
      </c>
      <c r="AL5" t="s">
        <v>103</v>
      </c>
      <c r="AM5" s="1">
        <v>66005</v>
      </c>
      <c r="AN5" s="1">
        <v>40163</v>
      </c>
    </row>
    <row r="6" spans="1:44" s="3" customFormat="1" x14ac:dyDescent="0.35">
      <c r="A6" s="3">
        <v>2206</v>
      </c>
      <c r="B6" s="3" t="s">
        <v>54</v>
      </c>
      <c r="C6" s="3" t="s">
        <v>43</v>
      </c>
      <c r="D6" s="3" t="s">
        <v>27</v>
      </c>
      <c r="E6" s="3" t="s">
        <v>57</v>
      </c>
      <c r="F6" t="s">
        <v>268</v>
      </c>
      <c r="G6"/>
      <c r="H6" s="3" t="s">
        <v>33</v>
      </c>
      <c r="I6" s="3" t="s">
        <v>34</v>
      </c>
      <c r="J6" s="3" t="s">
        <v>38</v>
      </c>
      <c r="K6" s="3" t="s">
        <v>36</v>
      </c>
      <c r="L6" s="3" t="s">
        <v>36</v>
      </c>
      <c r="M6" s="3">
        <v>2017</v>
      </c>
      <c r="N6" s="3" t="s">
        <v>37</v>
      </c>
      <c r="O6" s="3" t="s">
        <v>41</v>
      </c>
      <c r="P6" s="3" t="s">
        <v>59</v>
      </c>
      <c r="R6" s="3" t="s">
        <v>66</v>
      </c>
      <c r="S6" s="3">
        <v>-12.649976000000001</v>
      </c>
      <c r="T6" s="3">
        <v>28.041173000000001</v>
      </c>
      <c r="U6" s="3" t="s">
        <v>61</v>
      </c>
      <c r="V6" s="3" t="s">
        <v>50</v>
      </c>
      <c r="W6" s="3" t="s">
        <v>46</v>
      </c>
      <c r="X6" s="3" t="s">
        <v>67</v>
      </c>
      <c r="Y6" s="3" t="s">
        <v>68</v>
      </c>
      <c r="Z6" s="3" t="s">
        <v>69</v>
      </c>
      <c r="AA6" s="3" t="s">
        <v>53</v>
      </c>
      <c r="AB6" s="4">
        <v>27000</v>
      </c>
      <c r="AC6" s="3" t="s">
        <v>232</v>
      </c>
      <c r="AD6">
        <f>IF(ISBLANK(AB6), "", AB6*Parameter!$H$3)</f>
        <v>21600</v>
      </c>
      <c r="AE6">
        <f>IF(J6="Ore and concentrate",IF(G6="Underground", Parameter!$C$21,Parameter!$C$19), IF(F6="Smelter",Parameter!$C$10,IF(F6="Refinary",Parameter!$C$12,Parameter!$C$15)))</f>
        <v>12.466000000000001</v>
      </c>
      <c r="AF6">
        <f>IF(J6="Ore and concentrate",IF(G6="Underground",Parameter!$C$22,Parameter!$C$20),IF(F6="Smelter",Parameter!$C$11,IF(F6="Refinary",Parameter!$C$13,Parameter!$C$16)))</f>
        <v>1.518</v>
      </c>
      <c r="AG6">
        <f t="shared" si="0"/>
        <v>269.26560000000006</v>
      </c>
      <c r="AH6">
        <f t="shared" si="1"/>
        <v>32.788800000000002</v>
      </c>
      <c r="AI6" s="2"/>
    </row>
    <row r="7" spans="1:44" x14ac:dyDescent="0.35">
      <c r="A7">
        <v>2207</v>
      </c>
      <c r="B7" t="s">
        <v>54</v>
      </c>
      <c r="C7" t="s">
        <v>43</v>
      </c>
      <c r="D7" t="s">
        <v>27</v>
      </c>
      <c r="E7" t="s">
        <v>58</v>
      </c>
      <c r="F7" t="s">
        <v>257</v>
      </c>
      <c r="H7" t="s">
        <v>33</v>
      </c>
      <c r="I7" t="s">
        <v>34</v>
      </c>
      <c r="J7" t="s">
        <v>38</v>
      </c>
      <c r="K7" t="s">
        <v>36</v>
      </c>
      <c r="L7" t="s">
        <v>36</v>
      </c>
      <c r="M7">
        <v>2017</v>
      </c>
      <c r="N7" t="s">
        <v>37</v>
      </c>
      <c r="O7" t="s">
        <v>41</v>
      </c>
      <c r="P7" t="s">
        <v>60</v>
      </c>
      <c r="R7" t="s">
        <v>43</v>
      </c>
      <c r="S7">
        <v>-12.649976000000001</v>
      </c>
      <c r="T7">
        <v>28.041173000000001</v>
      </c>
      <c r="U7" t="s">
        <v>61</v>
      </c>
      <c r="V7" t="s">
        <v>50</v>
      </c>
      <c r="W7" t="s">
        <v>46</v>
      </c>
      <c r="X7" t="s">
        <v>70</v>
      </c>
      <c r="Y7" t="s">
        <v>71</v>
      </c>
      <c r="Z7" t="s">
        <v>72</v>
      </c>
      <c r="AA7" t="s">
        <v>53</v>
      </c>
      <c r="AB7" s="2">
        <v>250000</v>
      </c>
      <c r="AC7" t="s">
        <v>232</v>
      </c>
      <c r="AD7">
        <f>IF(ISBLANK(AB7), "", AB7*Parameter!$H$3)</f>
        <v>200000</v>
      </c>
      <c r="AE7">
        <f>IF(J7="Ore and concentrate",IF(G7="Underground", Parameter!$C$21,Parameter!$C$19), IF(F7="Smelter",Parameter!$C$10,IF(F7="Refinary",Parameter!$C$12,Parameter!$C$15)))</f>
        <v>9.266</v>
      </c>
      <c r="AF7">
        <f>IF(J7="Ore and concentrate",IF(G7="Underground",Parameter!$C$22,Parameter!$C$20),IF(F7="Smelter",Parameter!$C$11,IF(F7="Refinary",Parameter!$C$13,Parameter!$C$16)))</f>
        <v>1.518</v>
      </c>
      <c r="AG7">
        <f t="shared" si="0"/>
        <v>1853.2</v>
      </c>
      <c r="AH7">
        <f t="shared" si="1"/>
        <v>303.60000000000002</v>
      </c>
      <c r="AM7" s="5" t="s">
        <v>103</v>
      </c>
      <c r="AN7" s="5" t="s">
        <v>103</v>
      </c>
    </row>
    <row r="8" spans="1:44" hidden="1" x14ac:dyDescent="0.35">
      <c r="A8">
        <v>2209</v>
      </c>
      <c r="B8" t="s">
        <v>73</v>
      </c>
      <c r="C8" t="s">
        <v>74</v>
      </c>
      <c r="D8" t="s">
        <v>27</v>
      </c>
      <c r="E8" t="s">
        <v>75</v>
      </c>
      <c r="H8" t="s">
        <v>29</v>
      </c>
      <c r="I8" t="s">
        <v>34</v>
      </c>
      <c r="J8" t="s">
        <v>82</v>
      </c>
      <c r="K8" t="s">
        <v>36</v>
      </c>
      <c r="L8" t="s">
        <v>36</v>
      </c>
      <c r="M8">
        <v>2017</v>
      </c>
      <c r="N8" t="s">
        <v>37</v>
      </c>
      <c r="O8" t="s">
        <v>41</v>
      </c>
      <c r="P8" s="12" t="s">
        <v>83</v>
      </c>
      <c r="Q8" s="2">
        <f>Parameter!$H$1/Parameter!$H$2*Calib6!AD8</f>
        <v>35464</v>
      </c>
      <c r="R8" t="s">
        <v>85</v>
      </c>
      <c r="S8">
        <v>-12.658916</v>
      </c>
      <c r="T8">
        <v>28.047927000000001</v>
      </c>
      <c r="U8" t="s">
        <v>61</v>
      </c>
      <c r="V8" t="s">
        <v>45</v>
      </c>
      <c r="W8" t="s">
        <v>46</v>
      </c>
      <c r="X8" t="s">
        <v>86</v>
      </c>
      <c r="Y8" t="s">
        <v>87</v>
      </c>
      <c r="Z8" t="s">
        <v>88</v>
      </c>
      <c r="AA8" t="s">
        <v>53</v>
      </c>
      <c r="AB8" s="2">
        <v>2145000</v>
      </c>
      <c r="AC8" t="s">
        <v>232</v>
      </c>
      <c r="AD8">
        <f>IF(ISBLANK(AB8), "", AB8*Parameter!$H$3)</f>
        <v>1716000</v>
      </c>
      <c r="AE8">
        <f>IF(J8="Ore and concentrate",IF(G8="Underground", Parameter!$C$21,Parameter!$C$19), IF(F8="Smelter",Parameter!$C$10,IF(F8="Refinary",Parameter!$C$12,Parameter!$C$15)))</f>
        <v>5.9520000000000003E-2</v>
      </c>
      <c r="AF8">
        <f>IF(J8="Ore and concentrate",IF(G8="Underground",Parameter!$C$22,Parameter!$C$20),IF(F8="Smelter",Parameter!$C$11,IF(F8="Refinary",Parameter!$C$13,Parameter!$C$16)))</f>
        <v>6.3239999999999991E-2</v>
      </c>
      <c r="AG8">
        <f t="shared" si="0"/>
        <v>102.13632000000001</v>
      </c>
      <c r="AH8">
        <f t="shared" si="1"/>
        <v>108.51983999999999</v>
      </c>
      <c r="AI8" s="2">
        <f>AD8*Parameter!$H$1</f>
        <v>10639.199999999999</v>
      </c>
      <c r="AJ8" s="2">
        <v>14187</v>
      </c>
      <c r="AM8" t="s">
        <v>234</v>
      </c>
      <c r="AN8" t="s">
        <v>234</v>
      </c>
    </row>
    <row r="9" spans="1:44" hidden="1" x14ac:dyDescent="0.35">
      <c r="A9">
        <v>2210</v>
      </c>
      <c r="B9" t="s">
        <v>76</v>
      </c>
      <c r="C9" t="s">
        <v>77</v>
      </c>
      <c r="D9" t="s">
        <v>27</v>
      </c>
      <c r="E9" t="s">
        <v>78</v>
      </c>
      <c r="H9" t="s">
        <v>29</v>
      </c>
      <c r="I9" t="s">
        <v>34</v>
      </c>
      <c r="J9" t="s">
        <v>82</v>
      </c>
      <c r="K9" t="s">
        <v>36</v>
      </c>
      <c r="L9" t="s">
        <v>36</v>
      </c>
      <c r="M9">
        <v>2017</v>
      </c>
      <c r="N9" t="s">
        <v>37</v>
      </c>
      <c r="O9" t="s">
        <v>41</v>
      </c>
      <c r="P9" t="s">
        <v>43</v>
      </c>
      <c r="R9" t="s">
        <v>89</v>
      </c>
      <c r="S9">
        <v>-12.657999999999999</v>
      </c>
      <c r="T9">
        <v>28.103000000000002</v>
      </c>
      <c r="U9" t="s">
        <v>44</v>
      </c>
      <c r="V9" t="s">
        <v>45</v>
      </c>
      <c r="W9" t="s">
        <v>46</v>
      </c>
      <c r="X9" t="s">
        <v>86</v>
      </c>
      <c r="Y9" t="s">
        <v>87</v>
      </c>
      <c r="Z9" t="s">
        <v>88</v>
      </c>
      <c r="AA9" t="s">
        <v>53</v>
      </c>
      <c r="AB9" s="2">
        <v>990000</v>
      </c>
      <c r="AC9" t="s">
        <v>232</v>
      </c>
      <c r="AD9">
        <f>IF(ISBLANK(AB9), "", AB9*Parameter!$H$3)</f>
        <v>792000</v>
      </c>
      <c r="AE9">
        <f>IF(J9="Ore and concentrate",IF(G9="Underground", Parameter!$C$21,Parameter!$C$19), IF(F9="Smelter",Parameter!$C$10,IF(F9="Refinary",Parameter!$C$12,Parameter!$C$15)))</f>
        <v>5.9520000000000003E-2</v>
      </c>
      <c r="AF9">
        <f>IF(J9="Ore and concentrate",IF(G9="Underground",Parameter!$C$22,Parameter!$C$20),IF(F9="Smelter",Parameter!$C$11,IF(F9="Refinary",Parameter!$C$13,Parameter!$C$16)))</f>
        <v>6.3239999999999991E-2</v>
      </c>
      <c r="AG9">
        <f t="shared" si="0"/>
        <v>47.139840000000007</v>
      </c>
      <c r="AH9">
        <f t="shared" si="1"/>
        <v>50.086079999999995</v>
      </c>
      <c r="AI9" s="2">
        <f>AD9*Parameter!$H$1</f>
        <v>4910.3999999999996</v>
      </c>
      <c r="AJ9" s="2">
        <v>1294</v>
      </c>
      <c r="AM9" s="5" t="s">
        <v>103</v>
      </c>
      <c r="AN9" s="5" t="s">
        <v>103</v>
      </c>
      <c r="AO9" s="2">
        <v>450000</v>
      </c>
      <c r="AP9" t="s">
        <v>236</v>
      </c>
      <c r="AQ9" s="2">
        <v>8400</v>
      </c>
      <c r="AR9" t="s">
        <v>236</v>
      </c>
    </row>
    <row r="10" spans="1:44" hidden="1" x14ac:dyDescent="0.35">
      <c r="A10">
        <v>2211</v>
      </c>
      <c r="B10" t="s">
        <v>79</v>
      </c>
      <c r="C10" t="s">
        <v>80</v>
      </c>
      <c r="D10" t="s">
        <v>27</v>
      </c>
      <c r="E10" t="s">
        <v>81</v>
      </c>
      <c r="H10" t="s">
        <v>29</v>
      </c>
      <c r="I10" t="s">
        <v>34</v>
      </c>
      <c r="J10" t="s">
        <v>82</v>
      </c>
      <c r="K10" t="s">
        <v>36</v>
      </c>
      <c r="L10" t="s">
        <v>36</v>
      </c>
      <c r="M10">
        <v>2017</v>
      </c>
      <c r="N10" t="s">
        <v>37</v>
      </c>
      <c r="O10" t="s">
        <v>41</v>
      </c>
      <c r="P10" t="s">
        <v>84</v>
      </c>
      <c r="R10" t="s">
        <v>90</v>
      </c>
      <c r="S10">
        <v>-12.913955</v>
      </c>
      <c r="T10">
        <v>28.079191000000002</v>
      </c>
      <c r="U10" t="s">
        <v>44</v>
      </c>
      <c r="V10" t="s">
        <v>45</v>
      </c>
      <c r="W10" t="s">
        <v>46</v>
      </c>
      <c r="X10" t="s">
        <v>67</v>
      </c>
      <c r="Y10" t="s">
        <v>91</v>
      </c>
      <c r="Z10" t="s">
        <v>88</v>
      </c>
      <c r="AA10" t="s">
        <v>53</v>
      </c>
      <c r="AB10" s="2">
        <v>600000</v>
      </c>
      <c r="AC10" t="s">
        <v>232</v>
      </c>
      <c r="AD10">
        <f>IF(ISBLANK(AB10), "", AB10*Parameter!$H$3)</f>
        <v>480000</v>
      </c>
      <c r="AE10">
        <f>IF(J10="Ore and concentrate",IF(G10="Underground", Parameter!$C$21,Parameter!$C$19), IF(F10="Smelter",Parameter!$C$10,IF(F10="Refinary",Parameter!$C$12,Parameter!$C$15)))</f>
        <v>5.9520000000000003E-2</v>
      </c>
      <c r="AF10">
        <f>IF(J10="Ore and concentrate",IF(G10="Underground",Parameter!$C$22,Parameter!$C$20),IF(F10="Smelter",Parameter!$C$11,IF(F10="Refinary",Parameter!$C$13,Parameter!$C$16)))</f>
        <v>6.3239999999999991E-2</v>
      </c>
      <c r="AG10">
        <f t="shared" si="0"/>
        <v>28.569600000000001</v>
      </c>
      <c r="AH10">
        <f t="shared" si="1"/>
        <v>30.355199999999996</v>
      </c>
      <c r="AI10" s="2">
        <f>AD10*Parameter!$H$1</f>
        <v>2976</v>
      </c>
      <c r="AJ10" s="2">
        <v>8174</v>
      </c>
      <c r="AK10" s="2">
        <v>188916</v>
      </c>
      <c r="AL10" t="s">
        <v>103</v>
      </c>
      <c r="AM10" s="1">
        <v>3051</v>
      </c>
      <c r="AN10" s="1">
        <v>8023</v>
      </c>
      <c r="AQ10" s="2">
        <v>16500</v>
      </c>
      <c r="AR10" t="s">
        <v>236</v>
      </c>
    </row>
    <row r="11" spans="1:44" hidden="1" x14ac:dyDescent="0.35">
      <c r="A11">
        <v>2214</v>
      </c>
      <c r="B11" t="s">
        <v>92</v>
      </c>
      <c r="C11" t="s">
        <v>93</v>
      </c>
      <c r="D11" t="s">
        <v>27</v>
      </c>
      <c r="E11" t="s">
        <v>94</v>
      </c>
      <c r="G11" t="s">
        <v>284</v>
      </c>
      <c r="H11" t="s">
        <v>29</v>
      </c>
      <c r="I11" t="s">
        <v>34</v>
      </c>
      <c r="J11" t="s">
        <v>82</v>
      </c>
      <c r="K11" t="s">
        <v>36</v>
      </c>
      <c r="L11" t="s">
        <v>36</v>
      </c>
      <c r="M11">
        <v>2017</v>
      </c>
      <c r="N11" t="s">
        <v>37</v>
      </c>
      <c r="O11" t="s">
        <v>41</v>
      </c>
      <c r="P11" s="13" t="s">
        <v>95</v>
      </c>
      <c r="R11" t="s">
        <v>96</v>
      </c>
      <c r="S11">
        <v>-12.509245</v>
      </c>
      <c r="T11">
        <v>27.909251999999999</v>
      </c>
      <c r="U11" t="s">
        <v>44</v>
      </c>
      <c r="V11" t="s">
        <v>45</v>
      </c>
      <c r="W11" t="s">
        <v>46</v>
      </c>
      <c r="X11" t="s">
        <v>97</v>
      </c>
      <c r="Y11" t="s">
        <v>98</v>
      </c>
      <c r="Z11" t="s">
        <v>99</v>
      </c>
      <c r="AA11" t="s">
        <v>53</v>
      </c>
      <c r="AB11" s="2">
        <v>4500000</v>
      </c>
      <c r="AC11" t="s">
        <v>232</v>
      </c>
      <c r="AD11">
        <f>IF(ISBLANK(AB11), "", AB11*Parameter!$H$3)/2</f>
        <v>1800000</v>
      </c>
      <c r="AE11">
        <f>IF(J11="Ore and concentrate",IF(G11="Underground", Parameter!$C$21,Parameter!$C$19), IF(F11="Smelter",Parameter!$C$10,IF(F11="Refinary",Parameter!$C$12,Parameter!$C$15)))</f>
        <v>5.9520000000000003E-2</v>
      </c>
      <c r="AF11">
        <f>IF(J11="Ore and concentrate",IF(G11="Underground",Parameter!$C$22,Parameter!$C$20),IF(F11="Smelter",Parameter!$C$11,IF(F11="Refinary",Parameter!$C$13,Parameter!$C$16)))</f>
        <v>6.3239999999999991E-2</v>
      </c>
      <c r="AG11">
        <f t="shared" si="0"/>
        <v>107.136</v>
      </c>
      <c r="AH11">
        <f t="shared" si="1"/>
        <v>113.83199999999998</v>
      </c>
      <c r="AI11" s="23">
        <f>AD11*Parameter!$H$1</f>
        <v>11160</v>
      </c>
      <c r="AJ11" s="24"/>
    </row>
    <row r="12" spans="1:44" hidden="1" x14ac:dyDescent="0.35">
      <c r="A12">
        <v>2223</v>
      </c>
      <c r="B12" t="s">
        <v>100</v>
      </c>
      <c r="C12" t="s">
        <v>101</v>
      </c>
      <c r="D12" t="s">
        <v>27</v>
      </c>
      <c r="E12" t="s">
        <v>102</v>
      </c>
      <c r="G12" t="s">
        <v>284</v>
      </c>
      <c r="H12" t="s">
        <v>29</v>
      </c>
      <c r="I12" t="s">
        <v>34</v>
      </c>
      <c r="J12" t="s">
        <v>82</v>
      </c>
      <c r="K12" t="s">
        <v>36</v>
      </c>
      <c r="L12" t="s">
        <v>36</v>
      </c>
      <c r="M12">
        <v>2017</v>
      </c>
      <c r="N12" t="s">
        <v>103</v>
      </c>
      <c r="O12" t="s">
        <v>41</v>
      </c>
      <c r="P12" t="s">
        <v>43</v>
      </c>
      <c r="R12" t="s">
        <v>96</v>
      </c>
      <c r="S12">
        <v>-12.407088999999999</v>
      </c>
      <c r="T12">
        <v>27.880268999999998</v>
      </c>
      <c r="U12" t="s">
        <v>61</v>
      </c>
      <c r="V12" t="s">
        <v>50</v>
      </c>
      <c r="W12" t="s">
        <v>46</v>
      </c>
      <c r="X12" t="s">
        <v>97</v>
      </c>
      <c r="Y12" t="s">
        <v>98</v>
      </c>
      <c r="Z12" t="s">
        <v>99</v>
      </c>
      <c r="AA12" t="s">
        <v>53</v>
      </c>
      <c r="AB12" s="2"/>
      <c r="AC12" t="s">
        <v>232</v>
      </c>
      <c r="AD12" t="str">
        <f>IF(ISBLANK(AB12), "", AB12*Parameter!$H$3)</f>
        <v/>
      </c>
      <c r="AE12">
        <f>IF(J12="Ore and concentrate",IF(G12="Underground", Parameter!$C$21,Parameter!$C$19), IF(F12="Smelter",Parameter!$C$10,IF(F12="Refinary",Parameter!$C$12,Parameter!$C$15)))</f>
        <v>5.9520000000000003E-2</v>
      </c>
      <c r="AF12">
        <f>IF(J12="Ore and concentrate",IF(G12="Underground",Parameter!$C$22,Parameter!$C$20),IF(F12="Smelter",Parameter!$C$11,IF(F12="Refinary",Parameter!$C$13,Parameter!$C$16)))</f>
        <v>6.3239999999999991E-2</v>
      </c>
      <c r="AG12" t="str">
        <f t="shared" si="0"/>
        <v/>
      </c>
      <c r="AH12" t="str">
        <f t="shared" si="1"/>
        <v/>
      </c>
      <c r="AJ12" s="18"/>
    </row>
    <row r="13" spans="1:44" hidden="1" x14ac:dyDescent="0.35">
      <c r="A13">
        <v>2228</v>
      </c>
      <c r="B13" t="s">
        <v>104</v>
      </c>
      <c r="C13" t="s">
        <v>105</v>
      </c>
      <c r="D13" t="s">
        <v>27</v>
      </c>
      <c r="E13" t="s">
        <v>106</v>
      </c>
      <c r="H13" t="s">
        <v>29</v>
      </c>
      <c r="I13" t="s">
        <v>34</v>
      </c>
      <c r="J13" t="s">
        <v>82</v>
      </c>
      <c r="K13" t="s">
        <v>36</v>
      </c>
      <c r="L13" t="s">
        <v>36</v>
      </c>
      <c r="M13">
        <v>2017</v>
      </c>
      <c r="N13" t="s">
        <v>37</v>
      </c>
      <c r="O13" t="s">
        <v>41</v>
      </c>
      <c r="P13" s="12" t="s">
        <v>107</v>
      </c>
      <c r="Q13" s="2">
        <f>Calib6!AD13</f>
        <v>23593870.967741936</v>
      </c>
      <c r="R13" t="s">
        <v>108</v>
      </c>
      <c r="S13">
        <v>-12.093786</v>
      </c>
      <c r="T13">
        <v>26.429832999999999</v>
      </c>
      <c r="U13" t="s">
        <v>61</v>
      </c>
      <c r="V13" t="s">
        <v>50</v>
      </c>
      <c r="W13" t="s">
        <v>46</v>
      </c>
      <c r="X13" t="s">
        <v>109</v>
      </c>
      <c r="Y13" t="s">
        <v>110</v>
      </c>
      <c r="Z13" t="s">
        <v>49</v>
      </c>
      <c r="AA13" t="s">
        <v>111</v>
      </c>
      <c r="AB13" s="2">
        <v>12000000</v>
      </c>
      <c r="AC13" t="s">
        <v>232</v>
      </c>
      <c r="AD13" s="27">
        <f>146282/Parameter!$H$1</f>
        <v>23593870.967741936</v>
      </c>
      <c r="AE13">
        <f>IF(J13="Ore and concentrate",IF(G13="Underground", Parameter!$C$21,Parameter!$C$19), IF(F13="Smelter",Parameter!$C$10,IF(F13="Refinary",Parameter!$C$12,Parameter!$C$15)))</f>
        <v>5.9520000000000003E-2</v>
      </c>
      <c r="AF13">
        <f>IF(J13="Ore and concentrate",IF(G13="Underground",Parameter!$C$22,Parameter!$C$20),IF(F13="Smelter",Parameter!$C$11,IF(F13="Refinary",Parameter!$C$13,Parameter!$C$16)))</f>
        <v>6.3239999999999991E-2</v>
      </c>
      <c r="AG13">
        <f t="shared" si="0"/>
        <v>1404.3072000000002</v>
      </c>
      <c r="AH13">
        <f t="shared" si="1"/>
        <v>1492.0763999999999</v>
      </c>
      <c r="AI13" s="26">
        <f>AD13*Parameter!$H$1</f>
        <v>146282</v>
      </c>
      <c r="AJ13" s="25">
        <v>232243</v>
      </c>
      <c r="AK13" s="2">
        <v>28151000</v>
      </c>
      <c r="AL13" s="2">
        <v>29134000</v>
      </c>
      <c r="AM13" s="1">
        <v>202159</v>
      </c>
      <c r="AN13" s="1">
        <v>221487</v>
      </c>
    </row>
    <row r="14" spans="1:44" x14ac:dyDescent="0.35">
      <c r="A14">
        <v>2230</v>
      </c>
      <c r="B14" t="s">
        <v>112</v>
      </c>
      <c r="C14" t="s">
        <v>113</v>
      </c>
      <c r="D14" t="s">
        <v>27</v>
      </c>
      <c r="E14" t="s">
        <v>114</v>
      </c>
      <c r="F14" t="s">
        <v>257</v>
      </c>
      <c r="H14" t="s">
        <v>33</v>
      </c>
      <c r="I14" t="s">
        <v>34</v>
      </c>
      <c r="J14" t="s">
        <v>38</v>
      </c>
      <c r="K14" t="s">
        <v>36</v>
      </c>
      <c r="L14" t="s">
        <v>36</v>
      </c>
      <c r="M14">
        <v>2017</v>
      </c>
      <c r="N14" t="s">
        <v>37</v>
      </c>
      <c r="O14" t="s">
        <v>41</v>
      </c>
      <c r="P14" t="s">
        <v>42</v>
      </c>
      <c r="R14" t="s">
        <v>115</v>
      </c>
      <c r="S14">
        <v>-12.088361000000001</v>
      </c>
      <c r="T14">
        <v>26.408977</v>
      </c>
      <c r="U14" t="s">
        <v>61</v>
      </c>
      <c r="V14" t="s">
        <v>50</v>
      </c>
      <c r="W14" t="s">
        <v>46</v>
      </c>
      <c r="X14" t="s">
        <v>109</v>
      </c>
      <c r="Y14" t="s">
        <v>110</v>
      </c>
      <c r="Z14" t="s">
        <v>49</v>
      </c>
      <c r="AA14" t="s">
        <v>111</v>
      </c>
      <c r="AB14" s="2">
        <v>340000</v>
      </c>
      <c r="AC14" t="s">
        <v>232</v>
      </c>
      <c r="AD14">
        <f>IF(ISBLANK(AB14), "", AB14*Parameter!$H$3)</f>
        <v>272000</v>
      </c>
      <c r="AE14">
        <f>IF(J14="Ore and concentrate",IF(G14="Underground", Parameter!$C$21,Parameter!$C$19), IF(F14="Smelter",Parameter!$C$10,IF(F14="Refinary",Parameter!$C$12,Parameter!$C$15)))</f>
        <v>9.266</v>
      </c>
      <c r="AF14">
        <f>IF(J14="Ore and concentrate",IF(G14="Underground",Parameter!$C$22,Parameter!$C$20),IF(F14="Smelter",Parameter!$C$11,IF(F14="Refinary",Parameter!$C$13,Parameter!$C$16)))</f>
        <v>1.518</v>
      </c>
      <c r="AG14">
        <f t="shared" si="0"/>
        <v>2520.3519999999999</v>
      </c>
      <c r="AH14">
        <f t="shared" si="1"/>
        <v>412.89600000000002</v>
      </c>
    </row>
    <row r="15" spans="1:44" hidden="1" x14ac:dyDescent="0.35">
      <c r="A15">
        <v>2234</v>
      </c>
      <c r="B15" t="s">
        <v>116</v>
      </c>
      <c r="C15" t="s">
        <v>117</v>
      </c>
      <c r="D15" t="s">
        <v>27</v>
      </c>
      <c r="E15" t="s">
        <v>118</v>
      </c>
      <c r="H15" t="s">
        <v>29</v>
      </c>
      <c r="I15" t="s">
        <v>34</v>
      </c>
      <c r="J15" t="s">
        <v>82</v>
      </c>
      <c r="K15" t="s">
        <v>36</v>
      </c>
      <c r="L15" t="s">
        <v>36</v>
      </c>
      <c r="M15">
        <v>2017</v>
      </c>
      <c r="N15" t="s">
        <v>37</v>
      </c>
      <c r="O15" t="s">
        <v>41</v>
      </c>
      <c r="P15" t="s">
        <v>43</v>
      </c>
      <c r="R15" t="s">
        <v>132</v>
      </c>
      <c r="S15">
        <v>-12.378788999999999</v>
      </c>
      <c r="T15">
        <v>27.826968000000001</v>
      </c>
      <c r="U15" t="s">
        <v>61</v>
      </c>
      <c r="V15" t="s">
        <v>133</v>
      </c>
      <c r="W15" t="s">
        <v>46</v>
      </c>
      <c r="X15" t="s">
        <v>97</v>
      </c>
      <c r="Y15" t="s">
        <v>98</v>
      </c>
      <c r="Z15" t="s">
        <v>99</v>
      </c>
      <c r="AA15" t="s">
        <v>53</v>
      </c>
      <c r="AB15" s="2">
        <v>2400000</v>
      </c>
      <c r="AC15" t="s">
        <v>232</v>
      </c>
      <c r="AD15">
        <f>IF(ISBLANK(AB15), "", AB15*Parameter!$H$3)</f>
        <v>1920000</v>
      </c>
      <c r="AE15">
        <f>IF(J15="Ore and concentrate",IF(G15="Underground", Parameter!$C$21,Parameter!$C$19), IF(F15="Smelter",Parameter!$C$10,IF(F15="Refinary",Parameter!$C$12,Parameter!$C$15)))</f>
        <v>5.9520000000000003E-2</v>
      </c>
      <c r="AF15">
        <f>IF(J15="Ore and concentrate",IF(G15="Underground",Parameter!$C$22,Parameter!$C$20),IF(F15="Smelter",Parameter!$C$11,IF(F15="Refinary",Parameter!$C$13,Parameter!$C$16)))</f>
        <v>6.3239999999999991E-2</v>
      </c>
      <c r="AG15">
        <f t="shared" si="0"/>
        <v>114.2784</v>
      </c>
      <c r="AH15">
        <f t="shared" si="1"/>
        <v>121.42079999999999</v>
      </c>
      <c r="AI15" s="23">
        <f>AD15*Parameter!$H$1</f>
        <v>11904</v>
      </c>
      <c r="AJ15" s="23">
        <v>1294</v>
      </c>
      <c r="AO15" s="2">
        <v>50000</v>
      </c>
      <c r="AP15" s="2"/>
      <c r="AQ15" s="2">
        <v>220000</v>
      </c>
    </row>
    <row r="16" spans="1:44" hidden="1" x14ac:dyDescent="0.35">
      <c r="A16">
        <v>2235</v>
      </c>
      <c r="B16" t="s">
        <v>119</v>
      </c>
      <c r="C16" t="s">
        <v>43</v>
      </c>
      <c r="D16" t="s">
        <v>27</v>
      </c>
      <c r="E16" t="s">
        <v>120</v>
      </c>
      <c r="G16" t="s">
        <v>281</v>
      </c>
      <c r="H16" t="s">
        <v>29</v>
      </c>
      <c r="I16" t="s">
        <v>34</v>
      </c>
      <c r="J16" t="s">
        <v>82</v>
      </c>
      <c r="K16" t="s">
        <v>129</v>
      </c>
      <c r="L16" t="s">
        <v>129</v>
      </c>
      <c r="M16">
        <v>2017</v>
      </c>
      <c r="N16" t="s">
        <v>37</v>
      </c>
      <c r="O16" t="s">
        <v>41</v>
      </c>
      <c r="P16" s="12" t="s">
        <v>130</v>
      </c>
      <c r="Q16" s="2">
        <f>Parameter!$H$1/Parameter!$H$2*Calib6!AD16</f>
        <v>8266.6666666666661</v>
      </c>
      <c r="R16" t="s">
        <v>134</v>
      </c>
      <c r="S16">
        <v>-13.068863</v>
      </c>
      <c r="T16">
        <v>28.322908999999999</v>
      </c>
      <c r="U16" t="s">
        <v>61</v>
      </c>
      <c r="V16" t="s">
        <v>133</v>
      </c>
      <c r="W16" t="s">
        <v>46</v>
      </c>
      <c r="X16" t="s">
        <v>47</v>
      </c>
      <c r="Y16" t="s">
        <v>48</v>
      </c>
      <c r="Z16" t="s">
        <v>49</v>
      </c>
      <c r="AA16" t="s">
        <v>53</v>
      </c>
      <c r="AB16" s="2">
        <v>500000</v>
      </c>
      <c r="AC16" t="s">
        <v>232</v>
      </c>
      <c r="AD16">
        <f>IF(ISBLANK(AB16), "", AB16*Parameter!$H$3)</f>
        <v>400000</v>
      </c>
      <c r="AE16">
        <f>IF(J16="Ore and concentrate",IF(G16="Underground", Parameter!$C$21,Parameter!$C$19), IF(F16="Smelter",Parameter!$C$10,IF(F16="Refinary",Parameter!$C$12,Parameter!$C$15)))</f>
        <v>5.9520000000000003E-2</v>
      </c>
      <c r="AF16">
        <f>IF(J16="Ore and concentrate",IF(G16="Underground",Parameter!$C$22,Parameter!$C$20),IF(F16="Smelter",Parameter!$C$11,IF(F16="Refinary",Parameter!$C$13,Parameter!$C$16)))</f>
        <v>6.3239999999999991E-2</v>
      </c>
      <c r="AG16">
        <f t="shared" si="0"/>
        <v>23.808</v>
      </c>
      <c r="AH16">
        <f t="shared" si="1"/>
        <v>25.295999999999996</v>
      </c>
      <c r="AI16" s="1">
        <f>AD16*Parameter!$H$1</f>
        <v>2480</v>
      </c>
      <c r="AJ16" s="18"/>
    </row>
    <row r="17" spans="1:44" hidden="1" x14ac:dyDescent="0.35">
      <c r="A17">
        <v>2236</v>
      </c>
      <c r="B17" t="s">
        <v>119</v>
      </c>
      <c r="C17" t="s">
        <v>121</v>
      </c>
      <c r="D17" t="s">
        <v>27</v>
      </c>
      <c r="E17" t="s">
        <v>122</v>
      </c>
      <c r="H17" t="s">
        <v>29</v>
      </c>
      <c r="I17" t="s">
        <v>34</v>
      </c>
      <c r="J17" t="s">
        <v>82</v>
      </c>
      <c r="K17" t="s">
        <v>36</v>
      </c>
      <c r="L17" t="s">
        <v>36</v>
      </c>
      <c r="M17">
        <v>2017</v>
      </c>
      <c r="N17" t="s">
        <v>37</v>
      </c>
      <c r="O17" t="s">
        <v>41</v>
      </c>
      <c r="P17" t="s">
        <v>43</v>
      </c>
      <c r="R17" t="s">
        <v>134</v>
      </c>
      <c r="S17">
        <v>-13.068863</v>
      </c>
      <c r="T17">
        <v>28.322908999999999</v>
      </c>
      <c r="U17" t="s">
        <v>61</v>
      </c>
      <c r="V17" t="s">
        <v>133</v>
      </c>
      <c r="W17" t="s">
        <v>46</v>
      </c>
      <c r="X17" t="s">
        <v>47</v>
      </c>
      <c r="Y17" t="s">
        <v>48</v>
      </c>
      <c r="Z17" t="s">
        <v>49</v>
      </c>
      <c r="AA17" t="s">
        <v>53</v>
      </c>
      <c r="AB17" s="2">
        <v>4500000</v>
      </c>
      <c r="AC17" t="s">
        <v>232</v>
      </c>
      <c r="AD17">
        <f>IF(ISBLANK(AB17), "", AB17*Parameter!$H$3)</f>
        <v>3600000</v>
      </c>
      <c r="AE17">
        <f>IF(J17="Ore and concentrate",IF(G17="Underground", Parameter!$C$21,Parameter!$C$19), IF(F17="Smelter",Parameter!$C$10,IF(F17="Refinary",Parameter!$C$12,Parameter!$C$15)))</f>
        <v>5.9520000000000003E-2</v>
      </c>
      <c r="AF17">
        <f>IF(J17="Ore and concentrate",IF(G17="Underground",Parameter!$C$22,Parameter!$C$20),IF(F17="Smelter",Parameter!$C$11,IF(F17="Refinary",Parameter!$C$13,Parameter!$C$16)))</f>
        <v>6.3239999999999991E-2</v>
      </c>
      <c r="AG17">
        <f t="shared" si="0"/>
        <v>214.27199999999999</v>
      </c>
      <c r="AH17">
        <f t="shared" si="1"/>
        <v>227.66399999999996</v>
      </c>
      <c r="AI17" s="1">
        <f>AD17*Parameter!$H$1</f>
        <v>22320</v>
      </c>
      <c r="AJ17" s="18"/>
    </row>
    <row r="18" spans="1:44" hidden="1" x14ac:dyDescent="0.35">
      <c r="A18">
        <v>2237</v>
      </c>
      <c r="B18" t="s">
        <v>123</v>
      </c>
      <c r="C18" t="s">
        <v>124</v>
      </c>
      <c r="D18" t="s">
        <v>27</v>
      </c>
      <c r="E18" t="s">
        <v>125</v>
      </c>
      <c r="H18" t="s">
        <v>29</v>
      </c>
      <c r="I18" t="s">
        <v>34</v>
      </c>
      <c r="J18" t="s">
        <v>82</v>
      </c>
      <c r="K18" t="s">
        <v>36</v>
      </c>
      <c r="L18" t="s">
        <v>36</v>
      </c>
      <c r="M18">
        <v>2017</v>
      </c>
      <c r="N18" t="s">
        <v>37</v>
      </c>
      <c r="O18" t="s">
        <v>41</v>
      </c>
      <c r="P18" s="12" t="s">
        <v>131</v>
      </c>
      <c r="Q18" s="2">
        <f>Parameter!$H$1/Parameter!$H$2*Calib6!AD18</f>
        <v>41333.333333333336</v>
      </c>
      <c r="R18" t="s">
        <v>135</v>
      </c>
      <c r="S18">
        <v>-12.294129999999999</v>
      </c>
      <c r="T18">
        <v>27.765612000000001</v>
      </c>
      <c r="U18" t="s">
        <v>61</v>
      </c>
      <c r="V18" t="s">
        <v>50</v>
      </c>
      <c r="W18" t="s">
        <v>46</v>
      </c>
      <c r="X18" t="s">
        <v>136</v>
      </c>
      <c r="Y18" t="s">
        <v>137</v>
      </c>
      <c r="Z18" t="s">
        <v>138</v>
      </c>
      <c r="AA18" t="s">
        <v>53</v>
      </c>
      <c r="AB18" s="2">
        <v>2500000</v>
      </c>
      <c r="AC18" t="s">
        <v>232</v>
      </c>
      <c r="AD18">
        <f>IF(ISBLANK(AB18), "", AB18*Parameter!$H$3)</f>
        <v>2000000</v>
      </c>
      <c r="AE18">
        <f>IF(J18="Ore and concentrate",IF(G18="Underground", Parameter!$C$21,Parameter!$C$19), IF(F18="Smelter",Parameter!$C$10,IF(F18="Refinary",Parameter!$C$12,Parameter!$C$15)))</f>
        <v>5.9520000000000003E-2</v>
      </c>
      <c r="AF18">
        <f>IF(J18="Ore and concentrate",IF(G18="Underground",Parameter!$C$22,Parameter!$C$20),IF(F18="Smelter",Parameter!$C$11,IF(F18="Refinary",Parameter!$C$13,Parameter!$C$16)))</f>
        <v>6.3239999999999991E-2</v>
      </c>
      <c r="AG18">
        <f t="shared" si="0"/>
        <v>119.04</v>
      </c>
      <c r="AH18">
        <f t="shared" si="1"/>
        <v>126.47999999999999</v>
      </c>
      <c r="AI18" s="2">
        <f>AD18*Parameter!$H$1</f>
        <v>12400</v>
      </c>
      <c r="AJ18" s="2">
        <v>1294</v>
      </c>
      <c r="AK18" s="2">
        <v>2654100</v>
      </c>
      <c r="AL18" s="2">
        <v>2520000</v>
      </c>
      <c r="AM18" s="1">
        <v>45584</v>
      </c>
      <c r="AN18" s="1">
        <v>43659</v>
      </c>
    </row>
    <row r="19" spans="1:44" hidden="1" x14ac:dyDescent="0.35">
      <c r="A19">
        <v>2238</v>
      </c>
      <c r="B19" t="s">
        <v>126</v>
      </c>
      <c r="C19" t="s">
        <v>127</v>
      </c>
      <c r="D19" t="s">
        <v>27</v>
      </c>
      <c r="E19" t="s">
        <v>128</v>
      </c>
      <c r="G19" t="s">
        <v>285</v>
      </c>
      <c r="H19" t="s">
        <v>29</v>
      </c>
      <c r="I19" t="s">
        <v>34</v>
      </c>
      <c r="J19" t="s">
        <v>82</v>
      </c>
      <c r="K19" t="s">
        <v>36</v>
      </c>
      <c r="L19" t="s">
        <v>36</v>
      </c>
      <c r="M19">
        <v>2017</v>
      </c>
      <c r="N19" t="s">
        <v>37</v>
      </c>
      <c r="O19" t="s">
        <v>41</v>
      </c>
      <c r="P19" t="s">
        <v>43</v>
      </c>
      <c r="R19" t="s">
        <v>139</v>
      </c>
      <c r="S19">
        <v>-12.230905</v>
      </c>
      <c r="T19">
        <v>25.817114</v>
      </c>
      <c r="U19" t="s">
        <v>61</v>
      </c>
      <c r="V19" t="s">
        <v>45</v>
      </c>
      <c r="W19" t="s">
        <v>46</v>
      </c>
      <c r="X19" t="s">
        <v>140</v>
      </c>
      <c r="Y19" t="s">
        <v>141</v>
      </c>
      <c r="Z19" t="s">
        <v>43</v>
      </c>
      <c r="AA19" t="s">
        <v>111</v>
      </c>
      <c r="AB19" s="2">
        <v>21000000</v>
      </c>
      <c r="AC19" t="s">
        <v>232</v>
      </c>
      <c r="AD19">
        <f>IF(ISBLANK(AB19), "", AB19*Parameter!$H$3)</f>
        <v>16800000</v>
      </c>
      <c r="AE19">
        <f>IF(J19="Ore and concentrate",IF(G19="Underground", Parameter!$C$21,Parameter!$C$19), IF(F19="Smelter",Parameter!$C$10,IF(F19="Refinary",Parameter!$C$12,Parameter!$C$15)))</f>
        <v>5.9520000000000003E-2</v>
      </c>
      <c r="AF19">
        <f>IF(J19="Ore and concentrate",IF(G19="Underground",Parameter!$C$22,Parameter!$C$20),IF(F19="Smelter",Parameter!$C$11,IF(F19="Refinary",Parameter!$C$13,Parameter!$C$16)))</f>
        <v>6.3239999999999991E-2</v>
      </c>
      <c r="AG19">
        <f t="shared" si="0"/>
        <v>999.93600000000004</v>
      </c>
      <c r="AH19">
        <f t="shared" si="1"/>
        <v>1062.4319999999998</v>
      </c>
      <c r="AI19" s="2">
        <f>AD19*Parameter!$H$1</f>
        <v>104160</v>
      </c>
      <c r="AJ19" s="2">
        <v>107955</v>
      </c>
      <c r="AK19" t="s">
        <v>103</v>
      </c>
      <c r="AL19" s="2">
        <v>25290000</v>
      </c>
      <c r="AM19" s="1">
        <v>109769</v>
      </c>
      <c r="AN19" s="1">
        <v>125191</v>
      </c>
    </row>
    <row r="20" spans="1:44" hidden="1" x14ac:dyDescent="0.35">
      <c r="A20">
        <v>2243</v>
      </c>
      <c r="B20" t="s">
        <v>142</v>
      </c>
      <c r="C20" t="s">
        <v>143</v>
      </c>
      <c r="D20" t="s">
        <v>27</v>
      </c>
      <c r="E20" t="s">
        <v>144</v>
      </c>
      <c r="G20" t="s">
        <v>286</v>
      </c>
      <c r="H20" t="s">
        <v>29</v>
      </c>
      <c r="I20" t="s">
        <v>34</v>
      </c>
      <c r="J20" t="s">
        <v>82</v>
      </c>
      <c r="K20" t="s">
        <v>36</v>
      </c>
      <c r="L20" t="s">
        <v>36</v>
      </c>
      <c r="M20">
        <v>2017</v>
      </c>
      <c r="N20" t="s">
        <v>103</v>
      </c>
      <c r="O20" t="s">
        <v>41</v>
      </c>
      <c r="P20" t="s">
        <v>151</v>
      </c>
      <c r="R20" t="s">
        <v>43</v>
      </c>
      <c r="S20">
        <v>-13.944326</v>
      </c>
      <c r="T20">
        <v>29.140440000000002</v>
      </c>
      <c r="U20" t="s">
        <v>44</v>
      </c>
      <c r="V20" t="s">
        <v>50</v>
      </c>
      <c r="W20" t="s">
        <v>46</v>
      </c>
      <c r="X20" t="s">
        <v>153</v>
      </c>
      <c r="Y20" t="s">
        <v>154</v>
      </c>
      <c r="Z20" t="s">
        <v>155</v>
      </c>
      <c r="AA20" t="s">
        <v>159</v>
      </c>
      <c r="AB20" s="2"/>
      <c r="AC20" t="s">
        <v>232</v>
      </c>
      <c r="AD20" t="str">
        <f>IF(ISBLANK(AB20), "", AB20*Parameter!$H$3)</f>
        <v/>
      </c>
      <c r="AE20">
        <f>IF(J20="Ore and concentrate",IF(G20="Underground", Parameter!$C$21,Parameter!$C$19), IF(F20="Smelter",Parameter!$C$10,IF(F20="Refinary",Parameter!$C$12,Parameter!$C$15)))</f>
        <v>5.9520000000000003E-2</v>
      </c>
      <c r="AF20">
        <f>IF(J20="Ore and concentrate",IF(G20="Underground",Parameter!$C$22,Parameter!$C$20),IF(F20="Smelter",Parameter!$C$11,IF(F20="Refinary",Parameter!$C$13,Parameter!$C$16)))</f>
        <v>6.3239999999999991E-2</v>
      </c>
      <c r="AG20" t="str">
        <f t="shared" si="0"/>
        <v/>
      </c>
      <c r="AH20" t="str">
        <f t="shared" si="1"/>
        <v/>
      </c>
      <c r="AJ20" s="18"/>
    </row>
    <row r="21" spans="1:44" x14ac:dyDescent="0.35">
      <c r="A21">
        <v>2244</v>
      </c>
      <c r="B21" t="s">
        <v>145</v>
      </c>
      <c r="C21" t="s">
        <v>146</v>
      </c>
      <c r="D21" t="s">
        <v>27</v>
      </c>
      <c r="E21" t="s">
        <v>147</v>
      </c>
      <c r="F21" t="s">
        <v>257</v>
      </c>
      <c r="G21" t="s">
        <v>274</v>
      </c>
      <c r="H21" t="s">
        <v>33</v>
      </c>
      <c r="I21" t="s">
        <v>34</v>
      </c>
      <c r="J21" t="s">
        <v>38</v>
      </c>
      <c r="K21" t="s">
        <v>36</v>
      </c>
      <c r="L21" t="s">
        <v>36</v>
      </c>
      <c r="M21">
        <v>2017</v>
      </c>
      <c r="N21" t="s">
        <v>37</v>
      </c>
      <c r="O21" t="s">
        <v>41</v>
      </c>
      <c r="P21" t="s">
        <v>152</v>
      </c>
      <c r="R21" t="s">
        <v>43</v>
      </c>
      <c r="S21">
        <v>-12.535</v>
      </c>
      <c r="T21">
        <v>28.234000000000002</v>
      </c>
      <c r="U21" t="s">
        <v>44</v>
      </c>
      <c r="V21" t="s">
        <v>62</v>
      </c>
      <c r="W21" t="s">
        <v>46</v>
      </c>
      <c r="X21" t="s">
        <v>156</v>
      </c>
      <c r="Y21" t="s">
        <v>157</v>
      </c>
      <c r="Z21" t="s">
        <v>158</v>
      </c>
      <c r="AA21" t="s">
        <v>53</v>
      </c>
      <c r="AB21" s="2">
        <v>200000</v>
      </c>
      <c r="AC21" t="s">
        <v>232</v>
      </c>
      <c r="AD21">
        <f>IF(ISBLANK(AB21), "", AB21*Parameter!$H$3)</f>
        <v>160000</v>
      </c>
      <c r="AE21">
        <v>6.9029999999999996</v>
      </c>
      <c r="AF21">
        <v>4.1749999999999998</v>
      </c>
      <c r="AG21">
        <f t="shared" si="0"/>
        <v>1104.48</v>
      </c>
      <c r="AH21">
        <f t="shared" si="1"/>
        <v>668</v>
      </c>
      <c r="AK21" t="s">
        <v>103</v>
      </c>
      <c r="AL21" t="s">
        <v>103</v>
      </c>
      <c r="AM21" s="5">
        <v>0</v>
      </c>
      <c r="AN21" s="5">
        <v>0</v>
      </c>
    </row>
    <row r="22" spans="1:44" hidden="1" x14ac:dyDescent="0.35">
      <c r="A22">
        <v>2245</v>
      </c>
      <c r="B22" t="s">
        <v>148</v>
      </c>
      <c r="C22" t="s">
        <v>149</v>
      </c>
      <c r="D22" t="s">
        <v>27</v>
      </c>
      <c r="E22" t="s">
        <v>150</v>
      </c>
      <c r="H22" t="s">
        <v>29</v>
      </c>
      <c r="I22" t="s">
        <v>34</v>
      </c>
      <c r="J22" t="s">
        <v>82</v>
      </c>
      <c r="K22" t="s">
        <v>36</v>
      </c>
      <c r="L22" t="s">
        <v>36</v>
      </c>
      <c r="M22">
        <v>2017</v>
      </c>
      <c r="N22" t="s">
        <v>37</v>
      </c>
      <c r="O22" t="s">
        <v>41</v>
      </c>
      <c r="P22" t="s">
        <v>43</v>
      </c>
      <c r="R22" t="s">
        <v>43</v>
      </c>
      <c r="S22">
        <v>-12.542415</v>
      </c>
      <c r="T22">
        <v>28.219801</v>
      </c>
      <c r="U22" t="s">
        <v>44</v>
      </c>
      <c r="V22" t="s">
        <v>50</v>
      </c>
      <c r="W22" t="s">
        <v>46</v>
      </c>
      <c r="X22" t="s">
        <v>156</v>
      </c>
      <c r="Y22" t="s">
        <v>157</v>
      </c>
      <c r="Z22" t="s">
        <v>158</v>
      </c>
      <c r="AA22" t="s">
        <v>53</v>
      </c>
      <c r="AB22" s="2">
        <v>2500000</v>
      </c>
      <c r="AC22" t="s">
        <v>232</v>
      </c>
      <c r="AD22">
        <f>IF(ISBLANK(AB22), "", AB22*Parameter!$H$3)</f>
        <v>2000000</v>
      </c>
      <c r="AE22">
        <f>IF(J22="Ore and concentrate",IF(G22="Underground", Parameter!$C$21,Parameter!$C$19), IF(F22="Smelter",Parameter!$C$10,IF(F22="Refinary",Parameter!$C$12,Parameter!$C$15)))</f>
        <v>5.9520000000000003E-2</v>
      </c>
      <c r="AF22">
        <f>IF(J22="Ore and concentrate",IF(G22="Underground",Parameter!$C$22,Parameter!$C$20),IF(F22="Smelter",Parameter!$C$11,IF(F22="Refinary",Parameter!$C$13,Parameter!$C$16)))</f>
        <v>6.3239999999999991E-2</v>
      </c>
      <c r="AG22">
        <f t="shared" si="0"/>
        <v>119.04</v>
      </c>
      <c r="AH22">
        <f t="shared" si="1"/>
        <v>126.47999999999999</v>
      </c>
      <c r="AI22" s="22">
        <f>AD22*Parameter!$H$1</f>
        <v>12400</v>
      </c>
      <c r="AJ22" s="22">
        <v>61900</v>
      </c>
      <c r="AK22" s="2">
        <v>1440000</v>
      </c>
      <c r="AL22" t="s">
        <v>103</v>
      </c>
      <c r="AM22" s="1">
        <v>30551</v>
      </c>
      <c r="AN22" s="1">
        <v>82500</v>
      </c>
      <c r="AO22" s="2">
        <v>125000</v>
      </c>
      <c r="AP22" t="s">
        <v>236</v>
      </c>
      <c r="AQ22" s="2">
        <v>2500000</v>
      </c>
      <c r="AR22" t="s">
        <v>236</v>
      </c>
    </row>
    <row r="23" spans="1:44" x14ac:dyDescent="0.35">
      <c r="A23">
        <v>2247</v>
      </c>
      <c r="B23" t="s">
        <v>160</v>
      </c>
      <c r="C23" t="s">
        <v>161</v>
      </c>
      <c r="D23" t="s">
        <v>27</v>
      </c>
      <c r="E23" t="s">
        <v>162</v>
      </c>
      <c r="F23" t="s">
        <v>269</v>
      </c>
      <c r="H23" t="s">
        <v>33</v>
      </c>
      <c r="I23" t="s">
        <v>34</v>
      </c>
      <c r="J23" t="s">
        <v>38</v>
      </c>
      <c r="K23" t="s">
        <v>36</v>
      </c>
      <c r="L23" t="s">
        <v>36</v>
      </c>
      <c r="M23">
        <v>2017</v>
      </c>
      <c r="N23" t="s">
        <v>37</v>
      </c>
      <c r="O23" t="s">
        <v>41</v>
      </c>
      <c r="P23" t="s">
        <v>42</v>
      </c>
      <c r="R23" t="s">
        <v>43</v>
      </c>
      <c r="S23">
        <v>-12.534000000000001</v>
      </c>
      <c r="T23">
        <v>28.236999999999998</v>
      </c>
      <c r="U23" t="s">
        <v>44</v>
      </c>
      <c r="V23" t="s">
        <v>62</v>
      </c>
      <c r="W23" t="s">
        <v>46</v>
      </c>
      <c r="X23" t="s">
        <v>156</v>
      </c>
      <c r="Y23" t="s">
        <v>157</v>
      </c>
      <c r="Z23" t="s">
        <v>158</v>
      </c>
      <c r="AA23" t="s">
        <v>53</v>
      </c>
      <c r="AB23" s="2">
        <v>275000</v>
      </c>
      <c r="AC23" t="s">
        <v>232</v>
      </c>
      <c r="AD23">
        <f>IF(ISBLANK(AB23), "", AB23*Parameter!$H$3)</f>
        <v>220000</v>
      </c>
      <c r="AE23">
        <f>IF(J23="Ore and concentrate",IF(G23="Underground", Parameter!$C$21,Parameter!$C$19), IF(F23="Smelter",Parameter!$C$10,IF(F23="Refinary",Parameter!$C$12,Parameter!$C$15)))</f>
        <v>3.2</v>
      </c>
      <c r="AF23">
        <f>IF(J23="Ore and concentrate",IF(G23="Underground",Parameter!$C$22,Parameter!$C$20),IF(F23="Smelter",Parameter!$C$11,IF(F23="Refinary",Parameter!$C$13,Parameter!$C$16)))</f>
        <v>0</v>
      </c>
      <c r="AG23">
        <f t="shared" si="0"/>
        <v>704</v>
      </c>
      <c r="AH23">
        <f t="shared" si="1"/>
        <v>0</v>
      </c>
      <c r="AM23" t="s">
        <v>234</v>
      </c>
      <c r="AN23" t="s">
        <v>234</v>
      </c>
      <c r="AO23" s="2">
        <v>270000</v>
      </c>
      <c r="AP23" t="s">
        <v>236</v>
      </c>
    </row>
    <row r="24" spans="1:44" x14ac:dyDescent="0.35">
      <c r="A24">
        <v>2248</v>
      </c>
      <c r="B24" t="s">
        <v>163</v>
      </c>
      <c r="C24" t="s">
        <v>164</v>
      </c>
      <c r="D24" t="s">
        <v>27</v>
      </c>
      <c r="E24" t="s">
        <v>165</v>
      </c>
      <c r="F24" t="s">
        <v>270</v>
      </c>
      <c r="G24" s="3" t="s">
        <v>279</v>
      </c>
      <c r="H24" t="s">
        <v>33</v>
      </c>
      <c r="I24" t="s">
        <v>34</v>
      </c>
      <c r="J24" t="s">
        <v>38</v>
      </c>
      <c r="K24" t="s">
        <v>36</v>
      </c>
      <c r="L24" t="s">
        <v>36</v>
      </c>
      <c r="M24">
        <v>2017</v>
      </c>
      <c r="N24" t="s">
        <v>103</v>
      </c>
      <c r="O24" t="s">
        <v>41</v>
      </c>
      <c r="P24" t="s">
        <v>43</v>
      </c>
      <c r="R24" t="s">
        <v>237</v>
      </c>
      <c r="S24">
        <v>-12.533671</v>
      </c>
      <c r="T24">
        <v>28.238890999999999</v>
      </c>
      <c r="U24" t="s">
        <v>44</v>
      </c>
      <c r="V24" t="s">
        <v>62</v>
      </c>
      <c r="W24" t="s">
        <v>46</v>
      </c>
      <c r="X24" t="s">
        <v>156</v>
      </c>
      <c r="Y24" t="s">
        <v>157</v>
      </c>
      <c r="Z24" t="s">
        <v>158</v>
      </c>
      <c r="AA24" t="s">
        <v>53</v>
      </c>
      <c r="AB24" s="2"/>
      <c r="AC24" t="s">
        <v>232</v>
      </c>
      <c r="AD24" t="str">
        <f>IF(ISBLANK(AB24), "", AB24*Parameter!$H$3)</f>
        <v/>
      </c>
      <c r="AE24">
        <f>IF(J24="Ore and concentrate",IF(G24="Underground", Parameter!$C$21,Parameter!$C$19), IF(F24="Smelter",Parameter!$C$10,IF(F24="Refinary",Parameter!$C$12,Parameter!$C$15)))</f>
        <v>12.466000000000001</v>
      </c>
      <c r="AF24">
        <f>IF(J24="Ore and concentrate",IF(G24="Underground",Parameter!$C$22,Parameter!$C$20),IF(F24="Smelter",Parameter!$C$11,IF(F24="Refinary",Parameter!$C$13,Parameter!$C$16)))</f>
        <v>1.518</v>
      </c>
      <c r="AG24" t="str">
        <f t="shared" si="0"/>
        <v/>
      </c>
      <c r="AH24" t="str">
        <f t="shared" si="1"/>
        <v/>
      </c>
      <c r="AM24" t="s">
        <v>234</v>
      </c>
      <c r="AN24" t="s">
        <v>234</v>
      </c>
      <c r="AO24" t="s">
        <v>103</v>
      </c>
      <c r="AP24" t="s">
        <v>236</v>
      </c>
    </row>
    <row r="25" spans="1:44" x14ac:dyDescent="0.35">
      <c r="A25">
        <v>2249</v>
      </c>
      <c r="B25" t="s">
        <v>166</v>
      </c>
      <c r="C25" t="s">
        <v>167</v>
      </c>
      <c r="D25" t="s">
        <v>27</v>
      </c>
      <c r="E25" t="s">
        <v>168</v>
      </c>
      <c r="F25" t="s">
        <v>268</v>
      </c>
      <c r="G25" t="s">
        <v>278</v>
      </c>
      <c r="H25" t="s">
        <v>33</v>
      </c>
      <c r="I25" t="s">
        <v>34</v>
      </c>
      <c r="J25" t="s">
        <v>38</v>
      </c>
      <c r="K25" t="s">
        <v>36</v>
      </c>
      <c r="L25" t="s">
        <v>36</v>
      </c>
      <c r="M25">
        <v>2017</v>
      </c>
      <c r="N25" t="s">
        <v>37</v>
      </c>
      <c r="O25" t="s">
        <v>41</v>
      </c>
      <c r="P25" t="s">
        <v>42</v>
      </c>
      <c r="R25" t="s">
        <v>134</v>
      </c>
      <c r="S25">
        <v>-13.06861</v>
      </c>
      <c r="T25">
        <v>28.32583</v>
      </c>
      <c r="U25" t="s">
        <v>44</v>
      </c>
      <c r="V25" t="s">
        <v>62</v>
      </c>
      <c r="W25" t="s">
        <v>46</v>
      </c>
      <c r="X25" t="s">
        <v>47</v>
      </c>
      <c r="Y25" t="s">
        <v>169</v>
      </c>
      <c r="Z25" t="s">
        <v>43</v>
      </c>
      <c r="AA25" t="s">
        <v>53</v>
      </c>
      <c r="AB25" s="2">
        <v>40000</v>
      </c>
      <c r="AC25" t="s">
        <v>232</v>
      </c>
      <c r="AD25">
        <f>IF(ISBLANK(AB25), "", AB25*Parameter!$H$3)</f>
        <v>32000</v>
      </c>
      <c r="AE25">
        <f>IF(J25="Ore and concentrate",IF(G25="Underground", Parameter!$C$21,Parameter!$C$19), IF(F25="Smelter",Parameter!$C$10,IF(F25="Refinary",Parameter!$C$12,Parameter!$C$15)))</f>
        <v>12.466000000000001</v>
      </c>
      <c r="AF25">
        <f>IF(J25="Ore and concentrate",IF(G25="Underground",Parameter!$C$22,Parameter!$C$20),IF(F25="Smelter",Parameter!$C$11,IF(F25="Refinary",Parameter!$C$13,Parameter!$C$16)))</f>
        <v>1.518</v>
      </c>
      <c r="AG25">
        <f t="shared" si="0"/>
        <v>398.91200000000003</v>
      </c>
      <c r="AH25">
        <f t="shared" si="1"/>
        <v>48.576000000000001</v>
      </c>
      <c r="AJ25" s="1">
        <v>41876</v>
      </c>
      <c r="AO25" s="2">
        <v>34000</v>
      </c>
      <c r="AP25" t="s">
        <v>236</v>
      </c>
    </row>
    <row r="26" spans="1:44" x14ac:dyDescent="0.35">
      <c r="A26">
        <v>2251</v>
      </c>
      <c r="B26" t="s">
        <v>170</v>
      </c>
      <c r="C26" t="s">
        <v>171</v>
      </c>
      <c r="D26" t="s">
        <v>27</v>
      </c>
      <c r="E26" t="s">
        <v>172</v>
      </c>
      <c r="H26" t="s">
        <v>29</v>
      </c>
      <c r="I26" t="s">
        <v>34</v>
      </c>
      <c r="J26" t="s">
        <v>38</v>
      </c>
      <c r="K26" s="3" t="s">
        <v>36</v>
      </c>
      <c r="L26" s="3" t="s">
        <v>36</v>
      </c>
      <c r="M26">
        <v>2017</v>
      </c>
      <c r="N26" s="3" t="s">
        <v>37</v>
      </c>
      <c r="O26" s="3" t="s">
        <v>39</v>
      </c>
      <c r="P26" t="s">
        <v>174</v>
      </c>
      <c r="Q26" t="s">
        <v>294</v>
      </c>
      <c r="R26" t="s">
        <v>175</v>
      </c>
      <c r="S26" s="3">
        <v>-15.925446000000001</v>
      </c>
      <c r="T26" s="3">
        <v>28.129807</v>
      </c>
      <c r="U26" s="3" t="s">
        <v>61</v>
      </c>
      <c r="V26" s="3" t="s">
        <v>50</v>
      </c>
      <c r="W26" s="3" t="s">
        <v>46</v>
      </c>
      <c r="X26" s="3" t="s">
        <v>176</v>
      </c>
      <c r="Y26" s="3" t="s">
        <v>177</v>
      </c>
      <c r="Z26" s="3" t="s">
        <v>43</v>
      </c>
      <c r="AA26" s="3" t="s">
        <v>178</v>
      </c>
      <c r="AB26" s="2">
        <v>1700</v>
      </c>
      <c r="AC26" t="s">
        <v>232</v>
      </c>
      <c r="AD26">
        <f>IF(ISBLANK(AB26), "", AB26*Parameter!$H$3)</f>
        <v>1360</v>
      </c>
      <c r="AE26">
        <f>IF(J26="Ore and concentrate",IF(G26="Underground", Parameter!$C$21,Parameter!$C$19), IF(F26="Smelter",Parameter!$C$10,IF(F26="Refinary",Parameter!$C$12,Parameter!$C$15)))</f>
        <v>12.466000000000001</v>
      </c>
      <c r="AF26">
        <f>IF(J26="Ore and concentrate",IF(G26="Underground",Parameter!$C$22,Parameter!$C$20),IF(F26="Smelter",Parameter!$C$11,IF(F26="Refinary",Parameter!$C$13,Parameter!$C$16)))</f>
        <v>1.518</v>
      </c>
      <c r="AG26">
        <f t="shared" si="0"/>
        <v>16.953760000000003</v>
      </c>
      <c r="AH26">
        <f t="shared" si="1"/>
        <v>2.0644800000000001</v>
      </c>
      <c r="AJ26" s="2">
        <v>1338</v>
      </c>
      <c r="AK26" s="2">
        <v>175000</v>
      </c>
      <c r="AL26" s="2">
        <v>312500</v>
      </c>
      <c r="AM26" s="5" t="s">
        <v>103</v>
      </c>
      <c r="AN26" s="5" t="s">
        <v>103</v>
      </c>
    </row>
    <row r="27" spans="1:44" x14ac:dyDescent="0.35">
      <c r="A27">
        <v>2253</v>
      </c>
      <c r="B27" t="s">
        <v>179</v>
      </c>
      <c r="C27" t="s">
        <v>180</v>
      </c>
      <c r="D27" t="s">
        <v>27</v>
      </c>
      <c r="E27" t="s">
        <v>181</v>
      </c>
      <c r="F27" t="s">
        <v>257</v>
      </c>
      <c r="H27" t="s">
        <v>29</v>
      </c>
      <c r="I27" t="s">
        <v>34</v>
      </c>
      <c r="J27" t="s">
        <v>38</v>
      </c>
      <c r="K27" t="s">
        <v>36</v>
      </c>
      <c r="L27" t="s">
        <v>36</v>
      </c>
      <c r="M27">
        <v>2017</v>
      </c>
      <c r="N27" t="s">
        <v>37</v>
      </c>
      <c r="O27" t="s">
        <v>41</v>
      </c>
      <c r="P27" t="s">
        <v>43</v>
      </c>
      <c r="R27" t="s">
        <v>182</v>
      </c>
      <c r="S27">
        <v>-12.72194</v>
      </c>
      <c r="T27">
        <v>27.968019999999999</v>
      </c>
      <c r="U27" t="s">
        <v>44</v>
      </c>
      <c r="V27" t="s">
        <v>62</v>
      </c>
      <c r="W27" t="s">
        <v>46</v>
      </c>
      <c r="X27" t="s">
        <v>63</v>
      </c>
      <c r="Y27" t="s">
        <v>64</v>
      </c>
      <c r="Z27" t="s">
        <v>65</v>
      </c>
      <c r="AA27" t="s">
        <v>53</v>
      </c>
      <c r="AB27" s="2">
        <v>600000</v>
      </c>
      <c r="AC27" t="s">
        <v>232</v>
      </c>
      <c r="AD27" s="21">
        <f>IF(ISBLANK(AB27), "", AB27*Parameter!$H$3)</f>
        <v>480000</v>
      </c>
      <c r="AE27">
        <f>IF(J27="Ore and concentrate",IF(G27="Underground", Parameter!$C$21,Parameter!$C$19), IF(F27="Smelter",Parameter!$C$10,IF(F27="Refinary",Parameter!$C$12,Parameter!$C$15)))</f>
        <v>9.266</v>
      </c>
      <c r="AF27">
        <f>IF(J27="Ore and concentrate",IF(G27="Underground",Parameter!$C$22,Parameter!$C$20),IF(F27="Smelter",Parameter!$C$11,IF(F27="Refinary",Parameter!$C$13,Parameter!$C$16)))</f>
        <v>1.518</v>
      </c>
      <c r="AG27">
        <f t="shared" si="0"/>
        <v>4447.68</v>
      </c>
      <c r="AH27">
        <f t="shared" si="1"/>
        <v>728.64</v>
      </c>
      <c r="AJ27" s="22">
        <v>6973</v>
      </c>
    </row>
    <row r="28" spans="1:44" x14ac:dyDescent="0.35">
      <c r="A28">
        <v>2257</v>
      </c>
      <c r="B28" t="s">
        <v>183</v>
      </c>
      <c r="C28" t="s">
        <v>184</v>
      </c>
      <c r="D28" t="s">
        <v>27</v>
      </c>
      <c r="E28" t="s">
        <v>185</v>
      </c>
      <c r="F28" t="s">
        <v>257</v>
      </c>
      <c r="H28" t="s">
        <v>33</v>
      </c>
      <c r="I28" t="s">
        <v>34</v>
      </c>
      <c r="J28" t="s">
        <v>38</v>
      </c>
      <c r="K28" t="s">
        <v>36</v>
      </c>
      <c r="L28" t="s">
        <v>36</v>
      </c>
      <c r="M28">
        <v>2017</v>
      </c>
      <c r="N28" t="s">
        <v>37</v>
      </c>
      <c r="O28" t="s">
        <v>41</v>
      </c>
      <c r="P28" t="s">
        <v>195</v>
      </c>
      <c r="R28" t="s">
        <v>96</v>
      </c>
      <c r="S28">
        <v>-12.531000000000001</v>
      </c>
      <c r="T28">
        <v>27.855</v>
      </c>
      <c r="U28" t="s">
        <v>44</v>
      </c>
      <c r="V28" t="s">
        <v>62</v>
      </c>
      <c r="W28" t="s">
        <v>46</v>
      </c>
      <c r="X28" t="s">
        <v>97</v>
      </c>
      <c r="Y28" t="s">
        <v>98</v>
      </c>
      <c r="Z28" t="s">
        <v>99</v>
      </c>
      <c r="AA28" t="s">
        <v>53</v>
      </c>
      <c r="AB28" s="2">
        <v>311000</v>
      </c>
      <c r="AC28" t="s">
        <v>232</v>
      </c>
      <c r="AD28">
        <f>IF(ISBLANK(AB28), "", AB28*Parameter!$H$3)</f>
        <v>248800</v>
      </c>
      <c r="AE28">
        <f>IF(J28="Ore and concentrate",IF(G28="Underground", Parameter!$C$21,Parameter!$C$19), IF(F28="Smelter",Parameter!$C$10,IF(F28="Refinary",Parameter!$C$12,Parameter!$C$15)))</f>
        <v>9.266</v>
      </c>
      <c r="AF28">
        <f>IF(J28="Ore and concentrate",IF(G28="Underground",Parameter!$C$22,Parameter!$C$20),IF(F28="Smelter",Parameter!$C$11,IF(F28="Refinary",Parameter!$C$13,Parameter!$C$16)))</f>
        <v>1.518</v>
      </c>
      <c r="AG28">
        <f t="shared" si="0"/>
        <v>2305.3807999999999</v>
      </c>
      <c r="AH28">
        <f t="shared" si="1"/>
        <v>377.67840000000001</v>
      </c>
    </row>
    <row r="29" spans="1:44" hidden="1" x14ac:dyDescent="0.35">
      <c r="A29">
        <v>2258</v>
      </c>
      <c r="B29" t="s">
        <v>186</v>
      </c>
      <c r="C29" t="s">
        <v>187</v>
      </c>
      <c r="D29" t="s">
        <v>27</v>
      </c>
      <c r="E29" t="s">
        <v>188</v>
      </c>
      <c r="G29" t="s">
        <v>284</v>
      </c>
      <c r="H29" t="s">
        <v>29</v>
      </c>
      <c r="I29" t="s">
        <v>34</v>
      </c>
      <c r="J29" t="s">
        <v>82</v>
      </c>
      <c r="K29" t="s">
        <v>36</v>
      </c>
      <c r="L29" t="s">
        <v>36</v>
      </c>
      <c r="M29">
        <v>2017</v>
      </c>
      <c r="N29" t="s">
        <v>37</v>
      </c>
      <c r="O29" t="s">
        <v>41</v>
      </c>
      <c r="P29" s="13" t="s">
        <v>95</v>
      </c>
      <c r="R29" t="s">
        <v>96</v>
      </c>
      <c r="S29">
        <v>-12.536110000000001</v>
      </c>
      <c r="T29">
        <v>27.833120000000001</v>
      </c>
      <c r="U29" t="s">
        <v>44</v>
      </c>
      <c r="V29" t="s">
        <v>45</v>
      </c>
      <c r="W29" t="s">
        <v>46</v>
      </c>
      <c r="X29" t="s">
        <v>97</v>
      </c>
      <c r="Y29" t="s">
        <v>98</v>
      </c>
      <c r="Z29" t="s">
        <v>99</v>
      </c>
      <c r="AA29" t="s">
        <v>53</v>
      </c>
      <c r="AB29" s="2">
        <v>4500000</v>
      </c>
      <c r="AC29" t="s">
        <v>232</v>
      </c>
      <c r="AD29">
        <f>IF(ISBLANK(AB29), "", AB29*Parameter!$H$3)/2</f>
        <v>1800000</v>
      </c>
      <c r="AE29">
        <f>IF(J29="Ore and concentrate",IF(G29="Underground", Parameter!$C$21,Parameter!$C$19), IF(F29="Smelter",Parameter!$C$10,IF(F29="Refinary",Parameter!$C$12,Parameter!$C$15)))</f>
        <v>5.9520000000000003E-2</v>
      </c>
      <c r="AF29">
        <f>IF(J29="Ore and concentrate",IF(G29="Underground",Parameter!$C$22,Parameter!$C$20),IF(F29="Smelter",Parameter!$C$11,IF(F29="Refinary",Parameter!$C$13,Parameter!$C$16)))</f>
        <v>6.3239999999999991E-2</v>
      </c>
      <c r="AG29">
        <f t="shared" si="0"/>
        <v>107.136</v>
      </c>
      <c r="AH29">
        <f t="shared" si="1"/>
        <v>113.83199999999998</v>
      </c>
      <c r="AI29" s="2">
        <f>AD29*Parameter!$H$1</f>
        <v>11160</v>
      </c>
      <c r="AJ29" s="2">
        <v>65544</v>
      </c>
      <c r="AK29" s="2"/>
      <c r="AL29" s="2"/>
      <c r="AM29" s="1"/>
      <c r="AN29" s="1"/>
      <c r="AQ29" s="2">
        <v>4500000</v>
      </c>
      <c r="AR29" t="s">
        <v>236</v>
      </c>
    </row>
    <row r="30" spans="1:44" x14ac:dyDescent="0.35">
      <c r="A30">
        <v>2259</v>
      </c>
      <c r="B30" t="s">
        <v>189</v>
      </c>
      <c r="C30" t="s">
        <v>190</v>
      </c>
      <c r="D30" t="s">
        <v>27</v>
      </c>
      <c r="E30" t="s">
        <v>191</v>
      </c>
      <c r="F30" t="s">
        <v>268</v>
      </c>
      <c r="G30" t="s">
        <v>278</v>
      </c>
      <c r="H30" t="s">
        <v>33</v>
      </c>
      <c r="I30" t="s">
        <v>34</v>
      </c>
      <c r="J30" t="s">
        <v>38</v>
      </c>
      <c r="K30" t="s">
        <v>36</v>
      </c>
      <c r="L30" t="s">
        <v>36</v>
      </c>
      <c r="M30">
        <v>2017</v>
      </c>
      <c r="N30" t="s">
        <v>37</v>
      </c>
      <c r="O30" t="s">
        <v>41</v>
      </c>
      <c r="P30" t="s">
        <v>42</v>
      </c>
      <c r="R30" t="s">
        <v>96</v>
      </c>
      <c r="S30">
        <v>-12.566381</v>
      </c>
      <c r="T30">
        <v>27.814871</v>
      </c>
      <c r="U30" t="s">
        <v>44</v>
      </c>
      <c r="V30" t="s">
        <v>45</v>
      </c>
      <c r="W30" t="s">
        <v>46</v>
      </c>
      <c r="X30" t="s">
        <v>97</v>
      </c>
      <c r="Y30" t="s">
        <v>98</v>
      </c>
      <c r="Z30" t="s">
        <v>99</v>
      </c>
      <c r="AA30" t="s">
        <v>53</v>
      </c>
      <c r="AB30" s="2">
        <v>80000</v>
      </c>
      <c r="AC30" t="s">
        <v>232</v>
      </c>
      <c r="AD30">
        <f>IF(ISBLANK(AB30), "", AB30*Parameter!$H$3)</f>
        <v>64000</v>
      </c>
      <c r="AE30">
        <f>IF(J30="Ore and concentrate",IF(G30="Underground", Parameter!$C$21,Parameter!$C$19), IF(F30="Smelter",Parameter!$C$10,IF(F30="Refinary",Parameter!$C$12,Parameter!$C$15)))</f>
        <v>12.466000000000001</v>
      </c>
      <c r="AF30">
        <f>IF(J30="Ore and concentrate",IF(G30="Underground",Parameter!$C$22,Parameter!$C$20),IF(F30="Smelter",Parameter!$C$11,IF(F30="Refinary",Parameter!$C$13,Parameter!$C$16)))</f>
        <v>1.518</v>
      </c>
      <c r="AG30">
        <f t="shared" si="0"/>
        <v>797.82400000000007</v>
      </c>
      <c r="AH30">
        <f t="shared" si="1"/>
        <v>97.152000000000001</v>
      </c>
      <c r="AO30" t="s">
        <v>239</v>
      </c>
      <c r="AP30" t="s">
        <v>236</v>
      </c>
    </row>
    <row r="31" spans="1:44" hidden="1" x14ac:dyDescent="0.35">
      <c r="A31">
        <v>2260</v>
      </c>
      <c r="B31" t="s">
        <v>192</v>
      </c>
      <c r="C31" t="s">
        <v>193</v>
      </c>
      <c r="D31" t="s">
        <v>27</v>
      </c>
      <c r="E31" t="s">
        <v>194</v>
      </c>
      <c r="G31" t="s">
        <v>283</v>
      </c>
      <c r="H31" t="s">
        <v>29</v>
      </c>
      <c r="I31" t="s">
        <v>34</v>
      </c>
      <c r="J31" t="s">
        <v>82</v>
      </c>
      <c r="K31" t="s">
        <v>36</v>
      </c>
      <c r="L31" t="s">
        <v>36</v>
      </c>
      <c r="M31">
        <v>2017</v>
      </c>
      <c r="N31" t="s">
        <v>37</v>
      </c>
      <c r="O31" t="s">
        <v>41</v>
      </c>
      <c r="P31" t="s">
        <v>43</v>
      </c>
      <c r="R31" t="s">
        <v>96</v>
      </c>
      <c r="S31">
        <v>-12.507612999999999</v>
      </c>
      <c r="T31">
        <v>27.875482000000002</v>
      </c>
      <c r="U31" t="s">
        <v>44</v>
      </c>
      <c r="V31" t="s">
        <v>50</v>
      </c>
      <c r="W31" t="s">
        <v>46</v>
      </c>
      <c r="X31" t="s">
        <v>97</v>
      </c>
      <c r="Y31" t="s">
        <v>98</v>
      </c>
      <c r="Z31" t="s">
        <v>99</v>
      </c>
      <c r="AA31" t="s">
        <v>53</v>
      </c>
      <c r="AB31" s="2">
        <v>2800000</v>
      </c>
      <c r="AC31" t="s">
        <v>232</v>
      </c>
      <c r="AD31">
        <f>IF(ISBLANK(AB31), "", AB31*Parameter!$H$3)</f>
        <v>2240000</v>
      </c>
      <c r="AE31">
        <f>IF(J31="Ore and concentrate",IF(G31="Underground", Parameter!$C$21,Parameter!$C$19), IF(F31="Smelter",Parameter!$C$10,IF(F31="Refinary",Parameter!$C$12,Parameter!$C$15)))</f>
        <v>7.2849999999999998E-2</v>
      </c>
      <c r="AF31">
        <f>IF(J31="Ore and concentrate",IF(G31="Underground",Parameter!$C$22,Parameter!$C$20),IF(F31="Smelter",Parameter!$C$11,IF(F31="Refinary",Parameter!$C$13,Parameter!$C$16)))</f>
        <v>1.333E-2</v>
      </c>
      <c r="AG31">
        <f t="shared" si="0"/>
        <v>163.184</v>
      </c>
      <c r="AH31">
        <f t="shared" si="1"/>
        <v>29.859200000000001</v>
      </c>
      <c r="AI31" s="2">
        <f>AD31*Parameter!$H$1</f>
        <v>13888</v>
      </c>
      <c r="AJ31" s="2">
        <v>1294</v>
      </c>
      <c r="AK31" s="2">
        <v>2820706</v>
      </c>
      <c r="AL31" s="2">
        <v>2820706</v>
      </c>
      <c r="AM31" s="1">
        <v>65544</v>
      </c>
      <c r="AN31" s="1">
        <v>65544</v>
      </c>
      <c r="AQ31" s="2">
        <v>2800000</v>
      </c>
      <c r="AR31" t="s">
        <v>236</v>
      </c>
    </row>
    <row r="32" spans="1:44" x14ac:dyDescent="0.35">
      <c r="A32">
        <v>2262</v>
      </c>
      <c r="B32" t="s">
        <v>196</v>
      </c>
      <c r="C32" t="s">
        <v>43</v>
      </c>
      <c r="D32" t="s">
        <v>27</v>
      </c>
      <c r="E32" t="s">
        <v>197</v>
      </c>
      <c r="F32" t="s">
        <v>268</v>
      </c>
      <c r="G32" t="s">
        <v>277</v>
      </c>
      <c r="H32" t="s">
        <v>33</v>
      </c>
      <c r="I32" t="s">
        <v>34</v>
      </c>
      <c r="J32" t="s">
        <v>38</v>
      </c>
      <c r="K32" t="s">
        <v>36</v>
      </c>
      <c r="L32" t="s">
        <v>36</v>
      </c>
      <c r="M32">
        <v>2017</v>
      </c>
      <c r="N32" t="s">
        <v>37</v>
      </c>
      <c r="O32" t="s">
        <v>41</v>
      </c>
      <c r="P32" t="s">
        <v>42</v>
      </c>
      <c r="R32" t="s">
        <v>200</v>
      </c>
      <c r="S32">
        <v>-12.843</v>
      </c>
      <c r="T32">
        <v>28.204999999999998</v>
      </c>
      <c r="U32" t="s">
        <v>44</v>
      </c>
      <c r="V32" t="s">
        <v>62</v>
      </c>
      <c r="W32" t="s">
        <v>46</v>
      </c>
      <c r="X32" t="s">
        <v>156</v>
      </c>
      <c r="Y32" t="s">
        <v>157</v>
      </c>
      <c r="Z32" t="s">
        <v>158</v>
      </c>
      <c r="AA32" t="s">
        <v>53</v>
      </c>
      <c r="AB32" s="2">
        <v>15000</v>
      </c>
      <c r="AC32" t="s">
        <v>232</v>
      </c>
      <c r="AD32">
        <f>IF(ISBLANK(AB32), "", AB32*Parameter!$H$3)</f>
        <v>12000</v>
      </c>
      <c r="AE32">
        <f>IF(J32="Ore and concentrate",IF(G32="Underground", Parameter!$C$21,Parameter!$C$19), IF(F32="Smelter",Parameter!$C$10,IF(F32="Refinary",Parameter!$C$12,Parameter!$C$15)))</f>
        <v>12.466000000000001</v>
      </c>
      <c r="AF32">
        <f>IF(J32="Ore and concentrate",IF(G32="Underground",Parameter!$C$22,Parameter!$C$20),IF(F32="Smelter",Parameter!$C$11,IF(F32="Refinary",Parameter!$C$13,Parameter!$C$16)))</f>
        <v>1.518</v>
      </c>
      <c r="AG32">
        <f t="shared" si="0"/>
        <v>149.59200000000001</v>
      </c>
      <c r="AH32">
        <f t="shared" si="1"/>
        <v>18.216000000000001</v>
      </c>
      <c r="AJ32" s="2">
        <v>1294</v>
      </c>
      <c r="AK32" t="s">
        <v>103</v>
      </c>
      <c r="AL32" t="s">
        <v>103</v>
      </c>
      <c r="AM32" s="5" t="s">
        <v>103</v>
      </c>
      <c r="AN32" s="5" t="s">
        <v>103</v>
      </c>
    </row>
    <row r="33" spans="1:40" x14ac:dyDescent="0.35">
      <c r="A33">
        <v>2263</v>
      </c>
      <c r="B33" t="s">
        <v>196</v>
      </c>
      <c r="C33" t="s">
        <v>198</v>
      </c>
      <c r="D33" t="s">
        <v>27</v>
      </c>
      <c r="E33" t="s">
        <v>199</v>
      </c>
      <c r="F33" t="s">
        <v>269</v>
      </c>
      <c r="G33" t="s">
        <v>259</v>
      </c>
      <c r="H33" t="s">
        <v>33</v>
      </c>
      <c r="I33" t="s">
        <v>34</v>
      </c>
      <c r="J33" t="s">
        <v>38</v>
      </c>
      <c r="K33" t="s">
        <v>36</v>
      </c>
      <c r="L33" t="s">
        <v>36</v>
      </c>
      <c r="M33">
        <v>2017</v>
      </c>
      <c r="N33" t="s">
        <v>37</v>
      </c>
      <c r="O33" t="s">
        <v>41</v>
      </c>
      <c r="P33" t="s">
        <v>42</v>
      </c>
      <c r="R33" t="s">
        <v>201</v>
      </c>
      <c r="S33">
        <v>-12.843</v>
      </c>
      <c r="T33">
        <v>28.204999999999998</v>
      </c>
      <c r="U33" t="s">
        <v>44</v>
      </c>
      <c r="V33" t="s">
        <v>62</v>
      </c>
      <c r="W33" t="s">
        <v>46</v>
      </c>
      <c r="X33" t="s">
        <v>97</v>
      </c>
      <c r="Y33" t="s">
        <v>98</v>
      </c>
      <c r="Z33" t="s">
        <v>99</v>
      </c>
      <c r="AA33" t="s">
        <v>53</v>
      </c>
      <c r="AB33" s="2">
        <v>300000</v>
      </c>
      <c r="AC33" t="s">
        <v>232</v>
      </c>
      <c r="AD33">
        <f>IF(ISBLANK(AB33), "", AB33*Parameter!$H$3)</f>
        <v>240000</v>
      </c>
      <c r="AE33">
        <f>IF(J33="Ore and concentrate",IF(G33="Underground", Parameter!$C$21,Parameter!$C$19), IF(F33="Smelter",Parameter!$C$10,IF(F33="Refinary",Parameter!$C$12,Parameter!$C$15)))</f>
        <v>3.2</v>
      </c>
      <c r="AF33">
        <f>IF(J33="Ore and concentrate",IF(G33="Underground",Parameter!$C$22,Parameter!$C$20),IF(F33="Smelter",Parameter!$C$11,IF(F33="Refinary",Parameter!$C$13,Parameter!$C$16)))</f>
        <v>0</v>
      </c>
      <c r="AG33">
        <f t="shared" si="0"/>
        <v>768</v>
      </c>
      <c r="AH33">
        <f t="shared" si="1"/>
        <v>0</v>
      </c>
      <c r="AK33" t="s">
        <v>103</v>
      </c>
      <c r="AL33" t="s">
        <v>103</v>
      </c>
      <c r="AM33" s="5" t="s">
        <v>103</v>
      </c>
      <c r="AN33" s="5" t="s">
        <v>103</v>
      </c>
    </row>
    <row r="34" spans="1:40" hidden="1" x14ac:dyDescent="0.35">
      <c r="A34">
        <v>2266</v>
      </c>
      <c r="B34" t="s">
        <v>202</v>
      </c>
      <c r="C34" t="s">
        <v>203</v>
      </c>
      <c r="D34" t="s">
        <v>27</v>
      </c>
      <c r="E34" t="s">
        <v>204</v>
      </c>
      <c r="G34" t="s">
        <v>284</v>
      </c>
      <c r="H34" t="s">
        <v>29</v>
      </c>
      <c r="I34" t="s">
        <v>34</v>
      </c>
      <c r="J34" t="s">
        <v>82</v>
      </c>
      <c r="K34" t="s">
        <v>129</v>
      </c>
      <c r="L34" t="s">
        <v>129</v>
      </c>
      <c r="M34">
        <v>2017</v>
      </c>
      <c r="N34" t="s">
        <v>37</v>
      </c>
      <c r="O34" t="s">
        <v>41</v>
      </c>
      <c r="P34" t="s">
        <v>206</v>
      </c>
      <c r="R34" t="s">
        <v>200</v>
      </c>
      <c r="S34">
        <v>-12.851025999999999</v>
      </c>
      <c r="T34">
        <v>28.207404</v>
      </c>
      <c r="U34" t="s">
        <v>44</v>
      </c>
      <c r="V34" t="s">
        <v>50</v>
      </c>
      <c r="W34" t="s">
        <v>46</v>
      </c>
      <c r="X34" t="s">
        <v>156</v>
      </c>
      <c r="Y34" t="s">
        <v>157</v>
      </c>
      <c r="Z34" t="s">
        <v>158</v>
      </c>
      <c r="AA34" t="s">
        <v>53</v>
      </c>
      <c r="AB34" s="2">
        <v>5500000</v>
      </c>
      <c r="AC34" t="s">
        <v>232</v>
      </c>
      <c r="AD34">
        <f>IF(ISBLANK(AB34), "", AB34*Parameter!$H$3)/7</f>
        <v>628571.42857142852</v>
      </c>
      <c r="AE34">
        <f>IF(J34="Ore and concentrate",IF(G34="Underground", Parameter!$C$21,Parameter!$C$19), IF(F34="Smelter",Parameter!$C$10,IF(F34="Refinary",Parameter!$C$12,Parameter!$C$15)))</f>
        <v>5.9520000000000003E-2</v>
      </c>
      <c r="AF34">
        <f>IF(J34="Ore and concentrate",IF(G34="Underground",Parameter!$C$22,Parameter!$C$20),IF(F34="Smelter",Parameter!$C$11,IF(F34="Refinary",Parameter!$C$13,Parameter!$C$16)))</f>
        <v>6.3239999999999991E-2</v>
      </c>
      <c r="AG34">
        <f t="shared" si="0"/>
        <v>37.412571428571425</v>
      </c>
      <c r="AH34">
        <f t="shared" si="1"/>
        <v>39.750857142857129</v>
      </c>
      <c r="AI34" s="2">
        <f>AD34*Parameter!$H$1</f>
        <v>3897.1428571428569</v>
      </c>
      <c r="AJ34" s="2">
        <v>21270</v>
      </c>
      <c r="AK34" t="s">
        <v>103</v>
      </c>
      <c r="AL34" t="s">
        <v>103</v>
      </c>
      <c r="AM34" s="1">
        <v>55068</v>
      </c>
      <c r="AN34" s="1">
        <v>17900</v>
      </c>
    </row>
    <row r="35" spans="1:40" hidden="1" x14ac:dyDescent="0.35">
      <c r="A35">
        <v>2267</v>
      </c>
      <c r="B35" t="s">
        <v>202</v>
      </c>
      <c r="C35" t="s">
        <v>203</v>
      </c>
      <c r="D35" t="s">
        <v>27</v>
      </c>
      <c r="E35" t="s">
        <v>205</v>
      </c>
      <c r="G35" t="s">
        <v>284</v>
      </c>
      <c r="H35" t="s">
        <v>29</v>
      </c>
      <c r="I35" t="s">
        <v>34</v>
      </c>
      <c r="J35" t="s">
        <v>82</v>
      </c>
      <c r="K35" t="s">
        <v>129</v>
      </c>
      <c r="L35" t="s">
        <v>129</v>
      </c>
      <c r="M35">
        <v>2017</v>
      </c>
      <c r="N35" t="s">
        <v>37</v>
      </c>
      <c r="O35" t="s">
        <v>41</v>
      </c>
      <c r="P35" t="s">
        <v>206</v>
      </c>
      <c r="R35" t="s">
        <v>200</v>
      </c>
      <c r="S35">
        <v>-12.851025999999999</v>
      </c>
      <c r="T35">
        <v>28.207404</v>
      </c>
      <c r="U35" t="s">
        <v>44</v>
      </c>
      <c r="V35" t="s">
        <v>50</v>
      </c>
      <c r="W35" t="s">
        <v>46</v>
      </c>
      <c r="X35" t="s">
        <v>156</v>
      </c>
      <c r="Y35" t="s">
        <v>157</v>
      </c>
      <c r="Z35" t="s">
        <v>158</v>
      </c>
      <c r="AA35" t="s">
        <v>53</v>
      </c>
      <c r="AB35" s="2">
        <v>5500000</v>
      </c>
      <c r="AC35" t="s">
        <v>232</v>
      </c>
      <c r="AD35">
        <f>IF(ISBLANK(AB35), "", AB35*Parameter!$H$3)/7</f>
        <v>628571.42857142852</v>
      </c>
      <c r="AE35">
        <f>IF(J35="Ore and concentrate",IF(G35="Underground", Parameter!$C$21,Parameter!$C$19), IF(F35="Smelter",Parameter!$C$10,IF(F35="Refinary",Parameter!$C$12,Parameter!$C$15)))</f>
        <v>5.9520000000000003E-2</v>
      </c>
      <c r="AF35">
        <f>IF(J35="Ore and concentrate",IF(G35="Underground",Parameter!$C$22,Parameter!$C$20),IF(F35="Smelter",Parameter!$C$11,IF(F35="Refinary",Parameter!$C$13,Parameter!$C$16)))</f>
        <v>6.3239999999999991E-2</v>
      </c>
      <c r="AG35">
        <f t="shared" si="0"/>
        <v>37.412571428571425</v>
      </c>
      <c r="AH35">
        <f t="shared" si="1"/>
        <v>39.750857142857129</v>
      </c>
      <c r="AI35" s="2">
        <f>AD35*Parameter!$H$1</f>
        <v>3897.1428571428569</v>
      </c>
      <c r="AJ35" s="18"/>
    </row>
    <row r="36" spans="1:40" hidden="1" x14ac:dyDescent="0.35">
      <c r="A36">
        <v>2269</v>
      </c>
      <c r="B36" t="s">
        <v>207</v>
      </c>
      <c r="C36" t="s">
        <v>208</v>
      </c>
      <c r="D36" t="s">
        <v>27</v>
      </c>
      <c r="E36" t="s">
        <v>209</v>
      </c>
      <c r="G36" t="s">
        <v>283</v>
      </c>
      <c r="H36" t="s">
        <v>29</v>
      </c>
      <c r="I36" t="s">
        <v>34</v>
      </c>
      <c r="J36" t="s">
        <v>82</v>
      </c>
      <c r="K36" t="s">
        <v>129</v>
      </c>
      <c r="L36" t="s">
        <v>129</v>
      </c>
      <c r="M36">
        <v>2017</v>
      </c>
      <c r="N36" t="s">
        <v>37</v>
      </c>
      <c r="O36" t="s">
        <v>41</v>
      </c>
      <c r="P36" t="s">
        <v>206</v>
      </c>
      <c r="R36" t="s">
        <v>200</v>
      </c>
      <c r="S36">
        <v>-12.805249999999999</v>
      </c>
      <c r="T36">
        <v>28.185835999999998</v>
      </c>
      <c r="U36" t="s">
        <v>61</v>
      </c>
      <c r="V36" t="s">
        <v>45</v>
      </c>
      <c r="W36" t="s">
        <v>46</v>
      </c>
      <c r="X36" t="s">
        <v>156</v>
      </c>
      <c r="Y36" t="s">
        <v>157</v>
      </c>
      <c r="Z36" t="s">
        <v>158</v>
      </c>
      <c r="AA36" t="s">
        <v>53</v>
      </c>
      <c r="AB36" s="2">
        <v>5500000</v>
      </c>
      <c r="AC36" t="s">
        <v>232</v>
      </c>
      <c r="AD36">
        <f>IF(ISBLANK(AB36), "", AB36*Parameter!$H$3)/7</f>
        <v>628571.42857142852</v>
      </c>
      <c r="AE36">
        <f>IF(J36="Ore and concentrate",IF(G36="Underground", Parameter!$C$21,Parameter!$C$19), IF(F36="Smelter",Parameter!$C$10,IF(F36="Refinary",Parameter!$C$12,Parameter!$C$15)))</f>
        <v>7.2849999999999998E-2</v>
      </c>
      <c r="AF36">
        <f>IF(J36="Ore and concentrate",IF(G36="Underground",Parameter!$C$22,Parameter!$C$20),IF(F36="Smelter",Parameter!$C$11,IF(F36="Refinary",Parameter!$C$13,Parameter!$C$16)))</f>
        <v>1.333E-2</v>
      </c>
      <c r="AG36">
        <f t="shared" si="0"/>
        <v>45.791428571428568</v>
      </c>
      <c r="AH36">
        <f t="shared" si="1"/>
        <v>8.3788571428571412</v>
      </c>
      <c r="AI36" s="2">
        <f>AD36*Parameter!$H$1</f>
        <v>3897.1428571428569</v>
      </c>
      <c r="AJ36" s="18"/>
    </row>
    <row r="37" spans="1:40" hidden="1" x14ac:dyDescent="0.35">
      <c r="A37">
        <v>2271</v>
      </c>
      <c r="B37" t="s">
        <v>210</v>
      </c>
      <c r="C37" t="s">
        <v>211</v>
      </c>
      <c r="D37" t="s">
        <v>27</v>
      </c>
      <c r="E37" t="s">
        <v>212</v>
      </c>
      <c r="G37" t="s">
        <v>283</v>
      </c>
      <c r="H37" t="s">
        <v>29</v>
      </c>
      <c r="I37" t="s">
        <v>34</v>
      </c>
      <c r="J37" t="s">
        <v>82</v>
      </c>
      <c r="K37" t="s">
        <v>129</v>
      </c>
      <c r="L37" t="s">
        <v>129</v>
      </c>
      <c r="M37">
        <v>2017</v>
      </c>
      <c r="N37" t="s">
        <v>37</v>
      </c>
      <c r="O37" t="s">
        <v>41</v>
      </c>
      <c r="P37" t="s">
        <v>206</v>
      </c>
      <c r="R37" t="s">
        <v>200</v>
      </c>
      <c r="S37">
        <v>-12.796917000000001</v>
      </c>
      <c r="T37">
        <v>28.178775999999999</v>
      </c>
      <c r="U37" t="s">
        <v>61</v>
      </c>
      <c r="V37" t="s">
        <v>133</v>
      </c>
      <c r="W37" t="s">
        <v>46</v>
      </c>
      <c r="X37" t="s">
        <v>156</v>
      </c>
      <c r="Y37" t="s">
        <v>157</v>
      </c>
      <c r="Z37" t="s">
        <v>158</v>
      </c>
      <c r="AA37" t="s">
        <v>53</v>
      </c>
      <c r="AB37" s="2">
        <v>5500000</v>
      </c>
      <c r="AC37" t="s">
        <v>232</v>
      </c>
      <c r="AD37">
        <f>IF(ISBLANK(AB37), "", AB37*Parameter!$H$3)/7</f>
        <v>628571.42857142852</v>
      </c>
      <c r="AE37">
        <f>IF(J37="Ore and concentrate",IF(G37="Underground", Parameter!$C$21,Parameter!$C$19), IF(F37="Smelter",Parameter!$C$10,IF(F37="Refinary",Parameter!$C$12,Parameter!$C$15)))</f>
        <v>7.2849999999999998E-2</v>
      </c>
      <c r="AF37">
        <f>IF(J37="Ore and concentrate",IF(G37="Underground",Parameter!$C$22,Parameter!$C$20),IF(F37="Smelter",Parameter!$C$11,IF(F37="Refinary",Parameter!$C$13,Parameter!$C$16)))</f>
        <v>1.333E-2</v>
      </c>
      <c r="AG37">
        <f t="shared" si="0"/>
        <v>45.791428571428568</v>
      </c>
      <c r="AH37">
        <f t="shared" si="1"/>
        <v>8.3788571428571412</v>
      </c>
      <c r="AI37" s="2">
        <f>AD37*Parameter!$H$1</f>
        <v>3897.1428571428569</v>
      </c>
      <c r="AJ37" s="18"/>
    </row>
    <row r="38" spans="1:40" hidden="1" x14ac:dyDescent="0.35">
      <c r="A38">
        <v>2273</v>
      </c>
      <c r="B38" t="s">
        <v>213</v>
      </c>
      <c r="C38" t="s">
        <v>214</v>
      </c>
      <c r="D38" t="s">
        <v>27</v>
      </c>
      <c r="E38" t="s">
        <v>215</v>
      </c>
      <c r="G38" t="s">
        <v>284</v>
      </c>
      <c r="H38" t="s">
        <v>29</v>
      </c>
      <c r="I38" t="s">
        <v>34</v>
      </c>
      <c r="J38" t="s">
        <v>82</v>
      </c>
      <c r="K38" t="s">
        <v>129</v>
      </c>
      <c r="L38" t="s">
        <v>129</v>
      </c>
      <c r="M38">
        <v>2017</v>
      </c>
      <c r="N38" t="s">
        <v>37</v>
      </c>
      <c r="O38" t="s">
        <v>41</v>
      </c>
      <c r="P38" t="s">
        <v>206</v>
      </c>
      <c r="R38" t="s">
        <v>200</v>
      </c>
      <c r="S38">
        <v>-12.77556</v>
      </c>
      <c r="T38">
        <v>28.161052000000002</v>
      </c>
      <c r="U38" t="s">
        <v>61</v>
      </c>
      <c r="V38" t="s">
        <v>216</v>
      </c>
      <c r="W38" t="s">
        <v>46</v>
      </c>
      <c r="X38" t="s">
        <v>156</v>
      </c>
      <c r="Y38" t="s">
        <v>157</v>
      </c>
      <c r="Z38" t="s">
        <v>158</v>
      </c>
      <c r="AA38" t="s">
        <v>53</v>
      </c>
      <c r="AB38" s="2">
        <v>5500000</v>
      </c>
      <c r="AC38" t="s">
        <v>232</v>
      </c>
      <c r="AD38">
        <f>IF(ISBLANK(AB38), "", AB38*Parameter!$H$3)/7</f>
        <v>628571.42857142852</v>
      </c>
      <c r="AE38">
        <f>IF(J38="Ore and concentrate",IF(G38="Underground", Parameter!$C$21,Parameter!$C$19), IF(F38="Smelter",Parameter!$C$10,IF(F38="Refinary",Parameter!$C$12,Parameter!$C$15)))</f>
        <v>5.9520000000000003E-2</v>
      </c>
      <c r="AF38">
        <f>IF(J38="Ore and concentrate",IF(G38="Underground",Parameter!$C$22,Parameter!$C$20),IF(F38="Smelter",Parameter!$C$11,IF(F38="Refinary",Parameter!$C$13,Parameter!$C$16)))</f>
        <v>6.3239999999999991E-2</v>
      </c>
      <c r="AG38">
        <f t="shared" si="0"/>
        <v>37.412571428571425</v>
      </c>
      <c r="AH38">
        <f t="shared" si="1"/>
        <v>39.750857142857129</v>
      </c>
      <c r="AI38" s="2">
        <f>AD38*Parameter!$H$1</f>
        <v>3897.1428571428569</v>
      </c>
      <c r="AJ38" s="18"/>
    </row>
    <row r="39" spans="1:40" hidden="1" x14ac:dyDescent="0.35">
      <c r="A39">
        <v>2276</v>
      </c>
      <c r="B39" t="s">
        <v>217</v>
      </c>
      <c r="C39" t="s">
        <v>43</v>
      </c>
      <c r="D39" t="s">
        <v>27</v>
      </c>
      <c r="E39" t="s">
        <v>218</v>
      </c>
      <c r="G39" t="s">
        <v>283</v>
      </c>
      <c r="H39" t="s">
        <v>29</v>
      </c>
      <c r="I39" t="s">
        <v>34</v>
      </c>
      <c r="J39" t="s">
        <v>82</v>
      </c>
      <c r="K39" t="s">
        <v>129</v>
      </c>
      <c r="L39" t="s">
        <v>129</v>
      </c>
      <c r="M39">
        <v>2017</v>
      </c>
      <c r="N39" t="s">
        <v>37</v>
      </c>
      <c r="O39" t="s">
        <v>41</v>
      </c>
      <c r="P39" t="s">
        <v>206</v>
      </c>
      <c r="R39" t="s">
        <v>200</v>
      </c>
      <c r="S39">
        <v>-12.854466</v>
      </c>
      <c r="T39">
        <v>28.212122999999998</v>
      </c>
      <c r="U39" t="s">
        <v>61</v>
      </c>
      <c r="V39" t="s">
        <v>45</v>
      </c>
      <c r="W39" t="s">
        <v>46</v>
      </c>
      <c r="X39" t="s">
        <v>156</v>
      </c>
      <c r="Y39" t="s">
        <v>157</v>
      </c>
      <c r="Z39" t="s">
        <v>158</v>
      </c>
      <c r="AA39" t="s">
        <v>53</v>
      </c>
      <c r="AB39" s="2">
        <v>5500000</v>
      </c>
      <c r="AC39" t="s">
        <v>232</v>
      </c>
      <c r="AD39">
        <f>IF(ISBLANK(AB39), "", AB39*Parameter!$H$3)/7</f>
        <v>628571.42857142852</v>
      </c>
      <c r="AE39">
        <f>IF(J39="Ore and concentrate",IF(G39="Underground", Parameter!$C$21,Parameter!$C$19), IF(F39="Smelter",Parameter!$C$10,IF(F39="Refinary",Parameter!$C$12,Parameter!$C$15)))</f>
        <v>7.2849999999999998E-2</v>
      </c>
      <c r="AF39">
        <f>IF(J39="Ore and concentrate",IF(G39="Underground",Parameter!$C$22,Parameter!$C$20),IF(F39="Smelter",Parameter!$C$11,IF(F39="Refinary",Parameter!$C$13,Parameter!$C$16)))</f>
        <v>1.333E-2</v>
      </c>
      <c r="AG39">
        <f t="shared" si="0"/>
        <v>45.791428571428568</v>
      </c>
      <c r="AH39">
        <f t="shared" si="1"/>
        <v>8.3788571428571412</v>
      </c>
      <c r="AI39" s="2">
        <f>AD39*Parameter!$H$1</f>
        <v>3897.1428571428569</v>
      </c>
      <c r="AJ39" s="18"/>
    </row>
    <row r="40" spans="1:40" hidden="1" x14ac:dyDescent="0.35">
      <c r="A40">
        <v>2277</v>
      </c>
      <c r="B40" t="s">
        <v>217</v>
      </c>
      <c r="C40" t="s">
        <v>219</v>
      </c>
      <c r="D40" t="s">
        <v>27</v>
      </c>
      <c r="E40" t="s">
        <v>220</v>
      </c>
      <c r="G40" t="s">
        <v>283</v>
      </c>
      <c r="H40" t="s">
        <v>29</v>
      </c>
      <c r="I40" t="s">
        <v>34</v>
      </c>
      <c r="J40" t="s">
        <v>82</v>
      </c>
      <c r="K40" t="s">
        <v>129</v>
      </c>
      <c r="L40" t="s">
        <v>129</v>
      </c>
      <c r="M40">
        <v>2017</v>
      </c>
      <c r="N40" t="s">
        <v>37</v>
      </c>
      <c r="O40" t="s">
        <v>41</v>
      </c>
      <c r="P40" t="s">
        <v>206</v>
      </c>
      <c r="R40" t="s">
        <v>200</v>
      </c>
      <c r="S40">
        <v>-12.854466</v>
      </c>
      <c r="T40">
        <v>28.212122999999998</v>
      </c>
      <c r="U40" t="s">
        <v>61</v>
      </c>
      <c r="V40" t="s">
        <v>45</v>
      </c>
      <c r="W40" t="s">
        <v>46</v>
      </c>
      <c r="X40" t="s">
        <v>156</v>
      </c>
      <c r="Y40" t="s">
        <v>157</v>
      </c>
      <c r="Z40" t="s">
        <v>158</v>
      </c>
      <c r="AA40" t="s">
        <v>53</v>
      </c>
      <c r="AB40" s="2">
        <v>5500000</v>
      </c>
      <c r="AC40" t="s">
        <v>232</v>
      </c>
      <c r="AD40">
        <f>IF(ISBLANK(AB40), "", AB40*Parameter!$H$3)/7</f>
        <v>628571.42857142852</v>
      </c>
      <c r="AE40">
        <f>IF(J40="Ore and concentrate",IF(G40="Underground", Parameter!$C$21,Parameter!$C$19), IF(F40="Smelter",Parameter!$C$10,IF(F40="Refinary",Parameter!$C$12,Parameter!$C$15)))</f>
        <v>7.2849999999999998E-2</v>
      </c>
      <c r="AF40">
        <f>IF(J40="Ore and concentrate",IF(G40="Underground",Parameter!$C$22,Parameter!$C$20),IF(F40="Smelter",Parameter!$C$11,IF(F40="Refinary",Parameter!$C$13,Parameter!$C$16)))</f>
        <v>1.333E-2</v>
      </c>
      <c r="AG40">
        <f t="shared" si="0"/>
        <v>45.791428571428568</v>
      </c>
      <c r="AH40">
        <f t="shared" si="1"/>
        <v>8.3788571428571412</v>
      </c>
      <c r="AI40" s="2">
        <f>AD40*Parameter!$H$1</f>
        <v>3897.1428571428569</v>
      </c>
      <c r="AJ40" s="18"/>
    </row>
    <row r="41" spans="1:40" x14ac:dyDescent="0.35">
      <c r="A41">
        <v>2280</v>
      </c>
      <c r="B41" t="s">
        <v>221</v>
      </c>
      <c r="C41" t="s">
        <v>43</v>
      </c>
      <c r="D41" t="s">
        <v>27</v>
      </c>
      <c r="E41" t="s">
        <v>222</v>
      </c>
      <c r="F41" t="s">
        <v>268</v>
      </c>
      <c r="G41" t="s">
        <v>276</v>
      </c>
      <c r="H41" t="s">
        <v>33</v>
      </c>
      <c r="I41" t="s">
        <v>34</v>
      </c>
      <c r="J41" t="s">
        <v>38</v>
      </c>
      <c r="K41" t="s">
        <v>36</v>
      </c>
      <c r="L41" t="s">
        <v>36</v>
      </c>
      <c r="M41">
        <v>2017</v>
      </c>
      <c r="N41" t="s">
        <v>37</v>
      </c>
      <c r="O41" t="s">
        <v>41</v>
      </c>
      <c r="P41" t="s">
        <v>226</v>
      </c>
      <c r="R41" t="s">
        <v>227</v>
      </c>
      <c r="S41">
        <v>-14.459279</v>
      </c>
      <c r="T41">
        <v>28.436986999999998</v>
      </c>
      <c r="U41" t="s">
        <v>61</v>
      </c>
      <c r="V41" t="s">
        <v>228</v>
      </c>
      <c r="W41" t="s">
        <v>46</v>
      </c>
      <c r="X41" t="s">
        <v>229</v>
      </c>
      <c r="Y41" t="s">
        <v>230</v>
      </c>
      <c r="Z41" t="s">
        <v>43</v>
      </c>
      <c r="AA41" t="s">
        <v>159</v>
      </c>
      <c r="AB41" s="2">
        <v>14000</v>
      </c>
      <c r="AC41" t="s">
        <v>232</v>
      </c>
      <c r="AD41">
        <f>IF(ISBLANK(AB41), "", AB41*Parameter!$H$3)</f>
        <v>11200</v>
      </c>
      <c r="AE41">
        <f>IF(J41="Ore and concentrate",IF(G41="Underground", Parameter!$C$21,Parameter!$C$19), IF(F41="Smelter",Parameter!$C$10,IF(F41="Refinary",Parameter!$C$12,Parameter!$C$15)))</f>
        <v>12.466000000000001</v>
      </c>
      <c r="AF41">
        <f>IF(J41="Ore and concentrate",IF(G41="Underground",Parameter!$C$22,Parameter!$C$20),IF(F41="Smelter",Parameter!$C$11,IF(F41="Refinary",Parameter!$C$13,Parameter!$C$16)))</f>
        <v>1.518</v>
      </c>
      <c r="AG41">
        <f t="shared" si="0"/>
        <v>139.61920000000001</v>
      </c>
      <c r="AH41">
        <f t="shared" si="1"/>
        <v>17.0016</v>
      </c>
    </row>
    <row r="42" spans="1:40" hidden="1" x14ac:dyDescent="0.35">
      <c r="A42">
        <v>2281</v>
      </c>
      <c r="B42" t="s">
        <v>223</v>
      </c>
      <c r="C42" t="s">
        <v>224</v>
      </c>
      <c r="D42" t="s">
        <v>27</v>
      </c>
      <c r="E42" t="s">
        <v>225</v>
      </c>
      <c r="H42" t="s">
        <v>29</v>
      </c>
      <c r="I42" t="s">
        <v>34</v>
      </c>
      <c r="J42" t="s">
        <v>82</v>
      </c>
      <c r="K42" t="s">
        <v>36</v>
      </c>
      <c r="L42" t="s">
        <v>36</v>
      </c>
      <c r="M42">
        <v>2017</v>
      </c>
      <c r="N42" t="s">
        <v>103</v>
      </c>
      <c r="O42" t="s">
        <v>41</v>
      </c>
      <c r="P42" t="s">
        <v>43</v>
      </c>
      <c r="R42" t="s">
        <v>115</v>
      </c>
      <c r="S42">
        <v>-12.256487</v>
      </c>
      <c r="T42">
        <v>25.300218000000001</v>
      </c>
      <c r="U42" t="s">
        <v>61</v>
      </c>
      <c r="V42" t="s">
        <v>133</v>
      </c>
      <c r="W42" t="s">
        <v>46</v>
      </c>
      <c r="X42" t="s">
        <v>109</v>
      </c>
      <c r="Y42" t="s">
        <v>110</v>
      </c>
      <c r="Z42" t="s">
        <v>49</v>
      </c>
      <c r="AA42" t="s">
        <v>111</v>
      </c>
      <c r="AB42" s="2"/>
      <c r="AC42" t="s">
        <v>232</v>
      </c>
      <c r="AD42" s="26">
        <f>242451/Parameter!$H$1</f>
        <v>39105000</v>
      </c>
      <c r="AE42">
        <f>IF(J42="Ore and concentrate",IF(G42="Underground", Parameter!$C$21,Parameter!$C$19), IF(F42="Smelter",Parameter!$C$10,IF(F42="Refinary",Parameter!$C$12,Parameter!$C$15)))</f>
        <v>5.9520000000000003E-2</v>
      </c>
      <c r="AF42">
        <f>IF(J42="Ore and concentrate",IF(G42="Underground",Parameter!$C$22,Parameter!$C$20),IF(F42="Smelter",Parameter!$C$11,IF(F42="Refinary",Parameter!$C$13,Parameter!$C$16)))</f>
        <v>6.3239999999999991E-2</v>
      </c>
      <c r="AG42">
        <f>IF(AD42="","", AD42*AE42/1000)</f>
        <v>2327.5296000000003</v>
      </c>
      <c r="AH42">
        <f>IF((AD42=""),"", AD42*AF42/1000)</f>
        <v>2473.0001999999995</v>
      </c>
      <c r="AI42" s="26">
        <f>AD42*Parameter!$H$1</f>
        <v>242451</v>
      </c>
      <c r="AJ42" s="25">
        <v>220006</v>
      </c>
      <c r="AK42" s="2">
        <v>56329000</v>
      </c>
      <c r="AL42" s="2">
        <v>56589000</v>
      </c>
      <c r="AM42" s="1">
        <v>232688</v>
      </c>
      <c r="AN42" s="1">
        <v>251216</v>
      </c>
    </row>
  </sheetData>
  <autoFilter ref="A1:AR42" xr:uid="{00000000-0001-0000-0000-000000000000}">
    <filterColumn colId="9">
      <filters>
        <filter val="Metal"/>
      </filters>
    </filterColumn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</autoFilter>
  <mergeCells count="5">
    <mergeCell ref="AK1:AN1"/>
    <mergeCell ref="AO1:AR1"/>
    <mergeCell ref="AK2:AL2"/>
    <mergeCell ref="AO2:AP2"/>
    <mergeCell ref="AQ2:AR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08FF-AF45-4960-8335-3F8D41862231}">
  <dimension ref="A1:AR47"/>
  <sheetViews>
    <sheetView topLeftCell="E2" workbookViewId="0">
      <selection activeCell="AL53" sqref="AL53"/>
    </sheetView>
  </sheetViews>
  <sheetFormatPr baseColWidth="10" defaultColWidth="9.1796875" defaultRowHeight="14.5" x14ac:dyDescent="0.35"/>
  <cols>
    <col min="1" max="4" width="9.1796875" hidden="1" customWidth="1"/>
    <col min="5" max="5" width="37.81640625" customWidth="1"/>
    <col min="6" max="6" width="17.7265625" bestFit="1" customWidth="1"/>
    <col min="7" max="7" width="25.26953125" customWidth="1"/>
    <col min="8" max="9" width="0" hidden="1" customWidth="1"/>
    <col min="10" max="10" width="13.81640625" customWidth="1"/>
    <col min="11" max="12" width="0" hidden="1" customWidth="1"/>
    <col min="14" max="15" width="0" hidden="1" customWidth="1"/>
    <col min="16" max="16" width="40.26953125" customWidth="1"/>
    <col min="17" max="17" width="26.54296875" customWidth="1"/>
    <col min="19" max="27" width="0" hidden="1" customWidth="1"/>
    <col min="28" max="28" width="10.1796875" bestFit="1" customWidth="1"/>
    <col min="29" max="29" width="0" hidden="1" customWidth="1"/>
    <col min="30" max="30" width="10.1796875" bestFit="1" customWidth="1"/>
    <col min="35" max="35" width="10.1796875" style="2" bestFit="1" customWidth="1"/>
    <col min="37" max="37" width="12" customWidth="1"/>
    <col min="38" max="38" width="10.1796875" bestFit="1" customWidth="1"/>
  </cols>
  <sheetData>
    <row r="1" spans="1:44" ht="3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267</v>
      </c>
      <c r="G1" t="s">
        <v>273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271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231</v>
      </c>
      <c r="AD1" t="s">
        <v>280</v>
      </c>
      <c r="AE1" s="11" t="s">
        <v>261</v>
      </c>
      <c r="AF1" s="11" t="s">
        <v>262</v>
      </c>
      <c r="AG1" s="11" t="s">
        <v>263</v>
      </c>
      <c r="AH1" s="11" t="s">
        <v>264</v>
      </c>
      <c r="AI1" s="20" t="s">
        <v>295</v>
      </c>
      <c r="AJ1" s="19" t="s">
        <v>296</v>
      </c>
      <c r="AK1" s="51" t="s">
        <v>233</v>
      </c>
      <c r="AL1" s="51"/>
      <c r="AM1" s="51"/>
      <c r="AN1" s="51"/>
      <c r="AO1" s="52" t="s">
        <v>235</v>
      </c>
      <c r="AP1" s="52"/>
      <c r="AQ1" s="52"/>
      <c r="AR1" s="52"/>
    </row>
    <row r="2" spans="1:44" x14ac:dyDescent="0.35">
      <c r="AK2" s="51" t="s">
        <v>240</v>
      </c>
      <c r="AL2" s="51"/>
      <c r="AM2" s="6" t="s">
        <v>241</v>
      </c>
      <c r="AN2" s="6" t="s">
        <v>241</v>
      </c>
      <c r="AO2" s="52" t="s">
        <v>242</v>
      </c>
      <c r="AP2" s="52"/>
      <c r="AQ2" s="52" t="s">
        <v>243</v>
      </c>
      <c r="AR2" s="52"/>
    </row>
    <row r="3" spans="1:44" x14ac:dyDescent="0.35">
      <c r="A3">
        <v>2201</v>
      </c>
      <c r="B3" t="s">
        <v>25</v>
      </c>
      <c r="C3" t="s">
        <v>26</v>
      </c>
      <c r="D3" t="s">
        <v>27</v>
      </c>
      <c r="E3" t="s">
        <v>28</v>
      </c>
      <c r="G3" t="s">
        <v>283</v>
      </c>
      <c r="H3" t="s">
        <v>29</v>
      </c>
      <c r="I3" t="s">
        <v>34</v>
      </c>
      <c r="J3" t="s">
        <v>82</v>
      </c>
      <c r="K3" t="s">
        <v>36</v>
      </c>
      <c r="L3" t="s">
        <v>36</v>
      </c>
      <c r="M3">
        <v>2017</v>
      </c>
      <c r="N3" t="s">
        <v>37</v>
      </c>
      <c r="O3" t="s">
        <v>39</v>
      </c>
      <c r="P3" t="s">
        <v>40</v>
      </c>
      <c r="Q3" t="s">
        <v>272</v>
      </c>
      <c r="R3" t="s">
        <v>43</v>
      </c>
      <c r="S3">
        <v>-13.04861</v>
      </c>
      <c r="T3">
        <v>28.338059999999999</v>
      </c>
      <c r="U3" t="s">
        <v>44</v>
      </c>
      <c r="V3" t="s">
        <v>45</v>
      </c>
      <c r="W3" t="s">
        <v>46</v>
      </c>
      <c r="X3" t="s">
        <v>47</v>
      </c>
      <c r="Y3" t="s">
        <v>48</v>
      </c>
      <c r="Z3" t="s">
        <v>49</v>
      </c>
      <c r="AA3" t="s">
        <v>53</v>
      </c>
      <c r="AB3" s="2">
        <v>1500000</v>
      </c>
      <c r="AC3" t="s">
        <v>232</v>
      </c>
      <c r="AD3">
        <f>IF(ISBLANK(AB3), "", AB3*Parameter!$H$3)</f>
        <v>1200000</v>
      </c>
      <c r="AE3">
        <f>IF(J3="Ore and concentrate",IF(G3="Open Pit", Parameter!$C$19,Parameter!$C$21), IF(F3="Smelter",Parameter!$C$10,IF(F3="Refinary",Parameter!$C$12,Parameter!$C$15)))</f>
        <v>7.2849999999999998E-2</v>
      </c>
      <c r="AF3">
        <f>IF(J3="Ore and concentrate",IF(G3="Open Pit",Parameter!$C$20,Parameter!$C$22),IF(F3="Smelter",Parameter!$C$11,IF(F3="Refinary",Parameter!$C$13,Parameter!$C$16)))</f>
        <v>1.333E-2</v>
      </c>
      <c r="AG3">
        <f>IF(AD3="","", AD3*AE3/1000)</f>
        <v>87.42</v>
      </c>
      <c r="AH3">
        <f>IF((AD3=""),"", AD3*AF3/1000)</f>
        <v>15.996</v>
      </c>
      <c r="AI3" s="2">
        <f>AD3*Parameter!$H$1</f>
        <v>7440</v>
      </c>
      <c r="AJ3" s="2">
        <v>1294</v>
      </c>
      <c r="AK3" t="s">
        <v>103</v>
      </c>
      <c r="AL3" t="s">
        <v>103</v>
      </c>
      <c r="AM3" s="1">
        <v>13836</v>
      </c>
      <c r="AN3" s="1">
        <v>13612</v>
      </c>
      <c r="AO3" t="s">
        <v>238</v>
      </c>
      <c r="AP3" t="s">
        <v>236</v>
      </c>
      <c r="AQ3" s="2">
        <v>725000</v>
      </c>
      <c r="AR3" t="s">
        <v>236</v>
      </c>
    </row>
    <row r="4" spans="1:44" x14ac:dyDescent="0.35">
      <c r="A4">
        <v>2202</v>
      </c>
      <c r="B4" t="s">
        <v>30</v>
      </c>
      <c r="C4" t="s">
        <v>31</v>
      </c>
      <c r="D4" t="s">
        <v>27</v>
      </c>
      <c r="E4" t="s">
        <v>32</v>
      </c>
      <c r="F4" t="s">
        <v>268</v>
      </c>
      <c r="G4" t="s">
        <v>275</v>
      </c>
      <c r="H4" t="s">
        <v>33</v>
      </c>
      <c r="I4" t="s">
        <v>34</v>
      </c>
      <c r="J4" t="s">
        <v>38</v>
      </c>
      <c r="K4" t="s">
        <v>36</v>
      </c>
      <c r="L4" t="s">
        <v>36</v>
      </c>
      <c r="M4">
        <v>2017</v>
      </c>
      <c r="N4" t="s">
        <v>37</v>
      </c>
      <c r="O4" t="s">
        <v>41</v>
      </c>
      <c r="P4" t="s">
        <v>42</v>
      </c>
      <c r="R4" t="s">
        <v>43</v>
      </c>
      <c r="S4">
        <v>-13.042299999999999</v>
      </c>
      <c r="T4">
        <v>28.709353</v>
      </c>
      <c r="U4" t="s">
        <v>44</v>
      </c>
      <c r="V4" t="s">
        <v>50</v>
      </c>
      <c r="W4" t="s">
        <v>46</v>
      </c>
      <c r="X4" t="s">
        <v>51</v>
      </c>
      <c r="Y4" t="s">
        <v>52</v>
      </c>
      <c r="Z4" t="s">
        <v>43</v>
      </c>
      <c r="AA4" t="s">
        <v>53</v>
      </c>
      <c r="AB4" s="2">
        <v>52000</v>
      </c>
      <c r="AC4" t="s">
        <v>232</v>
      </c>
      <c r="AD4" s="2">
        <f>IF(ISBLANK(AB4), "", AB4*Parameter!$H$3)</f>
        <v>41600</v>
      </c>
      <c r="AE4">
        <f>IF(J4="Ore and concentrate",IF(G4="Open Pit", Parameter!$C$19,Parameter!$C$21), IF(F4="Smelter",Parameter!$C$10,IF(F4="Refinary",Parameter!$C$12,Parameter!$C$15)))</f>
        <v>12.466000000000001</v>
      </c>
      <c r="AF4">
        <f>IF(J4="Ore and concentrate",IF(G4="Open Pit",Parameter!$C$20,Parameter!$C$22),IF(F4="Smelter",Parameter!$C$11,IF(F4="Refinary",Parameter!$C$13,Parameter!$C$16)))</f>
        <v>1.518</v>
      </c>
      <c r="AG4">
        <f t="shared" ref="AG4:AG41" si="0">IF(AD4="","", AD4*AE4/1000)</f>
        <v>518.5856</v>
      </c>
      <c r="AH4">
        <f t="shared" ref="AH4:AH41" si="1">IF((AD4=""),"", AD4*AF4/1000)</f>
        <v>63.148800000000001</v>
      </c>
      <c r="AM4" t="s">
        <v>234</v>
      </c>
      <c r="AN4" t="s">
        <v>234</v>
      </c>
      <c r="AO4" s="2">
        <v>10000</v>
      </c>
      <c r="AP4" t="s">
        <v>236</v>
      </c>
    </row>
    <row r="5" spans="1:44" x14ac:dyDescent="0.35">
      <c r="A5">
        <v>2205</v>
      </c>
      <c r="B5" t="s">
        <v>54</v>
      </c>
      <c r="C5" t="s">
        <v>55</v>
      </c>
      <c r="D5" t="s">
        <v>27</v>
      </c>
      <c r="E5" t="s">
        <v>56</v>
      </c>
      <c r="F5" t="s">
        <v>268</v>
      </c>
      <c r="H5" t="s">
        <v>33</v>
      </c>
      <c r="I5" t="s">
        <v>34</v>
      </c>
      <c r="J5" t="s">
        <v>38</v>
      </c>
      <c r="K5" t="s">
        <v>36</v>
      </c>
      <c r="L5" t="s">
        <v>36</v>
      </c>
      <c r="M5">
        <v>2017</v>
      </c>
      <c r="N5" t="s">
        <v>37</v>
      </c>
      <c r="O5" t="s">
        <v>41</v>
      </c>
      <c r="P5" t="s">
        <v>42</v>
      </c>
      <c r="R5" t="s">
        <v>43</v>
      </c>
      <c r="S5">
        <v>-12.649976000000001</v>
      </c>
      <c r="T5">
        <v>28.041173000000001</v>
      </c>
      <c r="U5" t="s">
        <v>61</v>
      </c>
      <c r="V5" t="s">
        <v>62</v>
      </c>
      <c r="W5" t="s">
        <v>46</v>
      </c>
      <c r="X5" t="s">
        <v>63</v>
      </c>
      <c r="Y5" t="s">
        <v>64</v>
      </c>
      <c r="Z5" t="s">
        <v>65</v>
      </c>
      <c r="AA5" t="s">
        <v>53</v>
      </c>
      <c r="AB5" s="2">
        <v>8000</v>
      </c>
      <c r="AC5" t="s">
        <v>232</v>
      </c>
      <c r="AD5" s="2">
        <f>IF(ISBLANK(AB5), "", AB5*Parameter!$H$3)</f>
        <v>6400</v>
      </c>
      <c r="AE5">
        <f>IF(J5="Ore and concentrate",IF(G5="Open Pit", Parameter!$C$19,Parameter!$C$21), IF(F5="Smelter",Parameter!$C$10,IF(F5="Refinary",Parameter!$C$12,Parameter!$C$15)))</f>
        <v>12.466000000000001</v>
      </c>
      <c r="AF5">
        <f>IF(J5="Ore and concentrate",IF(G5="Open Pit",Parameter!$C$20,Parameter!$C$22),IF(F5="Smelter",Parameter!$C$11,IF(F5="Refinary",Parameter!$C$13,Parameter!$C$16)))</f>
        <v>1.518</v>
      </c>
      <c r="AG5">
        <f t="shared" si="0"/>
        <v>79.78240000000001</v>
      </c>
      <c r="AH5">
        <f t="shared" si="1"/>
        <v>9.7152000000000012</v>
      </c>
      <c r="AK5" t="s">
        <v>103</v>
      </c>
      <c r="AL5" t="s">
        <v>103</v>
      </c>
      <c r="AM5" s="1">
        <v>66005</v>
      </c>
      <c r="AN5" s="1">
        <v>40163</v>
      </c>
    </row>
    <row r="6" spans="1:44" s="3" customFormat="1" x14ac:dyDescent="0.35">
      <c r="A6" s="3">
        <v>2206</v>
      </c>
      <c r="B6" s="3" t="s">
        <v>54</v>
      </c>
      <c r="C6" s="3" t="s">
        <v>43</v>
      </c>
      <c r="D6" s="3" t="s">
        <v>27</v>
      </c>
      <c r="E6" s="3" t="s">
        <v>57</v>
      </c>
      <c r="F6" t="s">
        <v>268</v>
      </c>
      <c r="G6"/>
      <c r="H6" s="3" t="s">
        <v>33</v>
      </c>
      <c r="I6" s="3" t="s">
        <v>34</v>
      </c>
      <c r="J6" s="3" t="s">
        <v>38</v>
      </c>
      <c r="K6" s="3" t="s">
        <v>36</v>
      </c>
      <c r="L6" s="3" t="s">
        <v>36</v>
      </c>
      <c r="M6" s="3">
        <v>2017</v>
      </c>
      <c r="N6" s="3" t="s">
        <v>37</v>
      </c>
      <c r="O6" s="3" t="s">
        <v>41</v>
      </c>
      <c r="P6" s="3" t="s">
        <v>59</v>
      </c>
      <c r="R6" s="3" t="s">
        <v>66</v>
      </c>
      <c r="S6" s="3">
        <v>-12.649976000000001</v>
      </c>
      <c r="T6" s="3">
        <v>28.041173000000001</v>
      </c>
      <c r="U6" s="3" t="s">
        <v>61</v>
      </c>
      <c r="V6" s="3" t="s">
        <v>50</v>
      </c>
      <c r="W6" s="3" t="s">
        <v>46</v>
      </c>
      <c r="X6" s="3" t="s">
        <v>67</v>
      </c>
      <c r="Y6" s="3" t="s">
        <v>68</v>
      </c>
      <c r="Z6" s="3" t="s">
        <v>69</v>
      </c>
      <c r="AA6" s="3" t="s">
        <v>53</v>
      </c>
      <c r="AB6" s="4">
        <v>27000</v>
      </c>
      <c r="AC6" s="3" t="s">
        <v>232</v>
      </c>
      <c r="AD6" s="2">
        <f>IF(ISBLANK(AB6), "", AB6*Parameter!$H$3)</f>
        <v>21600</v>
      </c>
      <c r="AE6">
        <f>IF(J6="Ore and concentrate",IF(G6="Open Pit", Parameter!$C$19,Parameter!$C$21), IF(F6="Smelter",Parameter!$C$10,IF(F6="Refinary",Parameter!$C$12,Parameter!$C$15)))</f>
        <v>12.466000000000001</v>
      </c>
      <c r="AF6">
        <f>IF(J6="Ore and concentrate",IF(G6="Open Pit",Parameter!$C$20,Parameter!$C$22),IF(F6="Smelter",Parameter!$C$11,IF(F6="Refinary",Parameter!$C$13,Parameter!$C$16)))</f>
        <v>1.518</v>
      </c>
      <c r="AG6">
        <f t="shared" si="0"/>
        <v>269.26560000000006</v>
      </c>
      <c r="AH6">
        <f t="shared" si="1"/>
        <v>32.788800000000002</v>
      </c>
      <c r="AI6" s="2"/>
    </row>
    <row r="7" spans="1:44" x14ac:dyDescent="0.35">
      <c r="A7">
        <v>2207</v>
      </c>
      <c r="B7" t="s">
        <v>54</v>
      </c>
      <c r="C7" t="s">
        <v>43</v>
      </c>
      <c r="D7" t="s">
        <v>27</v>
      </c>
      <c r="E7" t="s">
        <v>58</v>
      </c>
      <c r="F7" t="s">
        <v>257</v>
      </c>
      <c r="H7" t="s">
        <v>33</v>
      </c>
      <c r="I7" t="s">
        <v>34</v>
      </c>
      <c r="J7" t="s">
        <v>38</v>
      </c>
      <c r="K7" t="s">
        <v>36</v>
      </c>
      <c r="L7" t="s">
        <v>36</v>
      </c>
      <c r="M7">
        <v>2017</v>
      </c>
      <c r="N7" t="s">
        <v>37</v>
      </c>
      <c r="O7" t="s">
        <v>41</v>
      </c>
      <c r="P7" t="s">
        <v>60</v>
      </c>
      <c r="R7" t="s">
        <v>43</v>
      </c>
      <c r="S7">
        <v>-12.649976000000001</v>
      </c>
      <c r="T7">
        <v>28.041173000000001</v>
      </c>
      <c r="U7" t="s">
        <v>61</v>
      </c>
      <c r="V7" t="s">
        <v>50</v>
      </c>
      <c r="W7" t="s">
        <v>46</v>
      </c>
      <c r="X7" t="s">
        <v>70</v>
      </c>
      <c r="Y7" t="s">
        <v>71</v>
      </c>
      <c r="Z7" t="s">
        <v>72</v>
      </c>
      <c r="AA7" t="s">
        <v>53</v>
      </c>
      <c r="AB7" s="2">
        <v>250000</v>
      </c>
      <c r="AC7" t="s">
        <v>232</v>
      </c>
      <c r="AD7" s="2">
        <f>IF(ISBLANK(AB7), "", AB7*Parameter!$H$3)</f>
        <v>200000</v>
      </c>
      <c r="AE7">
        <f>IF(J7="Ore and concentrate",IF(G7="Open Pit", Parameter!$C$19,Parameter!$C$21), IF(F7="Smelter",Parameter!$C$10,IF(F7="Refinary",Parameter!$C$12,Parameter!$C$15)))</f>
        <v>9.266</v>
      </c>
      <c r="AF7">
        <f>IF(J7="Ore and concentrate",IF(G7="Open Pit",Parameter!$C$20,Parameter!$C$22),IF(F7="Smelter",Parameter!$C$11,IF(F7="Refinary",Parameter!$C$13,Parameter!$C$16)))</f>
        <v>1.518</v>
      </c>
      <c r="AG7">
        <f t="shared" si="0"/>
        <v>1853.2</v>
      </c>
      <c r="AH7">
        <f t="shared" si="1"/>
        <v>303.60000000000002</v>
      </c>
      <c r="AM7" s="5" t="s">
        <v>103</v>
      </c>
      <c r="AN7" s="5" t="s">
        <v>103</v>
      </c>
    </row>
    <row r="8" spans="1:44" x14ac:dyDescent="0.35">
      <c r="A8">
        <v>2209</v>
      </c>
      <c r="B8" t="s">
        <v>73</v>
      </c>
      <c r="C8" t="s">
        <v>74</v>
      </c>
      <c r="D8" t="s">
        <v>27</v>
      </c>
      <c r="E8" t="s">
        <v>75</v>
      </c>
      <c r="H8" t="s">
        <v>29</v>
      </c>
      <c r="I8" t="s">
        <v>34</v>
      </c>
      <c r="J8" t="s">
        <v>82</v>
      </c>
      <c r="K8" t="s">
        <v>36</v>
      </c>
      <c r="L8" t="s">
        <v>36</v>
      </c>
      <c r="M8">
        <v>2017</v>
      </c>
      <c r="N8" t="s">
        <v>37</v>
      </c>
      <c r="O8" t="s">
        <v>41</v>
      </c>
      <c r="P8" s="12" t="s">
        <v>83</v>
      </c>
      <c r="Q8" s="2">
        <f>Parameter!$H$1/Parameter!$H$2*Calib7!AD8</f>
        <v>35464</v>
      </c>
      <c r="R8" t="s">
        <v>85</v>
      </c>
      <c r="S8">
        <v>-12.658916</v>
      </c>
      <c r="T8">
        <v>28.047927000000001</v>
      </c>
      <c r="U8" t="s">
        <v>61</v>
      </c>
      <c r="V8" t="s">
        <v>45</v>
      </c>
      <c r="W8" t="s">
        <v>46</v>
      </c>
      <c r="X8" t="s">
        <v>86</v>
      </c>
      <c r="Y8" t="s">
        <v>87</v>
      </c>
      <c r="Z8" t="s">
        <v>88</v>
      </c>
      <c r="AA8" t="s">
        <v>53</v>
      </c>
      <c r="AB8" s="2">
        <v>2145000</v>
      </c>
      <c r="AC8" t="s">
        <v>232</v>
      </c>
      <c r="AD8" s="2">
        <f>IF(ISBLANK(AB8), "", AB8*Parameter!$H$3)</f>
        <v>1716000</v>
      </c>
      <c r="AE8">
        <f>IF(J8="Ore and concentrate",IF(G8="Open Pit", Parameter!$C$19,Parameter!$C$21), IF(F8="Smelter",Parameter!$C$10,IF(F8="Refinary",Parameter!$C$12,Parameter!$C$15)))</f>
        <v>7.2849999999999998E-2</v>
      </c>
      <c r="AF8">
        <f>IF(J8="Ore and concentrate",IF(G8="Open Pit",Parameter!$C$20,Parameter!$C$22),IF(F8="Smelter",Parameter!$C$11,IF(F8="Refinary",Parameter!$C$13,Parameter!$C$16)))</f>
        <v>1.333E-2</v>
      </c>
      <c r="AG8">
        <f t="shared" si="0"/>
        <v>125.0106</v>
      </c>
      <c r="AH8">
        <f t="shared" si="1"/>
        <v>22.874279999999999</v>
      </c>
      <c r="AI8" s="2">
        <f>AD8*Parameter!$H$1</f>
        <v>10639.199999999999</v>
      </c>
      <c r="AJ8" s="2">
        <v>14187</v>
      </c>
      <c r="AM8" t="s">
        <v>234</v>
      </c>
      <c r="AN8" t="s">
        <v>234</v>
      </c>
    </row>
    <row r="9" spans="1:44" x14ac:dyDescent="0.35">
      <c r="A9">
        <v>2210</v>
      </c>
      <c r="B9" t="s">
        <v>76</v>
      </c>
      <c r="C9" t="s">
        <v>77</v>
      </c>
      <c r="D9" t="s">
        <v>27</v>
      </c>
      <c r="E9" t="s">
        <v>78</v>
      </c>
      <c r="H9" t="s">
        <v>29</v>
      </c>
      <c r="I9" t="s">
        <v>34</v>
      </c>
      <c r="J9" t="s">
        <v>82</v>
      </c>
      <c r="K9" t="s">
        <v>36</v>
      </c>
      <c r="L9" t="s">
        <v>36</v>
      </c>
      <c r="M9">
        <v>2017</v>
      </c>
      <c r="N9" t="s">
        <v>37</v>
      </c>
      <c r="O9" t="s">
        <v>41</v>
      </c>
      <c r="P9" t="s">
        <v>43</v>
      </c>
      <c r="R9" t="s">
        <v>89</v>
      </c>
      <c r="S9">
        <v>-12.657999999999999</v>
      </c>
      <c r="T9">
        <v>28.103000000000002</v>
      </c>
      <c r="U9" t="s">
        <v>44</v>
      </c>
      <c r="V9" t="s">
        <v>45</v>
      </c>
      <c r="W9" t="s">
        <v>46</v>
      </c>
      <c r="X9" t="s">
        <v>86</v>
      </c>
      <c r="Y9" t="s">
        <v>87</v>
      </c>
      <c r="Z9" t="s">
        <v>88</v>
      </c>
      <c r="AA9" t="s">
        <v>53</v>
      </c>
      <c r="AB9" s="2">
        <v>990000</v>
      </c>
      <c r="AC9" t="s">
        <v>232</v>
      </c>
      <c r="AD9" s="2">
        <f>IF(ISBLANK(AB9), "", AB9*Parameter!$H$3)</f>
        <v>792000</v>
      </c>
      <c r="AE9">
        <f>IF(J9="Ore and concentrate",IF(G9="Open Pit", Parameter!$C$19,Parameter!$C$21), IF(F9="Smelter",Parameter!$C$10,IF(F9="Refinary",Parameter!$C$12,Parameter!$C$15)))</f>
        <v>7.2849999999999998E-2</v>
      </c>
      <c r="AF9">
        <f>IF(J9="Ore and concentrate",IF(G9="Open Pit",Parameter!$C$20,Parameter!$C$22),IF(F9="Smelter",Parameter!$C$11,IF(F9="Refinary",Parameter!$C$13,Parameter!$C$16)))</f>
        <v>1.333E-2</v>
      </c>
      <c r="AG9">
        <f t="shared" si="0"/>
        <v>57.697199999999995</v>
      </c>
      <c r="AH9">
        <f t="shared" si="1"/>
        <v>10.557360000000001</v>
      </c>
      <c r="AI9" s="2">
        <f>AD9*Parameter!$H$1</f>
        <v>4910.3999999999996</v>
      </c>
      <c r="AJ9" s="2">
        <v>1294</v>
      </c>
      <c r="AM9" s="5" t="s">
        <v>103</v>
      </c>
      <c r="AN9" s="5" t="s">
        <v>103</v>
      </c>
      <c r="AO9" s="2">
        <v>450000</v>
      </c>
      <c r="AP9" t="s">
        <v>236</v>
      </c>
      <c r="AQ9" s="2">
        <v>8400</v>
      </c>
      <c r="AR9" t="s">
        <v>236</v>
      </c>
    </row>
    <row r="10" spans="1:44" x14ac:dyDescent="0.35">
      <c r="A10">
        <v>2211</v>
      </c>
      <c r="B10" t="s">
        <v>79</v>
      </c>
      <c r="C10" t="s">
        <v>80</v>
      </c>
      <c r="D10" t="s">
        <v>27</v>
      </c>
      <c r="E10" t="s">
        <v>81</v>
      </c>
      <c r="H10" t="s">
        <v>29</v>
      </c>
      <c r="I10" t="s">
        <v>34</v>
      </c>
      <c r="J10" t="s">
        <v>82</v>
      </c>
      <c r="K10" t="s">
        <v>36</v>
      </c>
      <c r="L10" t="s">
        <v>36</v>
      </c>
      <c r="M10">
        <v>2017</v>
      </c>
      <c r="N10" t="s">
        <v>37</v>
      </c>
      <c r="O10" t="s">
        <v>41</v>
      </c>
      <c r="P10" t="s">
        <v>84</v>
      </c>
      <c r="R10" t="s">
        <v>90</v>
      </c>
      <c r="S10">
        <v>-12.913955</v>
      </c>
      <c r="T10">
        <v>28.079191000000002</v>
      </c>
      <c r="U10" t="s">
        <v>44</v>
      </c>
      <c r="V10" t="s">
        <v>45</v>
      </c>
      <c r="W10" t="s">
        <v>46</v>
      </c>
      <c r="X10" t="s">
        <v>67</v>
      </c>
      <c r="Y10" t="s">
        <v>91</v>
      </c>
      <c r="Z10" t="s">
        <v>88</v>
      </c>
      <c r="AA10" t="s">
        <v>53</v>
      </c>
      <c r="AB10" s="2">
        <v>600000</v>
      </c>
      <c r="AC10" t="s">
        <v>232</v>
      </c>
      <c r="AD10" s="2">
        <f>IF(ISBLANK(AB10), "", AB10*Parameter!$H$3)</f>
        <v>480000</v>
      </c>
      <c r="AE10">
        <f>IF(J10="Ore and concentrate",IF(G10="Open Pit", Parameter!$C$19,Parameter!$C$21), IF(F10="Smelter",Parameter!$C$10,IF(F10="Refinary",Parameter!$C$12,Parameter!$C$15)))</f>
        <v>7.2849999999999998E-2</v>
      </c>
      <c r="AF10">
        <f>IF(J10="Ore and concentrate",IF(G10="Open Pit",Parameter!$C$20,Parameter!$C$22),IF(F10="Smelter",Parameter!$C$11,IF(F10="Refinary",Parameter!$C$13,Parameter!$C$16)))</f>
        <v>1.333E-2</v>
      </c>
      <c r="AG10">
        <f t="shared" si="0"/>
        <v>34.968000000000004</v>
      </c>
      <c r="AH10">
        <f t="shared" si="1"/>
        <v>6.3983999999999996</v>
      </c>
      <c r="AI10" s="2">
        <f>AD10*Parameter!$H$1</f>
        <v>2976</v>
      </c>
      <c r="AJ10" s="2">
        <v>8174</v>
      </c>
      <c r="AK10" s="2">
        <v>188916</v>
      </c>
      <c r="AL10" t="s">
        <v>103</v>
      </c>
      <c r="AM10" s="1">
        <v>3051</v>
      </c>
      <c r="AN10" s="1">
        <v>8023</v>
      </c>
      <c r="AQ10" s="2">
        <v>16500</v>
      </c>
      <c r="AR10" t="s">
        <v>236</v>
      </c>
    </row>
    <row r="11" spans="1:44" x14ac:dyDescent="0.35">
      <c r="A11">
        <v>2214</v>
      </c>
      <c r="B11" t="s">
        <v>92</v>
      </c>
      <c r="C11" t="s">
        <v>93</v>
      </c>
      <c r="D11" t="s">
        <v>27</v>
      </c>
      <c r="E11" t="s">
        <v>94</v>
      </c>
      <c r="G11" t="s">
        <v>284</v>
      </c>
      <c r="H11" t="s">
        <v>29</v>
      </c>
      <c r="I11" t="s">
        <v>34</v>
      </c>
      <c r="J11" t="s">
        <v>82</v>
      </c>
      <c r="K11" t="s">
        <v>36</v>
      </c>
      <c r="L11" t="s">
        <v>36</v>
      </c>
      <c r="M11">
        <v>2017</v>
      </c>
      <c r="N11" t="s">
        <v>37</v>
      </c>
      <c r="O11" t="s">
        <v>41</v>
      </c>
      <c r="P11" s="13" t="s">
        <v>95</v>
      </c>
      <c r="R11" t="s">
        <v>96</v>
      </c>
      <c r="S11">
        <v>-12.509245</v>
      </c>
      <c r="T11">
        <v>27.909251999999999</v>
      </c>
      <c r="U11" t="s">
        <v>44</v>
      </c>
      <c r="V11" t="s">
        <v>45</v>
      </c>
      <c r="W11" t="s">
        <v>46</v>
      </c>
      <c r="X11" t="s">
        <v>97</v>
      </c>
      <c r="Y11" t="s">
        <v>98</v>
      </c>
      <c r="Z11" t="s">
        <v>99</v>
      </c>
      <c r="AA11" t="s">
        <v>53</v>
      </c>
      <c r="AB11" s="2">
        <v>4500000</v>
      </c>
      <c r="AC11" t="s">
        <v>232</v>
      </c>
      <c r="AD11" s="2">
        <f>IF(ISBLANK(AB11), "", AB11*Parameter!$H$3)/2</f>
        <v>1800000</v>
      </c>
      <c r="AE11">
        <f>IF(J11="Ore and concentrate",IF(G11="Open Pit", Parameter!$C$19,Parameter!$C$21), IF(F11="Smelter",Parameter!$C$10,IF(F11="Refinary",Parameter!$C$12,Parameter!$C$15)))</f>
        <v>5.9520000000000003E-2</v>
      </c>
      <c r="AF11">
        <f>IF(J11="Ore and concentrate",IF(G11="Open Pit",Parameter!$C$20,Parameter!$C$22),IF(F11="Smelter",Parameter!$C$11,IF(F11="Refinary",Parameter!$C$13,Parameter!$C$16)))</f>
        <v>6.3239999999999991E-2</v>
      </c>
      <c r="AG11">
        <f t="shared" si="0"/>
        <v>107.136</v>
      </c>
      <c r="AH11">
        <f t="shared" si="1"/>
        <v>113.83199999999998</v>
      </c>
      <c r="AI11" s="23">
        <f>AD11*Parameter!$H$1</f>
        <v>11160</v>
      </c>
      <c r="AJ11" s="24"/>
    </row>
    <row r="12" spans="1:44" x14ac:dyDescent="0.35">
      <c r="A12">
        <v>2223</v>
      </c>
      <c r="B12" t="s">
        <v>100</v>
      </c>
      <c r="C12" t="s">
        <v>101</v>
      </c>
      <c r="D12" t="s">
        <v>27</v>
      </c>
      <c r="E12" t="s">
        <v>102</v>
      </c>
      <c r="G12" t="s">
        <v>284</v>
      </c>
      <c r="H12" t="s">
        <v>29</v>
      </c>
      <c r="I12" t="s">
        <v>34</v>
      </c>
      <c r="J12" t="s">
        <v>82</v>
      </c>
      <c r="K12" t="s">
        <v>36</v>
      </c>
      <c r="L12" t="s">
        <v>36</v>
      </c>
      <c r="M12">
        <v>2017</v>
      </c>
      <c r="N12" t="s">
        <v>103</v>
      </c>
      <c r="O12" t="s">
        <v>41</v>
      </c>
      <c r="P12" t="s">
        <v>43</v>
      </c>
      <c r="R12" t="s">
        <v>96</v>
      </c>
      <c r="S12">
        <v>-12.407088999999999</v>
      </c>
      <c r="T12">
        <v>27.880268999999998</v>
      </c>
      <c r="U12" t="s">
        <v>61</v>
      </c>
      <c r="V12" t="s">
        <v>50</v>
      </c>
      <c r="W12" t="s">
        <v>46</v>
      </c>
      <c r="X12" t="s">
        <v>97</v>
      </c>
      <c r="Y12" t="s">
        <v>98</v>
      </c>
      <c r="Z12" t="s">
        <v>99</v>
      </c>
      <c r="AA12" t="s">
        <v>53</v>
      </c>
      <c r="AB12" s="2"/>
      <c r="AC12" t="s">
        <v>232</v>
      </c>
      <c r="AD12" s="2" t="str">
        <f>IF(ISBLANK(AB12), "", AB12*Parameter!$H$3)</f>
        <v/>
      </c>
      <c r="AE12">
        <f>IF(J12="Ore and concentrate",IF(G12="Open Pit", Parameter!$C$19,Parameter!$C$21), IF(F12="Smelter",Parameter!$C$10,IF(F12="Refinary",Parameter!$C$12,Parameter!$C$15)))</f>
        <v>5.9520000000000003E-2</v>
      </c>
      <c r="AF12">
        <f>IF(J12="Ore and concentrate",IF(G12="Open Pit",Parameter!$C$20,Parameter!$C$22),IF(F12="Smelter",Parameter!$C$11,IF(F12="Refinary",Parameter!$C$13,Parameter!$C$16)))</f>
        <v>6.3239999999999991E-2</v>
      </c>
      <c r="AG12" t="str">
        <f t="shared" si="0"/>
        <v/>
      </c>
      <c r="AH12" t="str">
        <f t="shared" si="1"/>
        <v/>
      </c>
      <c r="AJ12" s="18"/>
    </row>
    <row r="13" spans="1:44" x14ac:dyDescent="0.35">
      <c r="A13">
        <v>2228</v>
      </c>
      <c r="B13" t="s">
        <v>104</v>
      </c>
      <c r="C13" t="s">
        <v>105</v>
      </c>
      <c r="D13" t="s">
        <v>27</v>
      </c>
      <c r="E13" t="s">
        <v>106</v>
      </c>
      <c r="H13" t="s">
        <v>29</v>
      </c>
      <c r="I13" t="s">
        <v>34</v>
      </c>
      <c r="J13" t="s">
        <v>82</v>
      </c>
      <c r="K13" t="s">
        <v>36</v>
      </c>
      <c r="L13" t="s">
        <v>36</v>
      </c>
      <c r="M13">
        <v>2017</v>
      </c>
      <c r="N13" t="s">
        <v>37</v>
      </c>
      <c r="O13" t="s">
        <v>41</v>
      </c>
      <c r="P13" s="12" t="s">
        <v>107</v>
      </c>
      <c r="Q13" s="2">
        <f>Calib7!AD13</f>
        <v>23593870.967741936</v>
      </c>
      <c r="R13" t="s">
        <v>108</v>
      </c>
      <c r="S13">
        <v>-12.093786</v>
      </c>
      <c r="T13">
        <v>26.429832999999999</v>
      </c>
      <c r="U13" t="s">
        <v>61</v>
      </c>
      <c r="V13" t="s">
        <v>50</v>
      </c>
      <c r="W13" t="s">
        <v>46</v>
      </c>
      <c r="X13" t="s">
        <v>109</v>
      </c>
      <c r="Y13" t="s">
        <v>110</v>
      </c>
      <c r="Z13" t="s">
        <v>49</v>
      </c>
      <c r="AA13" t="s">
        <v>111</v>
      </c>
      <c r="AB13" s="2">
        <v>12000000</v>
      </c>
      <c r="AC13" t="s">
        <v>232</v>
      </c>
      <c r="AD13" s="2">
        <f>146282/Parameter!$H$1</f>
        <v>23593870.967741936</v>
      </c>
      <c r="AE13">
        <f>IF(J13="Ore and concentrate",IF(G13="Open Pit", Parameter!$C$19,Parameter!$C$21), IF(F13="Smelter",Parameter!$C$10,IF(F13="Refinary",Parameter!$C$12,Parameter!$C$15)))</f>
        <v>7.2849999999999998E-2</v>
      </c>
      <c r="AF13">
        <f>IF(J13="Ore and concentrate",IF(G13="Open Pit",Parameter!$C$20,Parameter!$C$22),IF(F13="Smelter",Parameter!$C$11,IF(F13="Refinary",Parameter!$C$13,Parameter!$C$16)))</f>
        <v>1.333E-2</v>
      </c>
      <c r="AG13">
        <f t="shared" si="0"/>
        <v>1718.8135</v>
      </c>
      <c r="AH13">
        <f t="shared" si="1"/>
        <v>314.50630000000001</v>
      </c>
      <c r="AI13" s="26">
        <f>AD13*Parameter!$H$1</f>
        <v>146282</v>
      </c>
      <c r="AJ13" s="25">
        <v>232243</v>
      </c>
      <c r="AK13" s="2">
        <v>28151000</v>
      </c>
      <c r="AL13" s="2">
        <v>29134000</v>
      </c>
      <c r="AM13" s="1">
        <v>202159</v>
      </c>
      <c r="AN13" s="1">
        <v>221487</v>
      </c>
    </row>
    <row r="14" spans="1:44" x14ac:dyDescent="0.35">
      <c r="A14">
        <v>2230</v>
      </c>
      <c r="B14" t="s">
        <v>112</v>
      </c>
      <c r="C14" t="s">
        <v>113</v>
      </c>
      <c r="D14" t="s">
        <v>27</v>
      </c>
      <c r="E14" t="s">
        <v>114</v>
      </c>
      <c r="F14" t="s">
        <v>257</v>
      </c>
      <c r="H14" t="s">
        <v>33</v>
      </c>
      <c r="I14" t="s">
        <v>34</v>
      </c>
      <c r="J14" t="s">
        <v>38</v>
      </c>
      <c r="K14" t="s">
        <v>36</v>
      </c>
      <c r="L14" t="s">
        <v>36</v>
      </c>
      <c r="M14">
        <v>2017</v>
      </c>
      <c r="N14" t="s">
        <v>37</v>
      </c>
      <c r="O14" t="s">
        <v>41</v>
      </c>
      <c r="P14" t="s">
        <v>42</v>
      </c>
      <c r="R14" t="s">
        <v>115</v>
      </c>
      <c r="S14">
        <v>-12.088361000000001</v>
      </c>
      <c r="T14">
        <v>26.408977</v>
      </c>
      <c r="U14" t="s">
        <v>61</v>
      </c>
      <c r="V14" t="s">
        <v>50</v>
      </c>
      <c r="W14" t="s">
        <v>46</v>
      </c>
      <c r="X14" t="s">
        <v>109</v>
      </c>
      <c r="Y14" t="s">
        <v>110</v>
      </c>
      <c r="Z14" t="s">
        <v>49</v>
      </c>
      <c r="AA14" t="s">
        <v>111</v>
      </c>
      <c r="AB14" s="2">
        <v>340000</v>
      </c>
      <c r="AC14" t="s">
        <v>232</v>
      </c>
      <c r="AD14" s="2">
        <f>IF(ISBLANK(AB14), "", AB14*Parameter!$H$3)</f>
        <v>272000</v>
      </c>
      <c r="AE14">
        <f>IF(J14="Ore and concentrate",IF(G14="Open Pit", Parameter!$C$19,Parameter!$C$21), IF(F14="Smelter",Parameter!$C$10,IF(F14="Refinary",Parameter!$C$12,Parameter!$C$15)))</f>
        <v>9.266</v>
      </c>
      <c r="AF14">
        <f>IF(J14="Ore and concentrate",IF(G14="Open Pit",Parameter!$C$20,Parameter!$C$22),IF(F14="Smelter",Parameter!$C$11,IF(F14="Refinary",Parameter!$C$13,Parameter!$C$16)))</f>
        <v>1.518</v>
      </c>
      <c r="AG14">
        <f t="shared" si="0"/>
        <v>2520.3519999999999</v>
      </c>
      <c r="AH14">
        <f t="shared" si="1"/>
        <v>412.89600000000002</v>
      </c>
    </row>
    <row r="15" spans="1:44" x14ac:dyDescent="0.35">
      <c r="A15">
        <v>2234</v>
      </c>
      <c r="B15" t="s">
        <v>116</v>
      </c>
      <c r="C15" t="s">
        <v>117</v>
      </c>
      <c r="D15" t="s">
        <v>27</v>
      </c>
      <c r="E15" t="s">
        <v>118</v>
      </c>
      <c r="H15" t="s">
        <v>29</v>
      </c>
      <c r="I15" t="s">
        <v>34</v>
      </c>
      <c r="J15" t="s">
        <v>82</v>
      </c>
      <c r="K15" t="s">
        <v>36</v>
      </c>
      <c r="L15" t="s">
        <v>36</v>
      </c>
      <c r="M15">
        <v>2017</v>
      </c>
      <c r="N15" t="s">
        <v>37</v>
      </c>
      <c r="O15" t="s">
        <v>41</v>
      </c>
      <c r="P15" t="s">
        <v>43</v>
      </c>
      <c r="R15" t="s">
        <v>132</v>
      </c>
      <c r="S15">
        <v>-12.378788999999999</v>
      </c>
      <c r="T15">
        <v>27.826968000000001</v>
      </c>
      <c r="U15" t="s">
        <v>61</v>
      </c>
      <c r="V15" t="s">
        <v>133</v>
      </c>
      <c r="W15" t="s">
        <v>46</v>
      </c>
      <c r="X15" t="s">
        <v>97</v>
      </c>
      <c r="Y15" t="s">
        <v>98</v>
      </c>
      <c r="Z15" t="s">
        <v>99</v>
      </c>
      <c r="AA15" t="s">
        <v>53</v>
      </c>
      <c r="AB15" s="2">
        <v>2400000</v>
      </c>
      <c r="AC15" t="s">
        <v>232</v>
      </c>
      <c r="AD15" s="2">
        <f>IF(ISBLANK(AB15), "", AB15*Parameter!$H$3)</f>
        <v>1920000</v>
      </c>
      <c r="AE15">
        <f>IF(J15="Ore and concentrate",IF(G15="Open Pit", Parameter!$C$19,Parameter!$C$21), IF(F15="Smelter",Parameter!$C$10,IF(F15="Refinary",Parameter!$C$12,Parameter!$C$15)))</f>
        <v>7.2849999999999998E-2</v>
      </c>
      <c r="AF15">
        <f>IF(J15="Ore and concentrate",IF(G15="Open Pit",Parameter!$C$20,Parameter!$C$22),IF(F15="Smelter",Parameter!$C$11,IF(F15="Refinary",Parameter!$C$13,Parameter!$C$16)))</f>
        <v>1.333E-2</v>
      </c>
      <c r="AG15">
        <f t="shared" si="0"/>
        <v>139.87200000000001</v>
      </c>
      <c r="AH15">
        <f t="shared" si="1"/>
        <v>25.593599999999999</v>
      </c>
      <c r="AI15" s="23">
        <f>AD15*Parameter!$H$1</f>
        <v>11904</v>
      </c>
      <c r="AJ15" s="23">
        <v>1294</v>
      </c>
      <c r="AO15" s="2">
        <v>50000</v>
      </c>
      <c r="AP15" s="2"/>
      <c r="AQ15" s="2">
        <v>220000</v>
      </c>
    </row>
    <row r="16" spans="1:44" x14ac:dyDescent="0.35">
      <c r="A16">
        <v>2235</v>
      </c>
      <c r="B16" t="s">
        <v>119</v>
      </c>
      <c r="C16" t="s">
        <v>43</v>
      </c>
      <c r="D16" t="s">
        <v>27</v>
      </c>
      <c r="E16" t="s">
        <v>120</v>
      </c>
      <c r="G16" t="s">
        <v>281</v>
      </c>
      <c r="H16" t="s">
        <v>29</v>
      </c>
      <c r="I16" t="s">
        <v>34</v>
      </c>
      <c r="J16" t="s">
        <v>82</v>
      </c>
      <c r="K16" t="s">
        <v>129</v>
      </c>
      <c r="L16" t="s">
        <v>129</v>
      </c>
      <c r="M16">
        <v>2017</v>
      </c>
      <c r="N16" t="s">
        <v>37</v>
      </c>
      <c r="O16" t="s">
        <v>41</v>
      </c>
      <c r="P16" s="12" t="s">
        <v>130</v>
      </c>
      <c r="Q16" s="2">
        <f>Parameter!$H$1/Parameter!$H$2*Calib7!AD16</f>
        <v>8266.6666666666661</v>
      </c>
      <c r="R16" t="s">
        <v>134</v>
      </c>
      <c r="S16">
        <v>-13.068863</v>
      </c>
      <c r="T16">
        <v>28.322908999999999</v>
      </c>
      <c r="U16" t="s">
        <v>61</v>
      </c>
      <c r="V16" t="s">
        <v>133</v>
      </c>
      <c r="W16" t="s">
        <v>46</v>
      </c>
      <c r="X16" t="s">
        <v>47</v>
      </c>
      <c r="Y16" t="s">
        <v>48</v>
      </c>
      <c r="Z16" t="s">
        <v>49</v>
      </c>
      <c r="AA16" t="s">
        <v>53</v>
      </c>
      <c r="AB16" s="2">
        <v>500000</v>
      </c>
      <c r="AC16" t="s">
        <v>232</v>
      </c>
      <c r="AD16" s="2">
        <f>IF(ISBLANK(AB16), "", AB16*Parameter!$H$3)</f>
        <v>400000</v>
      </c>
      <c r="AE16">
        <f>IF(J16="Ore and concentrate",IF(G16="Open Pit", Parameter!$C$19,Parameter!$C$21), IF(F16="Smelter",Parameter!$C$10,IF(F16="Refinary",Parameter!$C$12,Parameter!$C$15)))</f>
        <v>7.2849999999999998E-2</v>
      </c>
      <c r="AF16">
        <f>IF(J16="Ore and concentrate",IF(G16="Open Pit",Parameter!$C$20,Parameter!$C$22),IF(F16="Smelter",Parameter!$C$11,IF(F16="Refinary",Parameter!$C$13,Parameter!$C$16)))</f>
        <v>1.333E-2</v>
      </c>
      <c r="AG16">
        <f t="shared" si="0"/>
        <v>29.14</v>
      </c>
      <c r="AH16">
        <f t="shared" si="1"/>
        <v>5.3319999999999999</v>
      </c>
      <c r="AI16" s="1">
        <f>AD16*Parameter!$H$1</f>
        <v>2480</v>
      </c>
      <c r="AJ16" s="18"/>
    </row>
    <row r="17" spans="1:44" x14ac:dyDescent="0.35">
      <c r="A17">
        <v>2236</v>
      </c>
      <c r="B17" t="s">
        <v>119</v>
      </c>
      <c r="C17" t="s">
        <v>121</v>
      </c>
      <c r="D17" t="s">
        <v>27</v>
      </c>
      <c r="E17" t="s">
        <v>122</v>
      </c>
      <c r="H17" t="s">
        <v>29</v>
      </c>
      <c r="I17" t="s">
        <v>34</v>
      </c>
      <c r="J17" t="s">
        <v>82</v>
      </c>
      <c r="K17" t="s">
        <v>36</v>
      </c>
      <c r="L17" t="s">
        <v>36</v>
      </c>
      <c r="M17">
        <v>2017</v>
      </c>
      <c r="N17" t="s">
        <v>37</v>
      </c>
      <c r="O17" t="s">
        <v>41</v>
      </c>
      <c r="P17" t="s">
        <v>43</v>
      </c>
      <c r="R17" t="s">
        <v>134</v>
      </c>
      <c r="S17">
        <v>-13.068863</v>
      </c>
      <c r="T17">
        <v>28.322908999999999</v>
      </c>
      <c r="U17" t="s">
        <v>61</v>
      </c>
      <c r="V17" t="s">
        <v>133</v>
      </c>
      <c r="W17" t="s">
        <v>46</v>
      </c>
      <c r="X17" t="s">
        <v>47</v>
      </c>
      <c r="Y17" t="s">
        <v>48</v>
      </c>
      <c r="Z17" t="s">
        <v>49</v>
      </c>
      <c r="AA17" t="s">
        <v>53</v>
      </c>
      <c r="AB17" s="2">
        <v>4500000</v>
      </c>
      <c r="AC17" t="s">
        <v>232</v>
      </c>
      <c r="AD17" s="2">
        <f>IF(ISBLANK(AB17), "", AB17*Parameter!$H$3)</f>
        <v>3600000</v>
      </c>
      <c r="AE17">
        <f>IF(J17="Ore and concentrate",IF(G17="Open Pit", Parameter!$C$19,Parameter!$C$21), IF(F17="Smelter",Parameter!$C$10,IF(F17="Refinary",Parameter!$C$12,Parameter!$C$15)))</f>
        <v>7.2849999999999998E-2</v>
      </c>
      <c r="AF17">
        <f>IF(J17="Ore and concentrate",IF(G17="Open Pit",Parameter!$C$20,Parameter!$C$22),IF(F17="Smelter",Parameter!$C$11,IF(F17="Refinary",Parameter!$C$13,Parameter!$C$16)))</f>
        <v>1.333E-2</v>
      </c>
      <c r="AG17">
        <f t="shared" si="0"/>
        <v>262.26</v>
      </c>
      <c r="AH17">
        <f t="shared" si="1"/>
        <v>47.988</v>
      </c>
      <c r="AI17" s="1">
        <f>AD17*Parameter!$H$1</f>
        <v>22320</v>
      </c>
      <c r="AJ17" s="18"/>
    </row>
    <row r="18" spans="1:44" x14ac:dyDescent="0.35">
      <c r="A18">
        <v>2237</v>
      </c>
      <c r="B18" t="s">
        <v>123</v>
      </c>
      <c r="C18" t="s">
        <v>124</v>
      </c>
      <c r="D18" t="s">
        <v>27</v>
      </c>
      <c r="E18" t="s">
        <v>125</v>
      </c>
      <c r="H18" t="s">
        <v>29</v>
      </c>
      <c r="I18" t="s">
        <v>34</v>
      </c>
      <c r="J18" t="s">
        <v>82</v>
      </c>
      <c r="K18" t="s">
        <v>36</v>
      </c>
      <c r="L18" t="s">
        <v>36</v>
      </c>
      <c r="M18">
        <v>2017</v>
      </c>
      <c r="N18" t="s">
        <v>37</v>
      </c>
      <c r="O18" t="s">
        <v>41</v>
      </c>
      <c r="P18" s="12" t="s">
        <v>131</v>
      </c>
      <c r="Q18" s="2">
        <f>Parameter!$H$1/Parameter!$H$2*Calib7!AD18</f>
        <v>41333.333333333336</v>
      </c>
      <c r="R18" t="s">
        <v>135</v>
      </c>
      <c r="S18">
        <v>-12.294129999999999</v>
      </c>
      <c r="T18">
        <v>27.765612000000001</v>
      </c>
      <c r="U18" t="s">
        <v>61</v>
      </c>
      <c r="V18" t="s">
        <v>50</v>
      </c>
      <c r="W18" t="s">
        <v>46</v>
      </c>
      <c r="X18" t="s">
        <v>136</v>
      </c>
      <c r="Y18" t="s">
        <v>137</v>
      </c>
      <c r="Z18" t="s">
        <v>138</v>
      </c>
      <c r="AA18" t="s">
        <v>53</v>
      </c>
      <c r="AB18" s="2">
        <v>2500000</v>
      </c>
      <c r="AC18" t="s">
        <v>232</v>
      </c>
      <c r="AD18" s="2">
        <f>IF(ISBLANK(AB18), "", AB18*Parameter!$H$3)</f>
        <v>2000000</v>
      </c>
      <c r="AE18">
        <f>IF(J18="Ore and concentrate",IF(G18="Open Pit", Parameter!$C$19,Parameter!$C$21), IF(F18="Smelter",Parameter!$C$10,IF(F18="Refinary",Parameter!$C$12,Parameter!$C$15)))</f>
        <v>7.2849999999999998E-2</v>
      </c>
      <c r="AF18">
        <f>IF(J18="Ore and concentrate",IF(G18="Open Pit",Parameter!$C$20,Parameter!$C$22),IF(F18="Smelter",Parameter!$C$11,IF(F18="Refinary",Parameter!$C$13,Parameter!$C$16)))</f>
        <v>1.333E-2</v>
      </c>
      <c r="AG18">
        <f t="shared" si="0"/>
        <v>145.69999999999999</v>
      </c>
      <c r="AH18">
        <f t="shared" si="1"/>
        <v>26.66</v>
      </c>
      <c r="AI18" s="2">
        <f>AD18*Parameter!$H$1</f>
        <v>12400</v>
      </c>
      <c r="AJ18" s="2">
        <v>1294</v>
      </c>
      <c r="AK18" s="2">
        <v>2654100</v>
      </c>
      <c r="AL18" s="2">
        <v>2520000</v>
      </c>
      <c r="AM18" s="1">
        <v>45584</v>
      </c>
      <c r="AN18" s="1">
        <v>43659</v>
      </c>
    </row>
    <row r="19" spans="1:44" x14ac:dyDescent="0.35">
      <c r="A19">
        <v>2238</v>
      </c>
      <c r="B19" t="s">
        <v>126</v>
      </c>
      <c r="C19" t="s">
        <v>127</v>
      </c>
      <c r="D19" t="s">
        <v>27</v>
      </c>
      <c r="E19" t="s">
        <v>128</v>
      </c>
      <c r="G19" t="s">
        <v>285</v>
      </c>
      <c r="H19" t="s">
        <v>29</v>
      </c>
      <c r="I19" t="s">
        <v>34</v>
      </c>
      <c r="J19" t="s">
        <v>82</v>
      </c>
      <c r="K19" t="s">
        <v>36</v>
      </c>
      <c r="L19" t="s">
        <v>36</v>
      </c>
      <c r="M19">
        <v>2017</v>
      </c>
      <c r="N19" t="s">
        <v>37</v>
      </c>
      <c r="O19" t="s">
        <v>41</v>
      </c>
      <c r="P19" t="s">
        <v>43</v>
      </c>
      <c r="R19" t="s">
        <v>139</v>
      </c>
      <c r="S19">
        <v>-12.230905</v>
      </c>
      <c r="T19">
        <v>25.817114</v>
      </c>
      <c r="U19" t="s">
        <v>61</v>
      </c>
      <c r="V19" t="s">
        <v>45</v>
      </c>
      <c r="W19" t="s">
        <v>46</v>
      </c>
      <c r="X19" t="s">
        <v>140</v>
      </c>
      <c r="Y19" t="s">
        <v>141</v>
      </c>
      <c r="Z19" t="s">
        <v>43</v>
      </c>
      <c r="AA19" t="s">
        <v>111</v>
      </c>
      <c r="AB19" s="2">
        <v>21000000</v>
      </c>
      <c r="AC19" t="s">
        <v>232</v>
      </c>
      <c r="AD19" s="2">
        <f>IF(ISBLANK(AB19), "", AB19*Parameter!$H$3)</f>
        <v>16800000</v>
      </c>
      <c r="AE19">
        <f>IF(J19="Ore and concentrate",IF(G19="Open Pit", Parameter!$C$19,Parameter!$C$21), IF(F19="Smelter",Parameter!$C$10,IF(F19="Refinary",Parameter!$C$12,Parameter!$C$15)))</f>
        <v>7.2849999999999998E-2</v>
      </c>
      <c r="AF19">
        <f>IF(J19="Ore and concentrate",IF(G19="Open Pit",Parameter!$C$20,Parameter!$C$22),IF(F19="Smelter",Parameter!$C$11,IF(F19="Refinary",Parameter!$C$13,Parameter!$C$16)))</f>
        <v>1.333E-2</v>
      </c>
      <c r="AG19">
        <f t="shared" si="0"/>
        <v>1223.8800000000001</v>
      </c>
      <c r="AH19">
        <f t="shared" si="1"/>
        <v>223.94399999999999</v>
      </c>
      <c r="AI19" s="2">
        <f>AD19*Parameter!$H$1</f>
        <v>104160</v>
      </c>
      <c r="AJ19" s="2">
        <v>107955</v>
      </c>
      <c r="AK19" t="s">
        <v>103</v>
      </c>
      <c r="AL19" s="2">
        <v>25290000</v>
      </c>
      <c r="AM19" s="1">
        <v>109769</v>
      </c>
      <c r="AN19" s="1">
        <v>125191</v>
      </c>
    </row>
    <row r="20" spans="1:44" x14ac:dyDescent="0.35">
      <c r="A20">
        <v>2243</v>
      </c>
      <c r="B20" t="s">
        <v>142</v>
      </c>
      <c r="C20" t="s">
        <v>143</v>
      </c>
      <c r="D20" t="s">
        <v>27</v>
      </c>
      <c r="E20" t="s">
        <v>144</v>
      </c>
      <c r="G20" t="s">
        <v>286</v>
      </c>
      <c r="H20" t="s">
        <v>29</v>
      </c>
      <c r="I20" t="s">
        <v>34</v>
      </c>
      <c r="J20" t="s">
        <v>82</v>
      </c>
      <c r="K20" t="s">
        <v>36</v>
      </c>
      <c r="L20" t="s">
        <v>36</v>
      </c>
      <c r="M20">
        <v>2017</v>
      </c>
      <c r="N20" t="s">
        <v>103</v>
      </c>
      <c r="O20" t="s">
        <v>41</v>
      </c>
      <c r="P20" t="s">
        <v>151</v>
      </c>
      <c r="R20" t="s">
        <v>43</v>
      </c>
      <c r="S20">
        <v>-13.944326</v>
      </c>
      <c r="T20">
        <v>29.140440000000002</v>
      </c>
      <c r="U20" t="s">
        <v>44</v>
      </c>
      <c r="V20" t="s">
        <v>50</v>
      </c>
      <c r="W20" t="s">
        <v>46</v>
      </c>
      <c r="X20" t="s">
        <v>153</v>
      </c>
      <c r="Y20" t="s">
        <v>154</v>
      </c>
      <c r="Z20" t="s">
        <v>155</v>
      </c>
      <c r="AA20" t="s">
        <v>159</v>
      </c>
      <c r="AB20" s="2"/>
      <c r="AC20" t="s">
        <v>232</v>
      </c>
      <c r="AD20" s="2" t="str">
        <f>IF(ISBLANK(AB20), "", AB20*Parameter!$H$3)</f>
        <v/>
      </c>
      <c r="AE20">
        <f>IF(J20="Ore and concentrate",IF(G20="Open Pit", Parameter!$C$19,Parameter!$C$21), IF(F20="Smelter",Parameter!$C$10,IF(F20="Refinary",Parameter!$C$12,Parameter!$C$15)))</f>
        <v>7.2849999999999998E-2</v>
      </c>
      <c r="AF20">
        <f>IF(J20="Ore and concentrate",IF(G20="Open Pit",Parameter!$C$20,Parameter!$C$22),IF(F20="Smelter",Parameter!$C$11,IF(F20="Refinary",Parameter!$C$13,Parameter!$C$16)))</f>
        <v>1.333E-2</v>
      </c>
      <c r="AG20" t="str">
        <f t="shared" si="0"/>
        <v/>
      </c>
      <c r="AH20" t="str">
        <f t="shared" si="1"/>
        <v/>
      </c>
      <c r="AJ20" s="18"/>
    </row>
    <row r="21" spans="1:44" x14ac:dyDescent="0.35">
      <c r="A21">
        <v>2244</v>
      </c>
      <c r="B21" t="s">
        <v>145</v>
      </c>
      <c r="C21" t="s">
        <v>146</v>
      </c>
      <c r="D21" t="s">
        <v>27</v>
      </c>
      <c r="E21" t="s">
        <v>147</v>
      </c>
      <c r="F21" t="s">
        <v>257</v>
      </c>
      <c r="G21" t="s">
        <v>274</v>
      </c>
      <c r="H21" t="s">
        <v>33</v>
      </c>
      <c r="I21" t="s">
        <v>34</v>
      </c>
      <c r="J21" t="s">
        <v>38</v>
      </c>
      <c r="K21" t="s">
        <v>36</v>
      </c>
      <c r="L21" t="s">
        <v>36</v>
      </c>
      <c r="M21">
        <v>2017</v>
      </c>
      <c r="N21" t="s">
        <v>37</v>
      </c>
      <c r="O21" t="s">
        <v>41</v>
      </c>
      <c r="P21" t="s">
        <v>152</v>
      </c>
      <c r="R21" t="s">
        <v>43</v>
      </c>
      <c r="S21">
        <v>-12.535</v>
      </c>
      <c r="T21">
        <v>28.234000000000002</v>
      </c>
      <c r="U21" t="s">
        <v>44</v>
      </c>
      <c r="V21" t="s">
        <v>62</v>
      </c>
      <c r="W21" t="s">
        <v>46</v>
      </c>
      <c r="X21" t="s">
        <v>156</v>
      </c>
      <c r="Y21" t="s">
        <v>157</v>
      </c>
      <c r="Z21" t="s">
        <v>158</v>
      </c>
      <c r="AA21" t="s">
        <v>53</v>
      </c>
      <c r="AB21" s="2">
        <v>200000</v>
      </c>
      <c r="AC21" t="s">
        <v>232</v>
      </c>
      <c r="AD21" s="2">
        <f>IF(ISBLANK(AB21), "", AB21*Parameter!$H$3)</f>
        <v>160000</v>
      </c>
      <c r="AE21">
        <v>6.9029999999999996</v>
      </c>
      <c r="AF21">
        <v>4.1749999999999998</v>
      </c>
      <c r="AG21">
        <f t="shared" si="0"/>
        <v>1104.48</v>
      </c>
      <c r="AH21">
        <f t="shared" si="1"/>
        <v>668</v>
      </c>
      <c r="AK21" t="s">
        <v>103</v>
      </c>
      <c r="AL21" t="s">
        <v>103</v>
      </c>
      <c r="AM21" s="5">
        <v>0</v>
      </c>
      <c r="AN21" s="5">
        <v>0</v>
      </c>
    </row>
    <row r="22" spans="1:44" x14ac:dyDescent="0.35">
      <c r="A22">
        <v>2245</v>
      </c>
      <c r="B22" t="s">
        <v>148</v>
      </c>
      <c r="C22" t="s">
        <v>149</v>
      </c>
      <c r="D22" t="s">
        <v>27</v>
      </c>
      <c r="E22" t="s">
        <v>150</v>
      </c>
      <c r="H22" t="s">
        <v>29</v>
      </c>
      <c r="I22" t="s">
        <v>34</v>
      </c>
      <c r="J22" t="s">
        <v>82</v>
      </c>
      <c r="K22" t="s">
        <v>36</v>
      </c>
      <c r="L22" t="s">
        <v>36</v>
      </c>
      <c r="M22">
        <v>2017</v>
      </c>
      <c r="N22" t="s">
        <v>37</v>
      </c>
      <c r="O22" t="s">
        <v>41</v>
      </c>
      <c r="P22" t="s">
        <v>43</v>
      </c>
      <c r="R22" t="s">
        <v>43</v>
      </c>
      <c r="S22">
        <v>-12.542415</v>
      </c>
      <c r="T22">
        <v>28.219801</v>
      </c>
      <c r="U22" t="s">
        <v>44</v>
      </c>
      <c r="V22" t="s">
        <v>50</v>
      </c>
      <c r="W22" t="s">
        <v>46</v>
      </c>
      <c r="X22" t="s">
        <v>156</v>
      </c>
      <c r="Y22" t="s">
        <v>157</v>
      </c>
      <c r="Z22" t="s">
        <v>158</v>
      </c>
      <c r="AA22" t="s">
        <v>53</v>
      </c>
      <c r="AB22" s="2">
        <v>2500000</v>
      </c>
      <c r="AC22" t="s">
        <v>232</v>
      </c>
      <c r="AD22" s="2">
        <f>IF(ISBLANK(AB22), "", AB22*Parameter!$H$3)</f>
        <v>2000000</v>
      </c>
      <c r="AE22">
        <f>IF(J22="Ore and concentrate",IF(G22="Open Pit", Parameter!$C$19,Parameter!$C$21), IF(F22="Smelter",Parameter!$C$10,IF(F22="Refinary",Parameter!$C$12,Parameter!$C$15)))</f>
        <v>7.2849999999999998E-2</v>
      </c>
      <c r="AF22">
        <f>IF(J22="Ore and concentrate",IF(G22="Open Pit",Parameter!$C$20,Parameter!$C$22),IF(F22="Smelter",Parameter!$C$11,IF(F22="Refinary",Parameter!$C$13,Parameter!$C$16)))</f>
        <v>1.333E-2</v>
      </c>
      <c r="AG22">
        <f t="shared" si="0"/>
        <v>145.69999999999999</v>
      </c>
      <c r="AH22">
        <f t="shared" si="1"/>
        <v>26.66</v>
      </c>
      <c r="AI22" s="22">
        <f>AD22*Parameter!$H$1</f>
        <v>12400</v>
      </c>
      <c r="AJ22" s="22">
        <v>61900</v>
      </c>
      <c r="AK22" s="2">
        <v>1440000</v>
      </c>
      <c r="AL22" t="s">
        <v>103</v>
      </c>
      <c r="AM22" s="1">
        <v>30551</v>
      </c>
      <c r="AN22" s="1">
        <v>82500</v>
      </c>
      <c r="AO22" s="2">
        <v>125000</v>
      </c>
      <c r="AP22" t="s">
        <v>236</v>
      </c>
      <c r="AQ22" s="2">
        <v>2500000</v>
      </c>
      <c r="AR22" t="s">
        <v>236</v>
      </c>
    </row>
    <row r="23" spans="1:44" x14ac:dyDescent="0.35">
      <c r="A23">
        <v>2247</v>
      </c>
      <c r="B23" t="s">
        <v>160</v>
      </c>
      <c r="C23" t="s">
        <v>161</v>
      </c>
      <c r="D23" t="s">
        <v>27</v>
      </c>
      <c r="E23" t="s">
        <v>162</v>
      </c>
      <c r="F23" t="s">
        <v>269</v>
      </c>
      <c r="H23" t="s">
        <v>33</v>
      </c>
      <c r="I23" t="s">
        <v>34</v>
      </c>
      <c r="J23" t="s">
        <v>38</v>
      </c>
      <c r="K23" t="s">
        <v>36</v>
      </c>
      <c r="L23" t="s">
        <v>36</v>
      </c>
      <c r="M23">
        <v>2017</v>
      </c>
      <c r="N23" t="s">
        <v>37</v>
      </c>
      <c r="O23" t="s">
        <v>41</v>
      </c>
      <c r="P23" t="s">
        <v>42</v>
      </c>
      <c r="R23" t="s">
        <v>43</v>
      </c>
      <c r="S23">
        <v>-12.534000000000001</v>
      </c>
      <c r="T23">
        <v>28.236999999999998</v>
      </c>
      <c r="U23" t="s">
        <v>44</v>
      </c>
      <c r="V23" t="s">
        <v>62</v>
      </c>
      <c r="W23" t="s">
        <v>46</v>
      </c>
      <c r="X23" t="s">
        <v>156</v>
      </c>
      <c r="Y23" t="s">
        <v>157</v>
      </c>
      <c r="Z23" t="s">
        <v>158</v>
      </c>
      <c r="AA23" t="s">
        <v>53</v>
      </c>
      <c r="AB23" s="2">
        <v>275000</v>
      </c>
      <c r="AC23" t="s">
        <v>232</v>
      </c>
      <c r="AD23" s="2">
        <f>IF(ISBLANK(AB23), "", AB23*Parameter!$H$3)</f>
        <v>220000</v>
      </c>
      <c r="AE23">
        <f>IF(J23="Ore and concentrate",IF(G23="Open Pit", Parameter!$C$19,Parameter!$C$21), IF(F23="Smelter",Parameter!$C$10,IF(F23="Refinary",Parameter!$C$12,Parameter!$C$15)))</f>
        <v>3.2</v>
      </c>
      <c r="AF23">
        <f>IF(J23="Ore and concentrate",IF(G23="Open Pit",Parameter!$C$20,Parameter!$C$22),IF(F23="Smelter",Parameter!$C$11,IF(F23="Refinary",Parameter!$C$13,Parameter!$C$16)))</f>
        <v>0</v>
      </c>
      <c r="AG23">
        <f t="shared" si="0"/>
        <v>704</v>
      </c>
      <c r="AH23">
        <f t="shared" si="1"/>
        <v>0</v>
      </c>
      <c r="AM23" t="s">
        <v>234</v>
      </c>
      <c r="AN23" t="s">
        <v>234</v>
      </c>
      <c r="AO23" s="2">
        <v>270000</v>
      </c>
      <c r="AP23" t="s">
        <v>236</v>
      </c>
    </row>
    <row r="24" spans="1:44" x14ac:dyDescent="0.35">
      <c r="A24">
        <v>2248</v>
      </c>
      <c r="B24" t="s">
        <v>163</v>
      </c>
      <c r="C24" t="s">
        <v>164</v>
      </c>
      <c r="D24" t="s">
        <v>27</v>
      </c>
      <c r="E24" t="s">
        <v>165</v>
      </c>
      <c r="F24" t="s">
        <v>270</v>
      </c>
      <c r="G24" s="3" t="s">
        <v>279</v>
      </c>
      <c r="H24" t="s">
        <v>33</v>
      </c>
      <c r="I24" t="s">
        <v>34</v>
      </c>
      <c r="J24" t="s">
        <v>38</v>
      </c>
      <c r="K24" t="s">
        <v>36</v>
      </c>
      <c r="L24" t="s">
        <v>36</v>
      </c>
      <c r="M24">
        <v>2017</v>
      </c>
      <c r="N24" t="s">
        <v>103</v>
      </c>
      <c r="O24" t="s">
        <v>41</v>
      </c>
      <c r="P24" t="s">
        <v>43</v>
      </c>
      <c r="R24" t="s">
        <v>237</v>
      </c>
      <c r="S24">
        <v>-12.533671</v>
      </c>
      <c r="T24">
        <v>28.238890999999999</v>
      </c>
      <c r="U24" t="s">
        <v>44</v>
      </c>
      <c r="V24" t="s">
        <v>62</v>
      </c>
      <c r="W24" t="s">
        <v>46</v>
      </c>
      <c r="X24" t="s">
        <v>156</v>
      </c>
      <c r="Y24" t="s">
        <v>157</v>
      </c>
      <c r="Z24" t="s">
        <v>158</v>
      </c>
      <c r="AA24" t="s">
        <v>53</v>
      </c>
      <c r="AB24" s="2"/>
      <c r="AC24" t="s">
        <v>232</v>
      </c>
      <c r="AD24" s="2" t="str">
        <f>IF(ISBLANK(AB24), "", AB24*Parameter!$H$3)</f>
        <v/>
      </c>
      <c r="AE24">
        <f>IF(J24="Ore and concentrate",IF(G24="Open Pit", Parameter!$C$19,Parameter!$C$21), IF(F24="Smelter",Parameter!$C$10,IF(F24="Refinary",Parameter!$C$12,Parameter!$C$15)))</f>
        <v>12.466000000000001</v>
      </c>
      <c r="AF24">
        <f>IF(J24="Ore and concentrate",IF(G24="Open Pit",Parameter!$C$20,Parameter!$C$22),IF(F24="Smelter",Parameter!$C$11,IF(F24="Refinary",Parameter!$C$13,Parameter!$C$16)))</f>
        <v>1.518</v>
      </c>
      <c r="AG24" t="str">
        <f t="shared" si="0"/>
        <v/>
      </c>
      <c r="AH24" t="str">
        <f t="shared" si="1"/>
        <v/>
      </c>
      <c r="AM24" t="s">
        <v>234</v>
      </c>
      <c r="AN24" t="s">
        <v>234</v>
      </c>
      <c r="AO24" t="s">
        <v>103</v>
      </c>
      <c r="AP24" t="s">
        <v>236</v>
      </c>
    </row>
    <row r="25" spans="1:44" x14ac:dyDescent="0.35">
      <c r="A25">
        <v>2249</v>
      </c>
      <c r="B25" t="s">
        <v>166</v>
      </c>
      <c r="C25" t="s">
        <v>167</v>
      </c>
      <c r="D25" t="s">
        <v>27</v>
      </c>
      <c r="E25" t="s">
        <v>168</v>
      </c>
      <c r="F25" t="s">
        <v>268</v>
      </c>
      <c r="G25" t="s">
        <v>278</v>
      </c>
      <c r="H25" t="s">
        <v>33</v>
      </c>
      <c r="I25" t="s">
        <v>34</v>
      </c>
      <c r="J25" t="s">
        <v>38</v>
      </c>
      <c r="K25" t="s">
        <v>36</v>
      </c>
      <c r="L25" t="s">
        <v>36</v>
      </c>
      <c r="M25">
        <v>2017</v>
      </c>
      <c r="N25" t="s">
        <v>37</v>
      </c>
      <c r="O25" t="s">
        <v>41</v>
      </c>
      <c r="P25" t="s">
        <v>42</v>
      </c>
      <c r="R25" t="s">
        <v>134</v>
      </c>
      <c r="S25">
        <v>-13.06861</v>
      </c>
      <c r="T25">
        <v>28.32583</v>
      </c>
      <c r="U25" t="s">
        <v>44</v>
      </c>
      <c r="V25" t="s">
        <v>62</v>
      </c>
      <c r="W25" t="s">
        <v>46</v>
      </c>
      <c r="X25" t="s">
        <v>47</v>
      </c>
      <c r="Y25" t="s">
        <v>169</v>
      </c>
      <c r="Z25" t="s">
        <v>43</v>
      </c>
      <c r="AA25" t="s">
        <v>53</v>
      </c>
      <c r="AB25" s="2">
        <v>40000</v>
      </c>
      <c r="AC25" t="s">
        <v>232</v>
      </c>
      <c r="AD25" s="2">
        <f>IF(ISBLANK(AB25), "", AB25*Parameter!$H$3)</f>
        <v>32000</v>
      </c>
      <c r="AE25">
        <f>IF(J25="Ore and concentrate",IF(G25="Open Pit", Parameter!$C$19,Parameter!$C$21), IF(F25="Smelter",Parameter!$C$10,IF(F25="Refinary",Parameter!$C$12,Parameter!$C$15)))</f>
        <v>12.466000000000001</v>
      </c>
      <c r="AF25">
        <f>IF(J25="Ore and concentrate",IF(G25="Open Pit",Parameter!$C$20,Parameter!$C$22),IF(F25="Smelter",Parameter!$C$11,IF(F25="Refinary",Parameter!$C$13,Parameter!$C$16)))</f>
        <v>1.518</v>
      </c>
      <c r="AG25">
        <f t="shared" si="0"/>
        <v>398.91200000000003</v>
      </c>
      <c r="AH25">
        <f t="shared" si="1"/>
        <v>48.576000000000001</v>
      </c>
      <c r="AJ25" s="1">
        <v>41876</v>
      </c>
      <c r="AO25" s="2">
        <v>34000</v>
      </c>
      <c r="AP25" t="s">
        <v>236</v>
      </c>
    </row>
    <row r="26" spans="1:44" x14ac:dyDescent="0.35">
      <c r="A26">
        <v>2251</v>
      </c>
      <c r="B26" t="s">
        <v>170</v>
      </c>
      <c r="C26" t="s">
        <v>171</v>
      </c>
      <c r="D26" t="s">
        <v>27</v>
      </c>
      <c r="E26" t="s">
        <v>172</v>
      </c>
      <c r="H26" t="s">
        <v>29</v>
      </c>
      <c r="I26" t="s">
        <v>34</v>
      </c>
      <c r="J26" t="s">
        <v>38</v>
      </c>
      <c r="K26" s="3" t="s">
        <v>36</v>
      </c>
      <c r="L26" s="3" t="s">
        <v>36</v>
      </c>
      <c r="M26">
        <v>2017</v>
      </c>
      <c r="N26" s="3" t="s">
        <v>37</v>
      </c>
      <c r="O26" s="3" t="s">
        <v>39</v>
      </c>
      <c r="P26" t="s">
        <v>174</v>
      </c>
      <c r="Q26" t="s">
        <v>294</v>
      </c>
      <c r="R26" t="s">
        <v>175</v>
      </c>
      <c r="S26" s="3">
        <v>-15.925446000000001</v>
      </c>
      <c r="T26" s="3">
        <v>28.129807</v>
      </c>
      <c r="U26" s="3" t="s">
        <v>61</v>
      </c>
      <c r="V26" s="3" t="s">
        <v>50</v>
      </c>
      <c r="W26" s="3" t="s">
        <v>46</v>
      </c>
      <c r="X26" s="3" t="s">
        <v>176</v>
      </c>
      <c r="Y26" s="3" t="s">
        <v>177</v>
      </c>
      <c r="Z26" s="3" t="s">
        <v>43</v>
      </c>
      <c r="AA26" s="3" t="s">
        <v>178</v>
      </c>
      <c r="AB26" s="2">
        <v>1700</v>
      </c>
      <c r="AC26" t="s">
        <v>232</v>
      </c>
      <c r="AD26" s="2">
        <f>IF(ISBLANK(AB26), "", AB26*Parameter!$H$3)</f>
        <v>1360</v>
      </c>
      <c r="AE26">
        <f>IF(J26="Ore and concentrate",IF(G26="Open Pit", Parameter!$C$19,Parameter!$C$21), IF(F26="Smelter",Parameter!$C$10,IF(F26="Refinary",Parameter!$C$12,Parameter!$C$15)))</f>
        <v>12.466000000000001</v>
      </c>
      <c r="AF26">
        <f>IF(J26="Ore and concentrate",IF(G26="Open Pit",Parameter!$C$20,Parameter!$C$22),IF(F26="Smelter",Parameter!$C$11,IF(F26="Refinary",Parameter!$C$13,Parameter!$C$16)))</f>
        <v>1.518</v>
      </c>
      <c r="AG26">
        <f t="shared" si="0"/>
        <v>16.953760000000003</v>
      </c>
      <c r="AH26">
        <f t="shared" si="1"/>
        <v>2.0644800000000001</v>
      </c>
      <c r="AJ26" s="2">
        <v>1338</v>
      </c>
      <c r="AK26" s="2">
        <v>175000</v>
      </c>
      <c r="AL26" s="2">
        <v>312500</v>
      </c>
      <c r="AM26" s="5" t="s">
        <v>103</v>
      </c>
      <c r="AN26" s="5" t="s">
        <v>103</v>
      </c>
    </row>
    <row r="27" spans="1:44" x14ac:dyDescent="0.35">
      <c r="A27">
        <v>2253</v>
      </c>
      <c r="B27" t="s">
        <v>179</v>
      </c>
      <c r="C27" t="s">
        <v>180</v>
      </c>
      <c r="D27" t="s">
        <v>27</v>
      </c>
      <c r="E27" t="s">
        <v>181</v>
      </c>
      <c r="F27" t="s">
        <v>257</v>
      </c>
      <c r="H27" t="s">
        <v>29</v>
      </c>
      <c r="I27" t="s">
        <v>34</v>
      </c>
      <c r="J27" t="s">
        <v>38</v>
      </c>
      <c r="K27" t="s">
        <v>36</v>
      </c>
      <c r="L27" t="s">
        <v>36</v>
      </c>
      <c r="M27">
        <v>2017</v>
      </c>
      <c r="N27" t="s">
        <v>37</v>
      </c>
      <c r="O27" t="s">
        <v>41</v>
      </c>
      <c r="P27" t="s">
        <v>43</v>
      </c>
      <c r="R27" t="s">
        <v>182</v>
      </c>
      <c r="S27">
        <v>-12.72194</v>
      </c>
      <c r="T27">
        <v>27.968019999999999</v>
      </c>
      <c r="U27" t="s">
        <v>44</v>
      </c>
      <c r="V27" t="s">
        <v>62</v>
      </c>
      <c r="W27" t="s">
        <v>46</v>
      </c>
      <c r="X27" t="s">
        <v>63</v>
      </c>
      <c r="Y27" t="s">
        <v>64</v>
      </c>
      <c r="Z27" t="s">
        <v>65</v>
      </c>
      <c r="AA27" t="s">
        <v>53</v>
      </c>
      <c r="AB27" s="2">
        <v>600000</v>
      </c>
      <c r="AC27" t="s">
        <v>232</v>
      </c>
      <c r="AD27" s="22">
        <f>IF(ISBLANK(AB27), "", AB27*Parameter!$H$3)</f>
        <v>480000</v>
      </c>
      <c r="AE27">
        <f>IF(J27="Ore and concentrate",IF(G27="Open Pit", Parameter!$C$19,Parameter!$C$21), IF(F27="Smelter",Parameter!$C$10,IF(F27="Refinary",Parameter!$C$12,Parameter!$C$15)))</f>
        <v>9.266</v>
      </c>
      <c r="AF27">
        <f>IF(J27="Ore and concentrate",IF(G27="Open Pit",Parameter!$C$20,Parameter!$C$22),IF(F27="Smelter",Parameter!$C$11,IF(F27="Refinary",Parameter!$C$13,Parameter!$C$16)))</f>
        <v>1.518</v>
      </c>
      <c r="AG27">
        <f t="shared" si="0"/>
        <v>4447.68</v>
      </c>
      <c r="AH27">
        <f t="shared" si="1"/>
        <v>728.64</v>
      </c>
      <c r="AJ27" s="22">
        <v>6973</v>
      </c>
    </row>
    <row r="28" spans="1:44" x14ac:dyDescent="0.35">
      <c r="A28">
        <v>2257</v>
      </c>
      <c r="B28" t="s">
        <v>183</v>
      </c>
      <c r="C28" t="s">
        <v>184</v>
      </c>
      <c r="D28" t="s">
        <v>27</v>
      </c>
      <c r="E28" t="s">
        <v>185</v>
      </c>
      <c r="F28" t="s">
        <v>257</v>
      </c>
      <c r="H28" t="s">
        <v>33</v>
      </c>
      <c r="I28" t="s">
        <v>34</v>
      </c>
      <c r="J28" t="s">
        <v>38</v>
      </c>
      <c r="K28" t="s">
        <v>36</v>
      </c>
      <c r="L28" t="s">
        <v>36</v>
      </c>
      <c r="M28">
        <v>2017</v>
      </c>
      <c r="N28" t="s">
        <v>37</v>
      </c>
      <c r="O28" t="s">
        <v>41</v>
      </c>
      <c r="P28" t="s">
        <v>195</v>
      </c>
      <c r="R28" t="s">
        <v>96</v>
      </c>
      <c r="S28">
        <v>-12.531000000000001</v>
      </c>
      <c r="T28">
        <v>27.855</v>
      </c>
      <c r="U28" t="s">
        <v>44</v>
      </c>
      <c r="V28" t="s">
        <v>62</v>
      </c>
      <c r="W28" t="s">
        <v>46</v>
      </c>
      <c r="X28" t="s">
        <v>97</v>
      </c>
      <c r="Y28" t="s">
        <v>98</v>
      </c>
      <c r="Z28" t="s">
        <v>99</v>
      </c>
      <c r="AA28" t="s">
        <v>53</v>
      </c>
      <c r="AB28" s="2">
        <v>311000</v>
      </c>
      <c r="AC28" t="s">
        <v>232</v>
      </c>
      <c r="AD28" s="2">
        <f>IF(ISBLANK(AB28), "", AB28*Parameter!$H$3)</f>
        <v>248800</v>
      </c>
      <c r="AE28">
        <f>IF(J28="Ore and concentrate",IF(G28="Open Pit", Parameter!$C$19,Parameter!$C$21), IF(F28="Smelter",Parameter!$C$10,IF(F28="Refinary",Parameter!$C$12,Parameter!$C$15)))</f>
        <v>9.266</v>
      </c>
      <c r="AF28">
        <f>IF(J28="Ore and concentrate",IF(G28="Open Pit",Parameter!$C$20,Parameter!$C$22),IF(F28="Smelter",Parameter!$C$11,IF(F28="Refinary",Parameter!$C$13,Parameter!$C$16)))</f>
        <v>1.518</v>
      </c>
      <c r="AG28">
        <f t="shared" si="0"/>
        <v>2305.3807999999999</v>
      </c>
      <c r="AH28">
        <f t="shared" si="1"/>
        <v>377.67840000000001</v>
      </c>
    </row>
    <row r="29" spans="1:44" x14ac:dyDescent="0.35">
      <c r="A29">
        <v>2258</v>
      </c>
      <c r="B29" t="s">
        <v>186</v>
      </c>
      <c r="C29" t="s">
        <v>187</v>
      </c>
      <c r="D29" t="s">
        <v>27</v>
      </c>
      <c r="E29" t="s">
        <v>188</v>
      </c>
      <c r="G29" t="s">
        <v>284</v>
      </c>
      <c r="H29" t="s">
        <v>29</v>
      </c>
      <c r="I29" t="s">
        <v>34</v>
      </c>
      <c r="J29" t="s">
        <v>82</v>
      </c>
      <c r="K29" t="s">
        <v>36</v>
      </c>
      <c r="L29" t="s">
        <v>36</v>
      </c>
      <c r="M29">
        <v>2017</v>
      </c>
      <c r="N29" t="s">
        <v>37</v>
      </c>
      <c r="O29" t="s">
        <v>41</v>
      </c>
      <c r="P29" s="13" t="s">
        <v>95</v>
      </c>
      <c r="R29" t="s">
        <v>96</v>
      </c>
      <c r="S29">
        <v>-12.536110000000001</v>
      </c>
      <c r="T29">
        <v>27.833120000000001</v>
      </c>
      <c r="U29" t="s">
        <v>44</v>
      </c>
      <c r="V29" t="s">
        <v>45</v>
      </c>
      <c r="W29" t="s">
        <v>46</v>
      </c>
      <c r="X29" t="s">
        <v>97</v>
      </c>
      <c r="Y29" t="s">
        <v>98</v>
      </c>
      <c r="Z29" t="s">
        <v>99</v>
      </c>
      <c r="AA29" t="s">
        <v>53</v>
      </c>
      <c r="AB29" s="2">
        <v>4500000</v>
      </c>
      <c r="AC29" t="s">
        <v>232</v>
      </c>
      <c r="AD29" s="2">
        <f>IF(ISBLANK(AB29), "", AB29*Parameter!$H$3)/2</f>
        <v>1800000</v>
      </c>
      <c r="AE29">
        <f>IF(J29="Ore and concentrate",IF(G29="Open Pit", Parameter!$C$19,Parameter!$C$21), IF(F29="Smelter",Parameter!$C$10,IF(F29="Refinary",Parameter!$C$12,Parameter!$C$15)))</f>
        <v>5.9520000000000003E-2</v>
      </c>
      <c r="AF29">
        <f>IF(J29="Ore and concentrate",IF(G29="Open Pit",Parameter!$C$20,Parameter!$C$22),IF(F29="Smelter",Parameter!$C$11,IF(F29="Refinary",Parameter!$C$13,Parameter!$C$16)))</f>
        <v>6.3239999999999991E-2</v>
      </c>
      <c r="AG29">
        <f t="shared" si="0"/>
        <v>107.136</v>
      </c>
      <c r="AH29">
        <f t="shared" si="1"/>
        <v>113.83199999999998</v>
      </c>
      <c r="AI29" s="2">
        <f>AD29*Parameter!$H$1</f>
        <v>11160</v>
      </c>
      <c r="AJ29" s="2">
        <v>65544</v>
      </c>
      <c r="AK29" s="2"/>
      <c r="AL29" s="2"/>
      <c r="AM29" s="1"/>
      <c r="AN29" s="1"/>
      <c r="AQ29" s="2">
        <v>4500000</v>
      </c>
      <c r="AR29" t="s">
        <v>236</v>
      </c>
    </row>
    <row r="30" spans="1:44" x14ac:dyDescent="0.35">
      <c r="A30">
        <v>2259</v>
      </c>
      <c r="B30" t="s">
        <v>189</v>
      </c>
      <c r="C30" t="s">
        <v>190</v>
      </c>
      <c r="D30" t="s">
        <v>27</v>
      </c>
      <c r="E30" t="s">
        <v>191</v>
      </c>
      <c r="F30" t="s">
        <v>268</v>
      </c>
      <c r="G30" t="s">
        <v>278</v>
      </c>
      <c r="H30" t="s">
        <v>33</v>
      </c>
      <c r="I30" t="s">
        <v>34</v>
      </c>
      <c r="J30" t="s">
        <v>38</v>
      </c>
      <c r="K30" t="s">
        <v>36</v>
      </c>
      <c r="L30" t="s">
        <v>36</v>
      </c>
      <c r="M30">
        <v>2017</v>
      </c>
      <c r="N30" t="s">
        <v>37</v>
      </c>
      <c r="O30" t="s">
        <v>41</v>
      </c>
      <c r="P30" t="s">
        <v>42</v>
      </c>
      <c r="R30" t="s">
        <v>96</v>
      </c>
      <c r="S30">
        <v>-12.566381</v>
      </c>
      <c r="T30">
        <v>27.814871</v>
      </c>
      <c r="U30" t="s">
        <v>44</v>
      </c>
      <c r="V30" t="s">
        <v>45</v>
      </c>
      <c r="W30" t="s">
        <v>46</v>
      </c>
      <c r="X30" t="s">
        <v>97</v>
      </c>
      <c r="Y30" t="s">
        <v>98</v>
      </c>
      <c r="Z30" t="s">
        <v>99</v>
      </c>
      <c r="AA30" t="s">
        <v>53</v>
      </c>
      <c r="AB30" s="2">
        <v>80000</v>
      </c>
      <c r="AC30" t="s">
        <v>232</v>
      </c>
      <c r="AD30" s="2">
        <f>IF(ISBLANK(AB30), "", AB30*Parameter!$H$3)</f>
        <v>64000</v>
      </c>
      <c r="AE30">
        <f>IF(J30="Ore and concentrate",IF(G30="Open Pit", Parameter!$C$19,Parameter!$C$21), IF(F30="Smelter",Parameter!$C$10,IF(F30="Refinary",Parameter!$C$12,Parameter!$C$15)))</f>
        <v>12.466000000000001</v>
      </c>
      <c r="AF30">
        <f>IF(J30="Ore and concentrate",IF(G30="Open Pit",Parameter!$C$20,Parameter!$C$22),IF(F30="Smelter",Parameter!$C$11,IF(F30="Refinary",Parameter!$C$13,Parameter!$C$16)))</f>
        <v>1.518</v>
      </c>
      <c r="AG30">
        <f t="shared" si="0"/>
        <v>797.82400000000007</v>
      </c>
      <c r="AH30">
        <f t="shared" si="1"/>
        <v>97.152000000000001</v>
      </c>
      <c r="AO30" t="s">
        <v>239</v>
      </c>
      <c r="AP30" t="s">
        <v>236</v>
      </c>
    </row>
    <row r="31" spans="1:44" x14ac:dyDescent="0.35">
      <c r="A31">
        <v>2260</v>
      </c>
      <c r="B31" t="s">
        <v>192</v>
      </c>
      <c r="C31" t="s">
        <v>193</v>
      </c>
      <c r="D31" t="s">
        <v>27</v>
      </c>
      <c r="E31" t="s">
        <v>194</v>
      </c>
      <c r="G31" t="s">
        <v>283</v>
      </c>
      <c r="H31" t="s">
        <v>29</v>
      </c>
      <c r="I31" t="s">
        <v>34</v>
      </c>
      <c r="J31" t="s">
        <v>82</v>
      </c>
      <c r="K31" t="s">
        <v>36</v>
      </c>
      <c r="L31" t="s">
        <v>36</v>
      </c>
      <c r="M31">
        <v>2017</v>
      </c>
      <c r="N31" t="s">
        <v>37</v>
      </c>
      <c r="O31" t="s">
        <v>41</v>
      </c>
      <c r="P31" t="s">
        <v>43</v>
      </c>
      <c r="R31" t="s">
        <v>96</v>
      </c>
      <c r="S31">
        <v>-12.507612999999999</v>
      </c>
      <c r="T31">
        <v>27.875482000000002</v>
      </c>
      <c r="U31" t="s">
        <v>44</v>
      </c>
      <c r="V31" t="s">
        <v>50</v>
      </c>
      <c r="W31" t="s">
        <v>46</v>
      </c>
      <c r="X31" t="s">
        <v>97</v>
      </c>
      <c r="Y31" t="s">
        <v>98</v>
      </c>
      <c r="Z31" t="s">
        <v>99</v>
      </c>
      <c r="AA31" t="s">
        <v>53</v>
      </c>
      <c r="AB31" s="2">
        <v>2800000</v>
      </c>
      <c r="AC31" t="s">
        <v>232</v>
      </c>
      <c r="AD31" s="2">
        <f>IF(ISBLANK(AB31), "", AB31*Parameter!$H$3)</f>
        <v>2240000</v>
      </c>
      <c r="AE31">
        <f>IF(J31="Ore and concentrate",IF(G31="Open Pit", Parameter!$C$19,Parameter!$C$21), IF(F31="Smelter",Parameter!$C$10,IF(F31="Refinary",Parameter!$C$12,Parameter!$C$15)))</f>
        <v>7.2849999999999998E-2</v>
      </c>
      <c r="AF31">
        <f>IF(J31="Ore and concentrate",IF(G31="Open Pit",Parameter!$C$20,Parameter!$C$22),IF(F31="Smelter",Parameter!$C$11,IF(F31="Refinary",Parameter!$C$13,Parameter!$C$16)))</f>
        <v>1.333E-2</v>
      </c>
      <c r="AG31">
        <f t="shared" si="0"/>
        <v>163.184</v>
      </c>
      <c r="AH31">
        <f t="shared" si="1"/>
        <v>29.859200000000001</v>
      </c>
      <c r="AI31" s="2">
        <f>AD31*Parameter!$H$1</f>
        <v>13888</v>
      </c>
      <c r="AJ31" s="2">
        <v>1294</v>
      </c>
      <c r="AK31" s="2">
        <v>2820706</v>
      </c>
      <c r="AL31" s="2">
        <v>2820706</v>
      </c>
      <c r="AM31" s="1">
        <v>65544</v>
      </c>
      <c r="AN31" s="1">
        <v>65544</v>
      </c>
      <c r="AQ31" s="2">
        <v>2800000</v>
      </c>
      <c r="AR31" t="s">
        <v>236</v>
      </c>
    </row>
    <row r="32" spans="1:44" x14ac:dyDescent="0.35">
      <c r="A32">
        <v>2262</v>
      </c>
      <c r="B32" t="s">
        <v>196</v>
      </c>
      <c r="C32" t="s">
        <v>43</v>
      </c>
      <c r="D32" t="s">
        <v>27</v>
      </c>
      <c r="E32" t="s">
        <v>197</v>
      </c>
      <c r="F32" t="s">
        <v>268</v>
      </c>
      <c r="G32" t="s">
        <v>277</v>
      </c>
      <c r="H32" t="s">
        <v>33</v>
      </c>
      <c r="I32" t="s">
        <v>34</v>
      </c>
      <c r="J32" t="s">
        <v>38</v>
      </c>
      <c r="K32" t="s">
        <v>36</v>
      </c>
      <c r="L32" t="s">
        <v>36</v>
      </c>
      <c r="M32">
        <v>2017</v>
      </c>
      <c r="N32" t="s">
        <v>37</v>
      </c>
      <c r="O32" t="s">
        <v>41</v>
      </c>
      <c r="P32" t="s">
        <v>42</v>
      </c>
      <c r="R32" t="s">
        <v>200</v>
      </c>
      <c r="S32">
        <v>-12.843</v>
      </c>
      <c r="T32">
        <v>28.204999999999998</v>
      </c>
      <c r="U32" t="s">
        <v>44</v>
      </c>
      <c r="V32" t="s">
        <v>62</v>
      </c>
      <c r="W32" t="s">
        <v>46</v>
      </c>
      <c r="X32" t="s">
        <v>156</v>
      </c>
      <c r="Y32" t="s">
        <v>157</v>
      </c>
      <c r="Z32" t="s">
        <v>158</v>
      </c>
      <c r="AA32" t="s">
        <v>53</v>
      </c>
      <c r="AB32" s="2">
        <v>15000</v>
      </c>
      <c r="AC32" t="s">
        <v>232</v>
      </c>
      <c r="AD32" s="2">
        <f>IF(ISBLANK(AB32), "", AB32*Parameter!$H$3)</f>
        <v>12000</v>
      </c>
      <c r="AE32">
        <f>IF(J32="Ore and concentrate",IF(G32="Open Pit", Parameter!$C$19,Parameter!$C$21), IF(F32="Smelter",Parameter!$C$10,IF(F32="Refinary",Parameter!$C$12,Parameter!$C$15)))</f>
        <v>12.466000000000001</v>
      </c>
      <c r="AF32">
        <f>IF(J32="Ore and concentrate",IF(G32="Open Pit",Parameter!$C$20,Parameter!$C$22),IF(F32="Smelter",Parameter!$C$11,IF(F32="Refinary",Parameter!$C$13,Parameter!$C$16)))</f>
        <v>1.518</v>
      </c>
      <c r="AG32">
        <f t="shared" si="0"/>
        <v>149.59200000000001</v>
      </c>
      <c r="AH32">
        <f t="shared" si="1"/>
        <v>18.216000000000001</v>
      </c>
      <c r="AJ32" s="2">
        <v>1294</v>
      </c>
      <c r="AK32" t="s">
        <v>103</v>
      </c>
      <c r="AL32" t="s">
        <v>103</v>
      </c>
      <c r="AM32" s="5" t="s">
        <v>103</v>
      </c>
      <c r="AN32" s="5" t="s">
        <v>103</v>
      </c>
    </row>
    <row r="33" spans="1:40" x14ac:dyDescent="0.35">
      <c r="A33">
        <v>2263</v>
      </c>
      <c r="B33" t="s">
        <v>196</v>
      </c>
      <c r="C33" t="s">
        <v>198</v>
      </c>
      <c r="D33" t="s">
        <v>27</v>
      </c>
      <c r="E33" t="s">
        <v>199</v>
      </c>
      <c r="F33" t="s">
        <v>269</v>
      </c>
      <c r="G33" t="s">
        <v>259</v>
      </c>
      <c r="H33" t="s">
        <v>33</v>
      </c>
      <c r="I33" t="s">
        <v>34</v>
      </c>
      <c r="J33" t="s">
        <v>38</v>
      </c>
      <c r="K33" t="s">
        <v>36</v>
      </c>
      <c r="L33" t="s">
        <v>36</v>
      </c>
      <c r="M33">
        <v>2017</v>
      </c>
      <c r="N33" t="s">
        <v>37</v>
      </c>
      <c r="O33" t="s">
        <v>41</v>
      </c>
      <c r="P33" t="s">
        <v>42</v>
      </c>
      <c r="R33" t="s">
        <v>201</v>
      </c>
      <c r="S33">
        <v>-12.843</v>
      </c>
      <c r="T33">
        <v>28.204999999999998</v>
      </c>
      <c r="U33" t="s">
        <v>44</v>
      </c>
      <c r="V33" t="s">
        <v>62</v>
      </c>
      <c r="W33" t="s">
        <v>46</v>
      </c>
      <c r="X33" t="s">
        <v>97</v>
      </c>
      <c r="Y33" t="s">
        <v>98</v>
      </c>
      <c r="Z33" t="s">
        <v>99</v>
      </c>
      <c r="AA33" t="s">
        <v>53</v>
      </c>
      <c r="AB33" s="2">
        <v>300000</v>
      </c>
      <c r="AC33" t="s">
        <v>232</v>
      </c>
      <c r="AD33" s="2">
        <f>IF(ISBLANK(AB33), "", AB33*Parameter!$H$3)</f>
        <v>240000</v>
      </c>
      <c r="AE33">
        <f>IF(J33="Ore and concentrate",IF(G33="Open Pit", Parameter!$C$19,Parameter!$C$21), IF(F33="Smelter",Parameter!$C$10,IF(F33="Refinary",Parameter!$C$12,Parameter!$C$15)))</f>
        <v>3.2</v>
      </c>
      <c r="AF33">
        <f>IF(J33="Ore and concentrate",IF(G33="Open Pit",Parameter!$C$20,Parameter!$C$22),IF(F33="Smelter",Parameter!$C$11,IF(F33="Refinary",Parameter!$C$13,Parameter!$C$16)))</f>
        <v>0</v>
      </c>
      <c r="AG33">
        <f t="shared" si="0"/>
        <v>768</v>
      </c>
      <c r="AH33">
        <f t="shared" si="1"/>
        <v>0</v>
      </c>
      <c r="AK33" t="s">
        <v>103</v>
      </c>
      <c r="AL33" t="s">
        <v>103</v>
      </c>
      <c r="AM33" s="5" t="s">
        <v>103</v>
      </c>
      <c r="AN33" s="5" t="s">
        <v>103</v>
      </c>
    </row>
    <row r="34" spans="1:40" x14ac:dyDescent="0.35">
      <c r="A34">
        <v>2266</v>
      </c>
      <c r="B34" t="s">
        <v>202</v>
      </c>
      <c r="C34" t="s">
        <v>203</v>
      </c>
      <c r="D34" t="s">
        <v>27</v>
      </c>
      <c r="E34" t="s">
        <v>204</v>
      </c>
      <c r="G34" t="s">
        <v>284</v>
      </c>
      <c r="H34" t="s">
        <v>29</v>
      </c>
      <c r="I34" t="s">
        <v>34</v>
      </c>
      <c r="J34" t="s">
        <v>82</v>
      </c>
      <c r="K34" t="s">
        <v>129</v>
      </c>
      <c r="L34" t="s">
        <v>129</v>
      </c>
      <c r="M34">
        <v>2017</v>
      </c>
      <c r="N34" t="s">
        <v>37</v>
      </c>
      <c r="O34" t="s">
        <v>41</v>
      </c>
      <c r="P34" t="s">
        <v>206</v>
      </c>
      <c r="R34" t="s">
        <v>200</v>
      </c>
      <c r="S34">
        <v>-12.851025999999999</v>
      </c>
      <c r="T34">
        <v>28.207404</v>
      </c>
      <c r="U34" t="s">
        <v>44</v>
      </c>
      <c r="V34" t="s">
        <v>50</v>
      </c>
      <c r="W34" t="s">
        <v>46</v>
      </c>
      <c r="X34" t="s">
        <v>156</v>
      </c>
      <c r="Y34" t="s">
        <v>157</v>
      </c>
      <c r="Z34" t="s">
        <v>158</v>
      </c>
      <c r="AA34" t="s">
        <v>53</v>
      </c>
      <c r="AB34" s="2">
        <v>5500000</v>
      </c>
      <c r="AC34" t="s">
        <v>232</v>
      </c>
      <c r="AD34" s="2">
        <f>IF(ISBLANK(AB34), "", AB34*Parameter!$H$3)/7</f>
        <v>628571.42857142852</v>
      </c>
      <c r="AE34">
        <f>IF(J34="Ore and concentrate",IF(G34="Open Pit", Parameter!$C$19,Parameter!$C$21), IF(F34="Smelter",Parameter!$C$10,IF(F34="Refinary",Parameter!$C$12,Parameter!$C$15)))</f>
        <v>5.9520000000000003E-2</v>
      </c>
      <c r="AF34">
        <f>IF(J34="Ore and concentrate",IF(G34="Open Pit",Parameter!$C$20,Parameter!$C$22),IF(F34="Smelter",Parameter!$C$11,IF(F34="Refinary",Parameter!$C$13,Parameter!$C$16)))</f>
        <v>6.3239999999999991E-2</v>
      </c>
      <c r="AG34">
        <f t="shared" si="0"/>
        <v>37.412571428571425</v>
      </c>
      <c r="AH34">
        <f t="shared" si="1"/>
        <v>39.750857142857129</v>
      </c>
      <c r="AI34" s="2">
        <f>AD34*Parameter!$H$1</f>
        <v>3897.1428571428569</v>
      </c>
      <c r="AJ34" s="2">
        <v>21270</v>
      </c>
      <c r="AK34" t="s">
        <v>103</v>
      </c>
      <c r="AL34" t="s">
        <v>103</v>
      </c>
      <c r="AM34" s="1">
        <v>55068</v>
      </c>
      <c r="AN34" s="1">
        <v>17900</v>
      </c>
    </row>
    <row r="35" spans="1:40" x14ac:dyDescent="0.35">
      <c r="A35">
        <v>2267</v>
      </c>
      <c r="B35" t="s">
        <v>202</v>
      </c>
      <c r="C35" t="s">
        <v>203</v>
      </c>
      <c r="D35" t="s">
        <v>27</v>
      </c>
      <c r="E35" t="s">
        <v>205</v>
      </c>
      <c r="G35" t="s">
        <v>284</v>
      </c>
      <c r="H35" t="s">
        <v>29</v>
      </c>
      <c r="I35" t="s">
        <v>34</v>
      </c>
      <c r="J35" t="s">
        <v>82</v>
      </c>
      <c r="K35" t="s">
        <v>129</v>
      </c>
      <c r="L35" t="s">
        <v>129</v>
      </c>
      <c r="M35">
        <v>2017</v>
      </c>
      <c r="N35" t="s">
        <v>37</v>
      </c>
      <c r="O35" t="s">
        <v>41</v>
      </c>
      <c r="P35" t="s">
        <v>206</v>
      </c>
      <c r="R35" t="s">
        <v>200</v>
      </c>
      <c r="S35">
        <v>-12.851025999999999</v>
      </c>
      <c r="T35">
        <v>28.207404</v>
      </c>
      <c r="U35" t="s">
        <v>44</v>
      </c>
      <c r="V35" t="s">
        <v>50</v>
      </c>
      <c r="W35" t="s">
        <v>46</v>
      </c>
      <c r="X35" t="s">
        <v>156</v>
      </c>
      <c r="Y35" t="s">
        <v>157</v>
      </c>
      <c r="Z35" t="s">
        <v>158</v>
      </c>
      <c r="AA35" t="s">
        <v>53</v>
      </c>
      <c r="AB35" s="2">
        <v>5500000</v>
      </c>
      <c r="AC35" t="s">
        <v>232</v>
      </c>
      <c r="AD35" s="2">
        <f>IF(ISBLANK(AB35), "", AB35*Parameter!$H$3)/7</f>
        <v>628571.42857142852</v>
      </c>
      <c r="AE35">
        <f>IF(J35="Ore and concentrate",IF(G35="Open Pit", Parameter!$C$19,Parameter!$C$21), IF(F35="Smelter",Parameter!$C$10,IF(F35="Refinary",Parameter!$C$12,Parameter!$C$15)))</f>
        <v>5.9520000000000003E-2</v>
      </c>
      <c r="AF35">
        <f>IF(J35="Ore and concentrate",IF(G35="Open Pit",Parameter!$C$20,Parameter!$C$22),IF(F35="Smelter",Parameter!$C$11,IF(F35="Refinary",Parameter!$C$13,Parameter!$C$16)))</f>
        <v>6.3239999999999991E-2</v>
      </c>
      <c r="AG35">
        <f t="shared" si="0"/>
        <v>37.412571428571425</v>
      </c>
      <c r="AH35">
        <f t="shared" si="1"/>
        <v>39.750857142857129</v>
      </c>
      <c r="AI35" s="2">
        <f>AD35*Parameter!$H$1</f>
        <v>3897.1428571428569</v>
      </c>
      <c r="AJ35" s="18"/>
    </row>
    <row r="36" spans="1:40" x14ac:dyDescent="0.35">
      <c r="A36">
        <v>2269</v>
      </c>
      <c r="B36" t="s">
        <v>207</v>
      </c>
      <c r="C36" t="s">
        <v>208</v>
      </c>
      <c r="D36" t="s">
        <v>27</v>
      </c>
      <c r="E36" t="s">
        <v>209</v>
      </c>
      <c r="G36" t="s">
        <v>283</v>
      </c>
      <c r="H36" t="s">
        <v>29</v>
      </c>
      <c r="I36" t="s">
        <v>34</v>
      </c>
      <c r="J36" t="s">
        <v>82</v>
      </c>
      <c r="K36" t="s">
        <v>129</v>
      </c>
      <c r="L36" t="s">
        <v>129</v>
      </c>
      <c r="M36">
        <v>2017</v>
      </c>
      <c r="N36" t="s">
        <v>37</v>
      </c>
      <c r="O36" t="s">
        <v>41</v>
      </c>
      <c r="P36" t="s">
        <v>206</v>
      </c>
      <c r="R36" t="s">
        <v>200</v>
      </c>
      <c r="S36">
        <v>-12.805249999999999</v>
      </c>
      <c r="T36">
        <v>28.185835999999998</v>
      </c>
      <c r="U36" t="s">
        <v>61</v>
      </c>
      <c r="V36" t="s">
        <v>45</v>
      </c>
      <c r="W36" t="s">
        <v>46</v>
      </c>
      <c r="X36" t="s">
        <v>156</v>
      </c>
      <c r="Y36" t="s">
        <v>157</v>
      </c>
      <c r="Z36" t="s">
        <v>158</v>
      </c>
      <c r="AA36" t="s">
        <v>53</v>
      </c>
      <c r="AB36" s="2">
        <v>5500000</v>
      </c>
      <c r="AC36" t="s">
        <v>232</v>
      </c>
      <c r="AD36" s="2">
        <f>IF(ISBLANK(AB36), "", AB36*Parameter!$H$3)/7</f>
        <v>628571.42857142852</v>
      </c>
      <c r="AE36">
        <f>IF(J36="Ore and concentrate",IF(G36="Open Pit", Parameter!$C$19,Parameter!$C$21), IF(F36="Smelter",Parameter!$C$10,IF(F36="Refinary",Parameter!$C$12,Parameter!$C$15)))</f>
        <v>7.2849999999999998E-2</v>
      </c>
      <c r="AF36">
        <f>IF(J36="Ore and concentrate",IF(G36="Open Pit",Parameter!$C$20,Parameter!$C$22),IF(F36="Smelter",Parameter!$C$11,IF(F36="Refinary",Parameter!$C$13,Parameter!$C$16)))</f>
        <v>1.333E-2</v>
      </c>
      <c r="AG36">
        <f t="shared" si="0"/>
        <v>45.791428571428568</v>
      </c>
      <c r="AH36">
        <f t="shared" si="1"/>
        <v>8.3788571428571412</v>
      </c>
      <c r="AI36" s="2">
        <f>AD36*Parameter!$H$1</f>
        <v>3897.1428571428569</v>
      </c>
      <c r="AJ36" s="18"/>
    </row>
    <row r="37" spans="1:40" x14ac:dyDescent="0.35">
      <c r="A37">
        <v>2271</v>
      </c>
      <c r="B37" t="s">
        <v>210</v>
      </c>
      <c r="C37" t="s">
        <v>211</v>
      </c>
      <c r="D37" t="s">
        <v>27</v>
      </c>
      <c r="E37" t="s">
        <v>212</v>
      </c>
      <c r="G37" t="s">
        <v>283</v>
      </c>
      <c r="H37" t="s">
        <v>29</v>
      </c>
      <c r="I37" t="s">
        <v>34</v>
      </c>
      <c r="J37" t="s">
        <v>82</v>
      </c>
      <c r="K37" t="s">
        <v>129</v>
      </c>
      <c r="L37" t="s">
        <v>129</v>
      </c>
      <c r="M37">
        <v>2017</v>
      </c>
      <c r="N37" t="s">
        <v>37</v>
      </c>
      <c r="O37" t="s">
        <v>41</v>
      </c>
      <c r="P37" t="s">
        <v>206</v>
      </c>
      <c r="R37" t="s">
        <v>200</v>
      </c>
      <c r="S37">
        <v>-12.796917000000001</v>
      </c>
      <c r="T37">
        <v>28.178775999999999</v>
      </c>
      <c r="U37" t="s">
        <v>61</v>
      </c>
      <c r="V37" t="s">
        <v>133</v>
      </c>
      <c r="W37" t="s">
        <v>46</v>
      </c>
      <c r="X37" t="s">
        <v>156</v>
      </c>
      <c r="Y37" t="s">
        <v>157</v>
      </c>
      <c r="Z37" t="s">
        <v>158</v>
      </c>
      <c r="AA37" t="s">
        <v>53</v>
      </c>
      <c r="AB37" s="2">
        <v>5500000</v>
      </c>
      <c r="AC37" t="s">
        <v>232</v>
      </c>
      <c r="AD37" s="2">
        <f>IF(ISBLANK(AB37), "", AB37*Parameter!$H$3)/7</f>
        <v>628571.42857142852</v>
      </c>
      <c r="AE37">
        <f>IF(J37="Ore and concentrate",IF(G37="Open Pit", Parameter!$C$19,Parameter!$C$21), IF(F37="Smelter",Parameter!$C$10,IF(F37="Refinary",Parameter!$C$12,Parameter!$C$15)))</f>
        <v>7.2849999999999998E-2</v>
      </c>
      <c r="AF37">
        <f>IF(J37="Ore and concentrate",IF(G37="Open Pit",Parameter!$C$20,Parameter!$C$22),IF(F37="Smelter",Parameter!$C$11,IF(F37="Refinary",Parameter!$C$13,Parameter!$C$16)))</f>
        <v>1.333E-2</v>
      </c>
      <c r="AG37">
        <f t="shared" si="0"/>
        <v>45.791428571428568</v>
      </c>
      <c r="AH37">
        <f t="shared" si="1"/>
        <v>8.3788571428571412</v>
      </c>
      <c r="AI37" s="2">
        <f>AD37*Parameter!$H$1</f>
        <v>3897.1428571428569</v>
      </c>
      <c r="AJ37" s="18"/>
    </row>
    <row r="38" spans="1:40" x14ac:dyDescent="0.35">
      <c r="A38">
        <v>2273</v>
      </c>
      <c r="B38" t="s">
        <v>213</v>
      </c>
      <c r="C38" t="s">
        <v>214</v>
      </c>
      <c r="D38" t="s">
        <v>27</v>
      </c>
      <c r="E38" t="s">
        <v>215</v>
      </c>
      <c r="G38" t="s">
        <v>284</v>
      </c>
      <c r="H38" t="s">
        <v>29</v>
      </c>
      <c r="I38" t="s">
        <v>34</v>
      </c>
      <c r="J38" t="s">
        <v>82</v>
      </c>
      <c r="K38" t="s">
        <v>129</v>
      </c>
      <c r="L38" t="s">
        <v>129</v>
      </c>
      <c r="M38">
        <v>2017</v>
      </c>
      <c r="N38" t="s">
        <v>37</v>
      </c>
      <c r="O38" t="s">
        <v>41</v>
      </c>
      <c r="P38" t="s">
        <v>206</v>
      </c>
      <c r="R38" t="s">
        <v>200</v>
      </c>
      <c r="S38">
        <v>-12.77556</v>
      </c>
      <c r="T38">
        <v>28.161052000000002</v>
      </c>
      <c r="U38" t="s">
        <v>61</v>
      </c>
      <c r="V38" t="s">
        <v>216</v>
      </c>
      <c r="W38" t="s">
        <v>46</v>
      </c>
      <c r="X38" t="s">
        <v>156</v>
      </c>
      <c r="Y38" t="s">
        <v>157</v>
      </c>
      <c r="Z38" t="s">
        <v>158</v>
      </c>
      <c r="AA38" t="s">
        <v>53</v>
      </c>
      <c r="AB38" s="2">
        <v>5500000</v>
      </c>
      <c r="AC38" t="s">
        <v>232</v>
      </c>
      <c r="AD38" s="2">
        <f>IF(ISBLANK(AB38), "", AB38*Parameter!$H$3)/7</f>
        <v>628571.42857142852</v>
      </c>
      <c r="AE38">
        <f>IF(J38="Ore and concentrate",IF(G38="Open Pit", Parameter!$C$19,Parameter!$C$21), IF(F38="Smelter",Parameter!$C$10,IF(F38="Refinary",Parameter!$C$12,Parameter!$C$15)))</f>
        <v>5.9520000000000003E-2</v>
      </c>
      <c r="AF38">
        <f>IF(J38="Ore and concentrate",IF(G38="Open Pit",Parameter!$C$20,Parameter!$C$22),IF(F38="Smelter",Parameter!$C$11,IF(F38="Refinary",Parameter!$C$13,Parameter!$C$16)))</f>
        <v>6.3239999999999991E-2</v>
      </c>
      <c r="AG38">
        <f t="shared" si="0"/>
        <v>37.412571428571425</v>
      </c>
      <c r="AH38">
        <f t="shared" si="1"/>
        <v>39.750857142857129</v>
      </c>
      <c r="AI38" s="2">
        <f>AD38*Parameter!$H$1</f>
        <v>3897.1428571428569</v>
      </c>
      <c r="AJ38" s="18"/>
    </row>
    <row r="39" spans="1:40" x14ac:dyDescent="0.35">
      <c r="A39">
        <v>2276</v>
      </c>
      <c r="B39" t="s">
        <v>217</v>
      </c>
      <c r="C39" t="s">
        <v>43</v>
      </c>
      <c r="D39" t="s">
        <v>27</v>
      </c>
      <c r="E39" t="s">
        <v>218</v>
      </c>
      <c r="G39" t="s">
        <v>283</v>
      </c>
      <c r="H39" t="s">
        <v>29</v>
      </c>
      <c r="I39" t="s">
        <v>34</v>
      </c>
      <c r="J39" t="s">
        <v>82</v>
      </c>
      <c r="K39" t="s">
        <v>129</v>
      </c>
      <c r="L39" t="s">
        <v>129</v>
      </c>
      <c r="M39">
        <v>2017</v>
      </c>
      <c r="N39" t="s">
        <v>37</v>
      </c>
      <c r="O39" t="s">
        <v>41</v>
      </c>
      <c r="P39" t="s">
        <v>206</v>
      </c>
      <c r="R39" t="s">
        <v>200</v>
      </c>
      <c r="S39">
        <v>-12.854466</v>
      </c>
      <c r="T39">
        <v>28.212122999999998</v>
      </c>
      <c r="U39" t="s">
        <v>61</v>
      </c>
      <c r="V39" t="s">
        <v>45</v>
      </c>
      <c r="W39" t="s">
        <v>46</v>
      </c>
      <c r="X39" t="s">
        <v>156</v>
      </c>
      <c r="Y39" t="s">
        <v>157</v>
      </c>
      <c r="Z39" t="s">
        <v>158</v>
      </c>
      <c r="AA39" t="s">
        <v>53</v>
      </c>
      <c r="AB39" s="2">
        <v>5500000</v>
      </c>
      <c r="AC39" t="s">
        <v>232</v>
      </c>
      <c r="AD39" s="2">
        <f>IF(ISBLANK(AB39), "", AB39*Parameter!$H$3)/7</f>
        <v>628571.42857142852</v>
      </c>
      <c r="AE39">
        <f>IF(J39="Ore and concentrate",IF(G39="Open Pit", Parameter!$C$19,Parameter!$C$21), IF(F39="Smelter",Parameter!$C$10,IF(F39="Refinary",Parameter!$C$12,Parameter!$C$15)))</f>
        <v>7.2849999999999998E-2</v>
      </c>
      <c r="AF39">
        <f>IF(J39="Ore and concentrate",IF(G39="Open Pit",Parameter!$C$20,Parameter!$C$22),IF(F39="Smelter",Parameter!$C$11,IF(F39="Refinary",Parameter!$C$13,Parameter!$C$16)))</f>
        <v>1.333E-2</v>
      </c>
      <c r="AG39">
        <f t="shared" si="0"/>
        <v>45.791428571428568</v>
      </c>
      <c r="AH39">
        <f t="shared" si="1"/>
        <v>8.3788571428571412</v>
      </c>
      <c r="AI39" s="2">
        <f>AD39*Parameter!$H$1</f>
        <v>3897.1428571428569</v>
      </c>
      <c r="AJ39" s="18"/>
    </row>
    <row r="40" spans="1:40" x14ac:dyDescent="0.35">
      <c r="A40">
        <v>2277</v>
      </c>
      <c r="B40" t="s">
        <v>217</v>
      </c>
      <c r="C40" t="s">
        <v>219</v>
      </c>
      <c r="D40" t="s">
        <v>27</v>
      </c>
      <c r="E40" t="s">
        <v>220</v>
      </c>
      <c r="G40" t="s">
        <v>283</v>
      </c>
      <c r="H40" t="s">
        <v>29</v>
      </c>
      <c r="I40" t="s">
        <v>34</v>
      </c>
      <c r="J40" t="s">
        <v>82</v>
      </c>
      <c r="K40" t="s">
        <v>129</v>
      </c>
      <c r="L40" t="s">
        <v>129</v>
      </c>
      <c r="M40">
        <v>2017</v>
      </c>
      <c r="N40" t="s">
        <v>37</v>
      </c>
      <c r="O40" t="s">
        <v>41</v>
      </c>
      <c r="P40" t="s">
        <v>206</v>
      </c>
      <c r="R40" t="s">
        <v>200</v>
      </c>
      <c r="S40">
        <v>-12.854466</v>
      </c>
      <c r="T40">
        <v>28.212122999999998</v>
      </c>
      <c r="U40" t="s">
        <v>61</v>
      </c>
      <c r="V40" t="s">
        <v>45</v>
      </c>
      <c r="W40" t="s">
        <v>46</v>
      </c>
      <c r="X40" t="s">
        <v>156</v>
      </c>
      <c r="Y40" t="s">
        <v>157</v>
      </c>
      <c r="Z40" t="s">
        <v>158</v>
      </c>
      <c r="AA40" t="s">
        <v>53</v>
      </c>
      <c r="AB40" s="2">
        <v>5500000</v>
      </c>
      <c r="AC40" t="s">
        <v>232</v>
      </c>
      <c r="AD40" s="2">
        <f>IF(ISBLANK(AB40), "", AB40*Parameter!$H$3)/7</f>
        <v>628571.42857142852</v>
      </c>
      <c r="AE40">
        <f>IF(J40="Ore and concentrate",IF(G40="Open Pit", Parameter!$C$19,Parameter!$C$21), IF(F40="Smelter",Parameter!$C$10,IF(F40="Refinary",Parameter!$C$12,Parameter!$C$15)))</f>
        <v>7.2849999999999998E-2</v>
      </c>
      <c r="AF40">
        <f>IF(J40="Ore and concentrate",IF(G40="Open Pit",Parameter!$C$20,Parameter!$C$22),IF(F40="Smelter",Parameter!$C$11,IF(F40="Refinary",Parameter!$C$13,Parameter!$C$16)))</f>
        <v>1.333E-2</v>
      </c>
      <c r="AG40">
        <f t="shared" si="0"/>
        <v>45.791428571428568</v>
      </c>
      <c r="AH40">
        <f t="shared" si="1"/>
        <v>8.3788571428571412</v>
      </c>
      <c r="AI40" s="2">
        <f>AD40*Parameter!$H$1</f>
        <v>3897.1428571428569</v>
      </c>
      <c r="AJ40" s="18"/>
    </row>
    <row r="41" spans="1:40" x14ac:dyDescent="0.35">
      <c r="A41">
        <v>2280</v>
      </c>
      <c r="B41" t="s">
        <v>221</v>
      </c>
      <c r="C41" t="s">
        <v>43</v>
      </c>
      <c r="D41" t="s">
        <v>27</v>
      </c>
      <c r="E41" t="s">
        <v>222</v>
      </c>
      <c r="F41" t="s">
        <v>268</v>
      </c>
      <c r="G41" t="s">
        <v>276</v>
      </c>
      <c r="H41" t="s">
        <v>33</v>
      </c>
      <c r="I41" t="s">
        <v>34</v>
      </c>
      <c r="J41" t="s">
        <v>38</v>
      </c>
      <c r="K41" t="s">
        <v>36</v>
      </c>
      <c r="L41" t="s">
        <v>36</v>
      </c>
      <c r="M41">
        <v>2017</v>
      </c>
      <c r="N41" t="s">
        <v>37</v>
      </c>
      <c r="O41" t="s">
        <v>41</v>
      </c>
      <c r="P41" t="s">
        <v>226</v>
      </c>
      <c r="R41" t="s">
        <v>227</v>
      </c>
      <c r="S41">
        <v>-14.459279</v>
      </c>
      <c r="T41">
        <v>28.436986999999998</v>
      </c>
      <c r="U41" t="s">
        <v>61</v>
      </c>
      <c r="V41" t="s">
        <v>228</v>
      </c>
      <c r="W41" t="s">
        <v>46</v>
      </c>
      <c r="X41" t="s">
        <v>229</v>
      </c>
      <c r="Y41" t="s">
        <v>230</v>
      </c>
      <c r="Z41" t="s">
        <v>43</v>
      </c>
      <c r="AA41" t="s">
        <v>159</v>
      </c>
      <c r="AB41" s="2">
        <v>14000</v>
      </c>
      <c r="AC41" t="s">
        <v>232</v>
      </c>
      <c r="AD41" s="2">
        <f>IF(ISBLANK(AB41), "", AB41*Parameter!$H$3)</f>
        <v>11200</v>
      </c>
      <c r="AE41">
        <f>IF(J41="Ore and concentrate",IF(G41="Open Pit", Parameter!$C$19,Parameter!$C$21), IF(F41="Smelter",Parameter!$C$10,IF(F41="Refinary",Parameter!$C$12,Parameter!$C$15)))</f>
        <v>12.466000000000001</v>
      </c>
      <c r="AF41">
        <f>IF(J41="Ore and concentrate",IF(G41="Open Pit",Parameter!$C$20,Parameter!$C$22),IF(F41="Smelter",Parameter!$C$11,IF(F41="Refinary",Parameter!$C$13,Parameter!$C$16)))</f>
        <v>1.518</v>
      </c>
      <c r="AG41">
        <f t="shared" si="0"/>
        <v>139.61920000000001</v>
      </c>
      <c r="AH41">
        <f t="shared" si="1"/>
        <v>17.0016</v>
      </c>
    </row>
    <row r="42" spans="1:40" x14ac:dyDescent="0.35">
      <c r="A42">
        <v>2281</v>
      </c>
      <c r="B42" t="s">
        <v>223</v>
      </c>
      <c r="C42" t="s">
        <v>224</v>
      </c>
      <c r="D42" t="s">
        <v>27</v>
      </c>
      <c r="E42" t="s">
        <v>225</v>
      </c>
      <c r="H42" t="s">
        <v>29</v>
      </c>
      <c r="I42" t="s">
        <v>34</v>
      </c>
      <c r="J42" t="s">
        <v>82</v>
      </c>
      <c r="K42" t="s">
        <v>36</v>
      </c>
      <c r="L42" t="s">
        <v>36</v>
      </c>
      <c r="M42">
        <v>2017</v>
      </c>
      <c r="N42" t="s">
        <v>103</v>
      </c>
      <c r="O42" t="s">
        <v>41</v>
      </c>
      <c r="P42" t="s">
        <v>43</v>
      </c>
      <c r="R42" t="s">
        <v>115</v>
      </c>
      <c r="S42">
        <v>-12.256487</v>
      </c>
      <c r="T42">
        <v>25.300218000000001</v>
      </c>
      <c r="U42" t="s">
        <v>61</v>
      </c>
      <c r="V42" t="s">
        <v>133</v>
      </c>
      <c r="W42" t="s">
        <v>46</v>
      </c>
      <c r="X42" t="s">
        <v>109</v>
      </c>
      <c r="Y42" t="s">
        <v>110</v>
      </c>
      <c r="Z42" t="s">
        <v>49</v>
      </c>
      <c r="AA42" t="s">
        <v>111</v>
      </c>
      <c r="AB42" s="2"/>
      <c r="AC42" t="s">
        <v>232</v>
      </c>
      <c r="AD42" s="26">
        <f>242451/Parameter!$H$1</f>
        <v>39105000</v>
      </c>
      <c r="AE42">
        <f>IF(J42="Ore and concentrate",IF(G42="Open Pit", Parameter!$C$19,Parameter!$C$21), IF(F42="Smelter",Parameter!$C$10,IF(F42="Refinary",Parameter!$C$12,Parameter!$C$15)))</f>
        <v>7.2849999999999998E-2</v>
      </c>
      <c r="AF42">
        <f>IF(J42="Ore and concentrate",IF(G42="Open Pit",Parameter!$C$20,Parameter!$C$22),IF(F42="Smelter",Parameter!$C$11,IF(F42="Refinary",Parameter!$C$13,Parameter!$C$16)))</f>
        <v>1.333E-2</v>
      </c>
      <c r="AG42">
        <f>IF(AD42="","", AD42*AE42/1000)</f>
        <v>2848.79925</v>
      </c>
      <c r="AH42">
        <f>IF((AD42=""),"", AD42*AF42/1000)</f>
        <v>521.26964999999996</v>
      </c>
      <c r="AI42" s="26">
        <f>AD42*Parameter!$H$1</f>
        <v>242451</v>
      </c>
      <c r="AJ42" s="25">
        <v>220006</v>
      </c>
      <c r="AK42" s="2">
        <v>56329000</v>
      </c>
      <c r="AL42" s="2">
        <v>56589000</v>
      </c>
      <c r="AM42" s="1">
        <v>232688</v>
      </c>
      <c r="AN42" s="1">
        <v>251216</v>
      </c>
    </row>
    <row r="43" spans="1:40" x14ac:dyDescent="0.35">
      <c r="AB43" s="2"/>
      <c r="AD43" s="2"/>
      <c r="AJ43" s="2"/>
      <c r="AK43" s="2"/>
      <c r="AL43" s="2"/>
      <c r="AM43" s="2"/>
      <c r="AN43" s="2"/>
    </row>
    <row r="44" spans="1:40" x14ac:dyDescent="0.35">
      <c r="AK44" s="53"/>
      <c r="AL44" s="53"/>
    </row>
    <row r="45" spans="1:40" x14ac:dyDescent="0.35">
      <c r="AK45" s="2"/>
      <c r="AL45" s="30"/>
    </row>
    <row r="46" spans="1:40" x14ac:dyDescent="0.35">
      <c r="AH46" s="29"/>
      <c r="AK46" s="2"/>
      <c r="AL46" s="30"/>
    </row>
    <row r="47" spans="1:40" x14ac:dyDescent="0.35">
      <c r="AH47" s="29"/>
      <c r="AJ47" s="2"/>
      <c r="AK47" s="2"/>
      <c r="AL47" s="30"/>
    </row>
  </sheetData>
  <autoFilter ref="A1:AR42" xr:uid="{00000000-0001-0000-0000-000000000000}"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</autoFilter>
  <mergeCells count="6">
    <mergeCell ref="AK44:AL44"/>
    <mergeCell ref="AK1:AN1"/>
    <mergeCell ref="AO1:AR1"/>
    <mergeCell ref="AK2:AL2"/>
    <mergeCell ref="AO2:AP2"/>
    <mergeCell ref="AQ2:AR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1732-4C68-4027-A6FE-99B4A94E42BD}">
  <sheetPr filterMode="1"/>
  <dimension ref="A1:AR58"/>
  <sheetViews>
    <sheetView tabSelected="1" topLeftCell="AF24" workbookViewId="0">
      <selection activeCell="AR45" sqref="AR45"/>
    </sheetView>
  </sheetViews>
  <sheetFormatPr baseColWidth="10" defaultColWidth="9.1796875" defaultRowHeight="14.5" x14ac:dyDescent="0.35"/>
  <cols>
    <col min="1" max="4" width="9.1796875" hidden="1" customWidth="1"/>
    <col min="5" max="5" width="37.81640625" customWidth="1"/>
    <col min="6" max="6" width="17.7265625" bestFit="1" customWidth="1"/>
    <col min="7" max="7" width="25.26953125" customWidth="1"/>
    <col min="8" max="9" width="0" hidden="1" customWidth="1"/>
    <col min="10" max="10" width="13.81640625" customWidth="1"/>
    <col min="11" max="12" width="0" hidden="1" customWidth="1"/>
    <col min="14" max="15" width="0" hidden="1" customWidth="1"/>
    <col min="16" max="16" width="40.26953125" customWidth="1"/>
    <col min="17" max="17" width="26.54296875" customWidth="1"/>
    <col min="18" max="18" width="0" hidden="1" customWidth="1"/>
    <col min="19" max="27" width="9.1796875" hidden="1" customWidth="1"/>
    <col min="28" max="28" width="10.1796875" bestFit="1" customWidth="1"/>
    <col min="29" max="29" width="0" hidden="1" customWidth="1"/>
    <col min="30" max="30" width="10.1796875" bestFit="1" customWidth="1"/>
    <col min="35" max="35" width="10.1796875" style="2" bestFit="1" customWidth="1"/>
    <col min="37" max="37" width="12" customWidth="1"/>
    <col min="38" max="38" width="10.1796875" bestFit="1" customWidth="1"/>
  </cols>
  <sheetData>
    <row r="1" spans="1:44" ht="3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267</v>
      </c>
      <c r="G1" t="s">
        <v>273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271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231</v>
      </c>
      <c r="AD1" t="s">
        <v>280</v>
      </c>
      <c r="AE1" s="11" t="s">
        <v>261</v>
      </c>
      <c r="AF1" s="11" t="s">
        <v>262</v>
      </c>
      <c r="AG1" s="11" t="s">
        <v>263</v>
      </c>
      <c r="AH1" s="11" t="s">
        <v>264</v>
      </c>
      <c r="AI1" s="20" t="s">
        <v>295</v>
      </c>
      <c r="AJ1" s="19" t="s">
        <v>296</v>
      </c>
      <c r="AK1" s="51" t="s">
        <v>233</v>
      </c>
      <c r="AL1" s="51"/>
      <c r="AM1" s="51"/>
      <c r="AN1" s="51"/>
      <c r="AO1" s="52" t="s">
        <v>235</v>
      </c>
      <c r="AP1" s="52"/>
      <c r="AQ1" s="52"/>
      <c r="AR1" s="52"/>
    </row>
    <row r="2" spans="1:44" x14ac:dyDescent="0.35">
      <c r="AK2" s="51" t="s">
        <v>240</v>
      </c>
      <c r="AL2" s="51"/>
      <c r="AM2" s="6" t="s">
        <v>241</v>
      </c>
      <c r="AN2" s="6" t="s">
        <v>241</v>
      </c>
      <c r="AO2" s="52" t="s">
        <v>242</v>
      </c>
      <c r="AP2" s="52"/>
      <c r="AQ2" s="52" t="s">
        <v>243</v>
      </c>
      <c r="AR2" s="52"/>
    </row>
    <row r="3" spans="1:44" hidden="1" x14ac:dyDescent="0.35">
      <c r="A3">
        <v>2201</v>
      </c>
      <c r="B3" t="s">
        <v>25</v>
      </c>
      <c r="C3" t="s">
        <v>26</v>
      </c>
      <c r="D3" t="s">
        <v>27</v>
      </c>
      <c r="E3" t="s">
        <v>28</v>
      </c>
      <c r="G3" t="s">
        <v>283</v>
      </c>
      <c r="H3" t="s">
        <v>29</v>
      </c>
      <c r="I3" t="s">
        <v>34</v>
      </c>
      <c r="J3" t="s">
        <v>82</v>
      </c>
      <c r="K3" t="s">
        <v>36</v>
      </c>
      <c r="L3" t="s">
        <v>36</v>
      </c>
      <c r="M3">
        <v>2017</v>
      </c>
      <c r="N3" t="s">
        <v>37</v>
      </c>
      <c r="O3" t="s">
        <v>39</v>
      </c>
      <c r="P3" t="s">
        <v>40</v>
      </c>
      <c r="Q3" t="s">
        <v>272</v>
      </c>
      <c r="R3" t="s">
        <v>43</v>
      </c>
      <c r="S3">
        <v>-13.04861</v>
      </c>
      <c r="T3">
        <v>28.338059999999999</v>
      </c>
      <c r="U3" t="s">
        <v>44</v>
      </c>
      <c r="V3" t="s">
        <v>45</v>
      </c>
      <c r="W3" t="s">
        <v>46</v>
      </c>
      <c r="X3" t="s">
        <v>47</v>
      </c>
      <c r="Y3" t="s">
        <v>48</v>
      </c>
      <c r="Z3" t="s">
        <v>49</v>
      </c>
      <c r="AA3" t="s">
        <v>53</v>
      </c>
      <c r="AB3" s="2">
        <v>1500000</v>
      </c>
      <c r="AC3" t="s">
        <v>232</v>
      </c>
      <c r="AD3">
        <f>IF(ISBLANK(AB3), "", AB3*Parameter!$H$3)</f>
        <v>1200000</v>
      </c>
      <c r="AE3">
        <f>IF(J3="Ore and concentrate",IF(G3="Open Pit", Parameter!$C$19,Parameter!$C$21), IF(F3="Smelter",Parameter!$C$10,IF(F3="Refinary",Parameter!$C$12,Parameter!$C$15)))</f>
        <v>7.2849999999999998E-2</v>
      </c>
      <c r="AF3">
        <f>IF(J3="Ore and concentrate",IF(G3="Open Pit",Parameter!$C$20,Parameter!$C$22),IF(F3="Smelter",Parameter!$C$11,IF(F3="Refinary",Parameter!$C$13,Parameter!$C$16)))</f>
        <v>1.333E-2</v>
      </c>
      <c r="AG3">
        <f>IF(AD3="","", AD3*AE3/1000)</f>
        <v>87.42</v>
      </c>
      <c r="AH3">
        <f>IF((AD3=""),"", AD3*AF3/1000)</f>
        <v>15.996</v>
      </c>
      <c r="AI3" s="2">
        <f>AD3*Parameter!$H$1</f>
        <v>7440</v>
      </c>
      <c r="AJ3" s="2">
        <v>1294</v>
      </c>
      <c r="AK3" t="s">
        <v>103</v>
      </c>
      <c r="AL3" t="s">
        <v>103</v>
      </c>
      <c r="AM3" s="1">
        <v>13836</v>
      </c>
      <c r="AN3" s="1">
        <v>13612</v>
      </c>
      <c r="AO3" t="s">
        <v>238</v>
      </c>
      <c r="AP3" t="s">
        <v>236</v>
      </c>
      <c r="AQ3" s="2">
        <v>725000</v>
      </c>
      <c r="AR3" t="s">
        <v>236</v>
      </c>
    </row>
    <row r="4" spans="1:44" x14ac:dyDescent="0.35">
      <c r="A4">
        <v>2202</v>
      </c>
      <c r="B4" t="s">
        <v>30</v>
      </c>
      <c r="C4" t="s">
        <v>31</v>
      </c>
      <c r="D4" t="s">
        <v>27</v>
      </c>
      <c r="E4" t="s">
        <v>32</v>
      </c>
      <c r="F4" t="s">
        <v>268</v>
      </c>
      <c r="G4" t="s">
        <v>275</v>
      </c>
      <c r="H4" t="s">
        <v>33</v>
      </c>
      <c r="I4" t="s">
        <v>34</v>
      </c>
      <c r="J4" t="s">
        <v>38</v>
      </c>
      <c r="K4" t="s">
        <v>36</v>
      </c>
      <c r="L4" t="s">
        <v>36</v>
      </c>
      <c r="M4">
        <v>2017</v>
      </c>
      <c r="N4" t="s">
        <v>37</v>
      </c>
      <c r="O4" t="s">
        <v>41</v>
      </c>
      <c r="P4" t="s">
        <v>42</v>
      </c>
      <c r="R4" t="s">
        <v>43</v>
      </c>
      <c r="S4">
        <v>-13.042299999999999</v>
      </c>
      <c r="T4">
        <v>28.709353</v>
      </c>
      <c r="U4" t="s">
        <v>44</v>
      </c>
      <c r="V4" t="s">
        <v>50</v>
      </c>
      <c r="W4" t="s">
        <v>46</v>
      </c>
      <c r="X4" t="s">
        <v>51</v>
      </c>
      <c r="Y4" t="s">
        <v>52</v>
      </c>
      <c r="Z4" t="s">
        <v>43</v>
      </c>
      <c r="AA4" t="s">
        <v>53</v>
      </c>
      <c r="AB4" s="2">
        <v>52000</v>
      </c>
      <c r="AC4" t="s">
        <v>232</v>
      </c>
      <c r="AD4" s="2">
        <f>IF(ISBLANK(AB4), "", AB4*Parameter!$H$3)</f>
        <v>41600</v>
      </c>
      <c r="AE4">
        <f>IF(J4="Ore and concentrate",IF(G4="Open Pit", Parameter!$C$19,Parameter!$C$21), IF(F4="Smelter",Parameter!$C$10,IF(F4="Refinary",Parameter!$C$12,Parameter!$C$15)))</f>
        <v>12.466000000000001</v>
      </c>
      <c r="AF4">
        <f>IF(J4="Ore and concentrate",IF(G4="Open Pit",Parameter!$C$20,Parameter!$C$22),IF(F4="Smelter",Parameter!$C$11,IF(F4="Refinary",Parameter!$C$13,Parameter!$C$16)))</f>
        <v>1.518</v>
      </c>
      <c r="AG4">
        <f t="shared" ref="AG4:AG41" si="0">IF(AD4="","", AD4*AE4/1000)</f>
        <v>518.5856</v>
      </c>
      <c r="AH4">
        <f t="shared" ref="AH4:AH41" si="1">IF((AD4=""),"", AD4*AF4/1000)</f>
        <v>63.148800000000001</v>
      </c>
      <c r="AM4" t="s">
        <v>234</v>
      </c>
      <c r="AN4" t="s">
        <v>234</v>
      </c>
      <c r="AO4" s="2">
        <v>10000</v>
      </c>
      <c r="AP4" t="s">
        <v>236</v>
      </c>
    </row>
    <row r="5" spans="1:44" x14ac:dyDescent="0.35">
      <c r="A5">
        <v>2205</v>
      </c>
      <c r="B5" t="s">
        <v>54</v>
      </c>
      <c r="C5" t="s">
        <v>55</v>
      </c>
      <c r="D5" t="s">
        <v>27</v>
      </c>
      <c r="E5" t="s">
        <v>56</v>
      </c>
      <c r="F5" t="s">
        <v>268</v>
      </c>
      <c r="H5" t="s">
        <v>33</v>
      </c>
      <c r="I5" t="s">
        <v>34</v>
      </c>
      <c r="J5" t="s">
        <v>38</v>
      </c>
      <c r="K5" t="s">
        <v>36</v>
      </c>
      <c r="L5" t="s">
        <v>36</v>
      </c>
      <c r="M5">
        <v>2017</v>
      </c>
      <c r="N5" t="s">
        <v>37</v>
      </c>
      <c r="O5" t="s">
        <v>41</v>
      </c>
      <c r="P5" t="s">
        <v>42</v>
      </c>
      <c r="R5" t="s">
        <v>43</v>
      </c>
      <c r="S5">
        <v>-12.649976000000001</v>
      </c>
      <c r="T5">
        <v>28.041173000000001</v>
      </c>
      <c r="U5" t="s">
        <v>61</v>
      </c>
      <c r="V5" t="s">
        <v>62</v>
      </c>
      <c r="W5" t="s">
        <v>46</v>
      </c>
      <c r="X5" t="s">
        <v>63</v>
      </c>
      <c r="Y5" t="s">
        <v>64</v>
      </c>
      <c r="Z5" t="s">
        <v>65</v>
      </c>
      <c r="AA5" t="s">
        <v>53</v>
      </c>
      <c r="AB5" s="42">
        <v>8000</v>
      </c>
      <c r="AC5" t="s">
        <v>232</v>
      </c>
      <c r="AD5" s="2">
        <f>IF(ISBLANK(AB5), "", AB5*Parameter!$H$3)</f>
        <v>6400</v>
      </c>
      <c r="AE5">
        <f>IF(J5="Ore and concentrate",IF(G5="Open Pit", Parameter!$C$19,Parameter!$C$21), IF(F5="Smelter",Parameter!$C$10,IF(F5="Refinary",Parameter!$C$12,Parameter!$C$15)))</f>
        <v>12.466000000000001</v>
      </c>
      <c r="AF5">
        <f>IF(J5="Ore and concentrate",IF(G5="Open Pit",Parameter!$C$20,Parameter!$C$22),IF(F5="Smelter",Parameter!$C$11,IF(F5="Refinary",Parameter!$C$13,Parameter!$C$16)))</f>
        <v>1.518</v>
      </c>
      <c r="AG5">
        <f t="shared" si="0"/>
        <v>79.78240000000001</v>
      </c>
      <c r="AH5">
        <f t="shared" si="1"/>
        <v>9.7152000000000012</v>
      </c>
      <c r="AK5" t="s">
        <v>103</v>
      </c>
      <c r="AL5" t="s">
        <v>103</v>
      </c>
      <c r="AM5" s="1">
        <v>66005</v>
      </c>
      <c r="AN5" s="1">
        <v>40163</v>
      </c>
    </row>
    <row r="6" spans="1:44" s="3" customFormat="1" x14ac:dyDescent="0.35">
      <c r="A6" s="3">
        <v>2206</v>
      </c>
      <c r="B6" s="3" t="s">
        <v>54</v>
      </c>
      <c r="C6" s="3" t="s">
        <v>43</v>
      </c>
      <c r="D6" s="3" t="s">
        <v>27</v>
      </c>
      <c r="E6" s="3" t="s">
        <v>57</v>
      </c>
      <c r="F6" t="s">
        <v>268</v>
      </c>
      <c r="G6"/>
      <c r="H6" s="3" t="s">
        <v>33</v>
      </c>
      <c r="I6" s="3" t="s">
        <v>34</v>
      </c>
      <c r="J6" s="3" t="s">
        <v>38</v>
      </c>
      <c r="K6" s="3" t="s">
        <v>36</v>
      </c>
      <c r="L6" s="3" t="s">
        <v>36</v>
      </c>
      <c r="M6" s="3">
        <v>2017</v>
      </c>
      <c r="N6" s="3" t="s">
        <v>37</v>
      </c>
      <c r="O6" s="3" t="s">
        <v>41</v>
      </c>
      <c r="P6" s="3" t="s">
        <v>59</v>
      </c>
      <c r="R6" s="3" t="s">
        <v>66</v>
      </c>
      <c r="S6" s="3">
        <v>-12.649976000000001</v>
      </c>
      <c r="T6" s="3">
        <v>28.041173000000001</v>
      </c>
      <c r="U6" s="3" t="s">
        <v>61</v>
      </c>
      <c r="V6" s="3" t="s">
        <v>50</v>
      </c>
      <c r="W6" s="3" t="s">
        <v>46</v>
      </c>
      <c r="X6" s="3" t="s">
        <v>67</v>
      </c>
      <c r="Y6" s="3" t="s">
        <v>68</v>
      </c>
      <c r="Z6" s="3" t="s">
        <v>69</v>
      </c>
      <c r="AA6" s="3" t="s">
        <v>53</v>
      </c>
      <c r="AB6" s="43">
        <v>27000</v>
      </c>
      <c r="AC6" s="3" t="s">
        <v>232</v>
      </c>
      <c r="AD6" s="2">
        <f>IF(ISBLANK(AB6), "", AB6*Parameter!$H$3)</f>
        <v>21600</v>
      </c>
      <c r="AE6">
        <f>IF(J6="Ore and concentrate",IF(G6="Open Pit", Parameter!$C$19,Parameter!$C$21), IF(F6="Smelter",Parameter!$C$10,IF(F6="Refinary",Parameter!$C$12,Parameter!$C$15)))</f>
        <v>12.466000000000001</v>
      </c>
      <c r="AF6">
        <f>IF(J6="Ore and concentrate",IF(G6="Open Pit",Parameter!$C$20,Parameter!$C$22),IF(F6="Smelter",Parameter!$C$11,IF(F6="Refinary",Parameter!$C$13,Parameter!$C$16)))</f>
        <v>1.518</v>
      </c>
      <c r="AG6">
        <f t="shared" si="0"/>
        <v>269.26560000000006</v>
      </c>
      <c r="AH6">
        <f t="shared" si="1"/>
        <v>32.788800000000002</v>
      </c>
      <c r="AI6" s="2"/>
    </row>
    <row r="7" spans="1:44" x14ac:dyDescent="0.35">
      <c r="A7">
        <v>2207</v>
      </c>
      <c r="B7" t="s">
        <v>54</v>
      </c>
      <c r="C7" t="s">
        <v>43</v>
      </c>
      <c r="D7" t="s">
        <v>27</v>
      </c>
      <c r="E7" t="s">
        <v>58</v>
      </c>
      <c r="F7" t="s">
        <v>257</v>
      </c>
      <c r="H7" t="s">
        <v>33</v>
      </c>
      <c r="I7" t="s">
        <v>34</v>
      </c>
      <c r="J7" t="s">
        <v>38</v>
      </c>
      <c r="K7" t="s">
        <v>36</v>
      </c>
      <c r="L7" t="s">
        <v>36</v>
      </c>
      <c r="M7">
        <v>2017</v>
      </c>
      <c r="N7" t="s">
        <v>37</v>
      </c>
      <c r="O7" t="s">
        <v>41</v>
      </c>
      <c r="P7" t="s">
        <v>60</v>
      </c>
      <c r="R7" t="s">
        <v>43</v>
      </c>
      <c r="S7">
        <v>-12.649976000000001</v>
      </c>
      <c r="T7">
        <v>28.041173000000001</v>
      </c>
      <c r="U7" t="s">
        <v>61</v>
      </c>
      <c r="V7" t="s">
        <v>50</v>
      </c>
      <c r="W7" t="s">
        <v>46</v>
      </c>
      <c r="X7" t="s">
        <v>70</v>
      </c>
      <c r="Y7" t="s">
        <v>71</v>
      </c>
      <c r="Z7" t="s">
        <v>72</v>
      </c>
      <c r="AA7" t="s">
        <v>53</v>
      </c>
      <c r="AB7" s="42">
        <v>250000</v>
      </c>
      <c r="AC7" t="s">
        <v>232</v>
      </c>
      <c r="AD7" s="2">
        <f>IF(ISBLANK(AB7), "", AB7*Parameter!$H$3)</f>
        <v>200000</v>
      </c>
      <c r="AE7">
        <f>IF(J7="Ore and concentrate",IF(G7="Open Pit", Parameter!$C$19,Parameter!$C$21), IF(F7="Smelter",Parameter!$C$10,IF(F7="Refinary",Parameter!$C$12,Parameter!$C$15)))</f>
        <v>9.266</v>
      </c>
      <c r="AF7">
        <f>IF(J7="Ore and concentrate",IF(G7="Open Pit",Parameter!$C$20,Parameter!$C$22),IF(F7="Smelter",Parameter!$C$11,IF(F7="Refinary",Parameter!$C$13,Parameter!$C$16)))</f>
        <v>1.518</v>
      </c>
      <c r="AG7">
        <f t="shared" si="0"/>
        <v>1853.2</v>
      </c>
      <c r="AH7">
        <f t="shared" si="1"/>
        <v>303.60000000000002</v>
      </c>
      <c r="AM7" s="5" t="s">
        <v>103</v>
      </c>
      <c r="AN7" s="5" t="s">
        <v>103</v>
      </c>
    </row>
    <row r="8" spans="1:44" hidden="1" x14ac:dyDescent="0.35">
      <c r="A8">
        <v>2209</v>
      </c>
      <c r="B8" t="s">
        <v>73</v>
      </c>
      <c r="C8" t="s">
        <v>74</v>
      </c>
      <c r="D8" t="s">
        <v>27</v>
      </c>
      <c r="E8" t="s">
        <v>75</v>
      </c>
      <c r="H8" t="s">
        <v>29</v>
      </c>
      <c r="I8" t="s">
        <v>34</v>
      </c>
      <c r="J8" t="s">
        <v>82</v>
      </c>
      <c r="K8" t="s">
        <v>36</v>
      </c>
      <c r="L8" t="s">
        <v>36</v>
      </c>
      <c r="M8">
        <v>2017</v>
      </c>
      <c r="N8" t="s">
        <v>37</v>
      </c>
      <c r="O8" t="s">
        <v>41</v>
      </c>
      <c r="P8" s="12" t="s">
        <v>83</v>
      </c>
      <c r="Q8" s="2">
        <f>Parameter!$H$1/Parameter!$H$2*Comparison!AD8</f>
        <v>35464</v>
      </c>
      <c r="R8" t="s">
        <v>85</v>
      </c>
      <c r="S8">
        <v>-12.658916</v>
      </c>
      <c r="T8">
        <v>28.047927000000001</v>
      </c>
      <c r="U8" t="s">
        <v>61</v>
      </c>
      <c r="V8" t="s">
        <v>45</v>
      </c>
      <c r="W8" t="s">
        <v>46</v>
      </c>
      <c r="X8" t="s">
        <v>86</v>
      </c>
      <c r="Y8" t="s">
        <v>87</v>
      </c>
      <c r="Z8" t="s">
        <v>88</v>
      </c>
      <c r="AA8" t="s">
        <v>53</v>
      </c>
      <c r="AB8" s="2">
        <v>2145000</v>
      </c>
      <c r="AC8" t="s">
        <v>232</v>
      </c>
      <c r="AD8" s="2">
        <f>IF(ISBLANK(AB8), "", AB8*Parameter!$H$3)</f>
        <v>1716000</v>
      </c>
      <c r="AE8">
        <f>IF(J8="Ore and concentrate",IF(G8="Open Pit", Parameter!$C$19,Parameter!$C$21), IF(F8="Smelter",Parameter!$C$10,IF(F8="Refinary",Parameter!$C$12,Parameter!$C$15)))</f>
        <v>7.2849999999999998E-2</v>
      </c>
      <c r="AF8">
        <f>IF(J8="Ore and concentrate",IF(G8="Open Pit",Parameter!$C$20,Parameter!$C$22),IF(F8="Smelter",Parameter!$C$11,IF(F8="Refinary",Parameter!$C$13,Parameter!$C$16)))</f>
        <v>1.333E-2</v>
      </c>
      <c r="AG8">
        <f t="shared" si="0"/>
        <v>125.0106</v>
      </c>
      <c r="AH8">
        <f t="shared" si="1"/>
        <v>22.874279999999999</v>
      </c>
      <c r="AI8" s="2">
        <f>AD8*Parameter!$H$1</f>
        <v>10639.199999999999</v>
      </c>
      <c r="AJ8" s="2">
        <v>14187</v>
      </c>
      <c r="AM8" t="s">
        <v>234</v>
      </c>
      <c r="AN8" t="s">
        <v>234</v>
      </c>
    </row>
    <row r="9" spans="1:44" hidden="1" x14ac:dyDescent="0.35">
      <c r="A9">
        <v>2210</v>
      </c>
      <c r="B9" t="s">
        <v>76</v>
      </c>
      <c r="C9" t="s">
        <v>77</v>
      </c>
      <c r="D9" t="s">
        <v>27</v>
      </c>
      <c r="E9" t="s">
        <v>78</v>
      </c>
      <c r="H9" t="s">
        <v>29</v>
      </c>
      <c r="I9" t="s">
        <v>34</v>
      </c>
      <c r="J9" t="s">
        <v>82</v>
      </c>
      <c r="K9" t="s">
        <v>36</v>
      </c>
      <c r="L9" t="s">
        <v>36</v>
      </c>
      <c r="M9">
        <v>2017</v>
      </c>
      <c r="N9" t="s">
        <v>37</v>
      </c>
      <c r="O9" t="s">
        <v>41</v>
      </c>
      <c r="P9" t="s">
        <v>43</v>
      </c>
      <c r="R9" t="s">
        <v>89</v>
      </c>
      <c r="S9">
        <v>-12.657999999999999</v>
      </c>
      <c r="T9">
        <v>28.103000000000002</v>
      </c>
      <c r="U9" t="s">
        <v>44</v>
      </c>
      <c r="V9" t="s">
        <v>45</v>
      </c>
      <c r="W9" t="s">
        <v>46</v>
      </c>
      <c r="X9" t="s">
        <v>86</v>
      </c>
      <c r="Y9" t="s">
        <v>87</v>
      </c>
      <c r="Z9" t="s">
        <v>88</v>
      </c>
      <c r="AA9" t="s">
        <v>53</v>
      </c>
      <c r="AB9" s="2">
        <v>990000</v>
      </c>
      <c r="AC9" t="s">
        <v>232</v>
      </c>
      <c r="AD9" s="2">
        <f>IF(ISBLANK(AB9), "", AB9*Parameter!$H$3)</f>
        <v>792000</v>
      </c>
      <c r="AE9">
        <f>IF(J9="Ore and concentrate",IF(G9="Open Pit", Parameter!$C$19,Parameter!$C$21), IF(F9="Smelter",Parameter!$C$10,IF(F9="Refinary",Parameter!$C$12,Parameter!$C$15)))</f>
        <v>7.2849999999999998E-2</v>
      </c>
      <c r="AF9">
        <f>IF(J9="Ore and concentrate",IF(G9="Open Pit",Parameter!$C$20,Parameter!$C$22),IF(F9="Smelter",Parameter!$C$11,IF(F9="Refinary",Parameter!$C$13,Parameter!$C$16)))</f>
        <v>1.333E-2</v>
      </c>
      <c r="AG9">
        <f t="shared" si="0"/>
        <v>57.697199999999995</v>
      </c>
      <c r="AH9">
        <f t="shared" si="1"/>
        <v>10.557360000000001</v>
      </c>
      <c r="AI9" s="2">
        <f>AD9*Parameter!$H$1</f>
        <v>4910.3999999999996</v>
      </c>
      <c r="AJ9" s="2">
        <v>1294</v>
      </c>
      <c r="AM9" s="5" t="s">
        <v>103</v>
      </c>
      <c r="AN9" s="5" t="s">
        <v>103</v>
      </c>
      <c r="AO9" s="2">
        <v>450000</v>
      </c>
      <c r="AP9" t="s">
        <v>236</v>
      </c>
      <c r="AQ9" s="2">
        <v>8400</v>
      </c>
      <c r="AR9" t="s">
        <v>236</v>
      </c>
    </row>
    <row r="10" spans="1:44" hidden="1" x14ac:dyDescent="0.35">
      <c r="A10">
        <v>2211</v>
      </c>
      <c r="B10" t="s">
        <v>79</v>
      </c>
      <c r="C10" t="s">
        <v>80</v>
      </c>
      <c r="D10" t="s">
        <v>27</v>
      </c>
      <c r="E10" t="s">
        <v>81</v>
      </c>
      <c r="H10" t="s">
        <v>29</v>
      </c>
      <c r="I10" t="s">
        <v>34</v>
      </c>
      <c r="J10" t="s">
        <v>82</v>
      </c>
      <c r="K10" t="s">
        <v>36</v>
      </c>
      <c r="L10" t="s">
        <v>36</v>
      </c>
      <c r="M10">
        <v>2017</v>
      </c>
      <c r="N10" t="s">
        <v>37</v>
      </c>
      <c r="O10" t="s">
        <v>41</v>
      </c>
      <c r="P10" t="s">
        <v>84</v>
      </c>
      <c r="R10" t="s">
        <v>90</v>
      </c>
      <c r="S10">
        <v>-12.913955</v>
      </c>
      <c r="T10">
        <v>28.079191000000002</v>
      </c>
      <c r="U10" t="s">
        <v>44</v>
      </c>
      <c r="V10" t="s">
        <v>45</v>
      </c>
      <c r="W10" t="s">
        <v>46</v>
      </c>
      <c r="X10" t="s">
        <v>67</v>
      </c>
      <c r="Y10" t="s">
        <v>91</v>
      </c>
      <c r="Z10" t="s">
        <v>88</v>
      </c>
      <c r="AA10" t="s">
        <v>53</v>
      </c>
      <c r="AB10" s="2">
        <v>600000</v>
      </c>
      <c r="AC10" t="s">
        <v>232</v>
      </c>
      <c r="AD10" s="2">
        <f>IF(ISBLANK(AB10), "", AB10*Parameter!$H$3)</f>
        <v>480000</v>
      </c>
      <c r="AE10">
        <f>IF(J10="Ore and concentrate",IF(G10="Open Pit", Parameter!$C$19,Parameter!$C$21), IF(F10="Smelter",Parameter!$C$10,IF(F10="Refinary",Parameter!$C$12,Parameter!$C$15)))</f>
        <v>7.2849999999999998E-2</v>
      </c>
      <c r="AF10">
        <f>IF(J10="Ore and concentrate",IF(G10="Open Pit",Parameter!$C$20,Parameter!$C$22),IF(F10="Smelter",Parameter!$C$11,IF(F10="Refinary",Parameter!$C$13,Parameter!$C$16)))</f>
        <v>1.333E-2</v>
      </c>
      <c r="AG10">
        <f t="shared" si="0"/>
        <v>34.968000000000004</v>
      </c>
      <c r="AH10">
        <f t="shared" si="1"/>
        <v>6.3983999999999996</v>
      </c>
      <c r="AI10" s="2">
        <f>AD10*Parameter!$H$1</f>
        <v>2976</v>
      </c>
      <c r="AJ10" s="2">
        <v>8174</v>
      </c>
      <c r="AK10" s="2">
        <v>188916</v>
      </c>
      <c r="AL10" t="s">
        <v>103</v>
      </c>
      <c r="AM10" s="1">
        <v>3051</v>
      </c>
      <c r="AN10" s="1">
        <v>8023</v>
      </c>
      <c r="AQ10" s="2">
        <v>16500</v>
      </c>
      <c r="AR10" t="s">
        <v>236</v>
      </c>
    </row>
    <row r="11" spans="1:44" hidden="1" x14ac:dyDescent="0.35">
      <c r="A11">
        <v>2214</v>
      </c>
      <c r="B11" t="s">
        <v>92</v>
      </c>
      <c r="C11" t="s">
        <v>93</v>
      </c>
      <c r="D11" t="s">
        <v>27</v>
      </c>
      <c r="E11" t="s">
        <v>94</v>
      </c>
      <c r="G11" t="s">
        <v>284</v>
      </c>
      <c r="H11" t="s">
        <v>29</v>
      </c>
      <c r="I11" t="s">
        <v>34</v>
      </c>
      <c r="J11" t="s">
        <v>82</v>
      </c>
      <c r="K11" t="s">
        <v>36</v>
      </c>
      <c r="L11" t="s">
        <v>36</v>
      </c>
      <c r="M11">
        <v>2017</v>
      </c>
      <c r="N11" t="s">
        <v>37</v>
      </c>
      <c r="O11" t="s">
        <v>41</v>
      </c>
      <c r="P11" s="13" t="s">
        <v>95</v>
      </c>
      <c r="R11" t="s">
        <v>96</v>
      </c>
      <c r="S11">
        <v>-12.509245</v>
      </c>
      <c r="T11">
        <v>27.909251999999999</v>
      </c>
      <c r="U11" t="s">
        <v>44</v>
      </c>
      <c r="V11" t="s">
        <v>45</v>
      </c>
      <c r="W11" t="s">
        <v>46</v>
      </c>
      <c r="X11" s="36" t="s">
        <v>97</v>
      </c>
      <c r="Y11" t="s">
        <v>98</v>
      </c>
      <c r="Z11" t="s">
        <v>99</v>
      </c>
      <c r="AA11" t="s">
        <v>53</v>
      </c>
      <c r="AB11" s="2">
        <v>4500000</v>
      </c>
      <c r="AC11" t="s">
        <v>232</v>
      </c>
      <c r="AD11" s="2">
        <f>IF(ISBLANK(AB11), "", AB11*Parameter!$H$3)/2</f>
        <v>1800000</v>
      </c>
      <c r="AE11">
        <f>IF(J11="Ore and concentrate",IF(G11="Open Pit", Parameter!$C$19,Parameter!$C$21), IF(F11="Smelter",Parameter!$C$10,IF(F11="Refinary",Parameter!$C$12,Parameter!$C$15)))</f>
        <v>5.9520000000000003E-2</v>
      </c>
      <c r="AF11">
        <f>IF(J11="Ore and concentrate",IF(G11="Open Pit",Parameter!$C$20,Parameter!$C$22),IF(F11="Smelter",Parameter!$C$11,IF(F11="Refinary",Parameter!$C$13,Parameter!$C$16)))</f>
        <v>6.3239999999999991E-2</v>
      </c>
      <c r="AG11">
        <f t="shared" si="0"/>
        <v>107.136</v>
      </c>
      <c r="AH11">
        <f t="shared" si="1"/>
        <v>113.83199999999998</v>
      </c>
      <c r="AI11" s="23">
        <f>AD11*Parameter!$H$1</f>
        <v>11160</v>
      </c>
      <c r="AJ11" s="24"/>
    </row>
    <row r="12" spans="1:44" hidden="1" x14ac:dyDescent="0.35">
      <c r="A12">
        <v>2223</v>
      </c>
      <c r="B12" t="s">
        <v>100</v>
      </c>
      <c r="C12" t="s">
        <v>101</v>
      </c>
      <c r="D12" t="s">
        <v>27</v>
      </c>
      <c r="E12" t="s">
        <v>102</v>
      </c>
      <c r="G12" t="s">
        <v>284</v>
      </c>
      <c r="H12" t="s">
        <v>29</v>
      </c>
      <c r="I12" t="s">
        <v>34</v>
      </c>
      <c r="J12" t="s">
        <v>82</v>
      </c>
      <c r="K12" t="s">
        <v>36</v>
      </c>
      <c r="L12" t="s">
        <v>36</v>
      </c>
      <c r="M12">
        <v>2017</v>
      </c>
      <c r="N12" t="s">
        <v>103</v>
      </c>
      <c r="O12" t="s">
        <v>41</v>
      </c>
      <c r="P12" t="s">
        <v>43</v>
      </c>
      <c r="R12" t="s">
        <v>96</v>
      </c>
      <c r="S12">
        <v>-12.407088999999999</v>
      </c>
      <c r="T12">
        <v>27.880268999999998</v>
      </c>
      <c r="U12" t="s">
        <v>61</v>
      </c>
      <c r="V12" t="s">
        <v>50</v>
      </c>
      <c r="W12" t="s">
        <v>46</v>
      </c>
      <c r="X12" s="36" t="s">
        <v>97</v>
      </c>
      <c r="Y12" t="s">
        <v>98</v>
      </c>
      <c r="Z12" t="s">
        <v>99</v>
      </c>
      <c r="AA12" t="s">
        <v>53</v>
      </c>
      <c r="AB12" s="2"/>
      <c r="AC12" t="s">
        <v>232</v>
      </c>
      <c r="AD12" s="2" t="str">
        <f>IF(ISBLANK(AB12), "", AB12*Parameter!$H$3)</f>
        <v/>
      </c>
      <c r="AE12">
        <f>IF(J12="Ore and concentrate",IF(G12="Open Pit", Parameter!$C$19,Parameter!$C$21), IF(F12="Smelter",Parameter!$C$10,IF(F12="Refinary",Parameter!$C$12,Parameter!$C$15)))</f>
        <v>5.9520000000000003E-2</v>
      </c>
      <c r="AF12">
        <f>IF(J12="Ore and concentrate",IF(G12="Open Pit",Parameter!$C$20,Parameter!$C$22),IF(F12="Smelter",Parameter!$C$11,IF(F12="Refinary",Parameter!$C$13,Parameter!$C$16)))</f>
        <v>6.3239999999999991E-2</v>
      </c>
      <c r="AG12" t="str">
        <f t="shared" si="0"/>
        <v/>
      </c>
      <c r="AH12" t="str">
        <f t="shared" si="1"/>
        <v/>
      </c>
      <c r="AJ12" s="18"/>
    </row>
    <row r="13" spans="1:44" hidden="1" x14ac:dyDescent="0.35">
      <c r="A13">
        <v>2228</v>
      </c>
      <c r="B13" t="s">
        <v>104</v>
      </c>
      <c r="C13" t="s">
        <v>105</v>
      </c>
      <c r="D13" t="s">
        <v>27</v>
      </c>
      <c r="E13" t="s">
        <v>106</v>
      </c>
      <c r="H13" t="s">
        <v>29</v>
      </c>
      <c r="I13" t="s">
        <v>34</v>
      </c>
      <c r="J13" t="s">
        <v>82</v>
      </c>
      <c r="K13" t="s">
        <v>36</v>
      </c>
      <c r="L13" t="s">
        <v>36</v>
      </c>
      <c r="M13">
        <v>2017</v>
      </c>
      <c r="N13" t="s">
        <v>37</v>
      </c>
      <c r="O13" t="s">
        <v>41</v>
      </c>
      <c r="P13" s="12" t="s">
        <v>107</v>
      </c>
      <c r="Q13" s="2">
        <f>Comparison!AD13</f>
        <v>23593870.967741936</v>
      </c>
      <c r="R13" t="s">
        <v>108</v>
      </c>
      <c r="S13">
        <v>-12.093786</v>
      </c>
      <c r="T13">
        <v>26.429832999999999</v>
      </c>
      <c r="U13" t="s">
        <v>61</v>
      </c>
      <c r="V13" t="s">
        <v>50</v>
      </c>
      <c r="W13" t="s">
        <v>46</v>
      </c>
      <c r="X13" t="s">
        <v>109</v>
      </c>
      <c r="Y13" t="s">
        <v>110</v>
      </c>
      <c r="Z13" t="s">
        <v>49</v>
      </c>
      <c r="AA13" t="s">
        <v>111</v>
      </c>
      <c r="AB13" s="2">
        <v>12000000</v>
      </c>
      <c r="AC13" t="s">
        <v>232</v>
      </c>
      <c r="AD13" s="2">
        <f>146282/Parameter!$H$1</f>
        <v>23593870.967741936</v>
      </c>
      <c r="AE13">
        <f>IF(J13="Ore and concentrate",IF(G13="Open Pit", Parameter!$C$19,Parameter!$C$21), IF(F13="Smelter",Parameter!$C$10,IF(F13="Refinary",Parameter!$C$12,Parameter!$C$15)))</f>
        <v>7.2849999999999998E-2</v>
      </c>
      <c r="AF13">
        <f>IF(J13="Ore and concentrate",IF(G13="Open Pit",Parameter!$C$20,Parameter!$C$22),IF(F13="Smelter",Parameter!$C$11,IF(F13="Refinary",Parameter!$C$13,Parameter!$C$16)))</f>
        <v>1.333E-2</v>
      </c>
      <c r="AG13">
        <f t="shared" si="0"/>
        <v>1718.8135</v>
      </c>
      <c r="AH13">
        <f t="shared" si="1"/>
        <v>314.50630000000001</v>
      </c>
      <c r="AI13" s="26">
        <f>AD13*Parameter!$H$1</f>
        <v>146282</v>
      </c>
      <c r="AJ13" s="25">
        <v>232243</v>
      </c>
      <c r="AK13" s="2">
        <v>28151000</v>
      </c>
      <c r="AL13" s="2">
        <v>29134000</v>
      </c>
      <c r="AM13" s="1">
        <v>202159</v>
      </c>
      <c r="AN13" s="1">
        <v>221487</v>
      </c>
    </row>
    <row r="14" spans="1:44" x14ac:dyDescent="0.35">
      <c r="A14">
        <v>2230</v>
      </c>
      <c r="B14" t="s">
        <v>112</v>
      </c>
      <c r="C14" t="s">
        <v>113</v>
      </c>
      <c r="D14" t="s">
        <v>27</v>
      </c>
      <c r="E14" t="s">
        <v>114</v>
      </c>
      <c r="F14" t="s">
        <v>257</v>
      </c>
      <c r="H14" t="s">
        <v>33</v>
      </c>
      <c r="I14" t="s">
        <v>34</v>
      </c>
      <c r="J14" t="s">
        <v>38</v>
      </c>
      <c r="K14" t="s">
        <v>36</v>
      </c>
      <c r="L14" t="s">
        <v>36</v>
      </c>
      <c r="M14">
        <v>2017</v>
      </c>
      <c r="N14" t="s">
        <v>37</v>
      </c>
      <c r="O14" t="s">
        <v>41</v>
      </c>
      <c r="P14" t="s">
        <v>42</v>
      </c>
      <c r="R14" t="s">
        <v>115</v>
      </c>
      <c r="S14">
        <v>-12.088361000000001</v>
      </c>
      <c r="T14">
        <v>26.408977</v>
      </c>
      <c r="U14" t="s">
        <v>61</v>
      </c>
      <c r="V14" t="s">
        <v>50</v>
      </c>
      <c r="W14" t="s">
        <v>46</v>
      </c>
      <c r="X14" t="s">
        <v>109</v>
      </c>
      <c r="Y14" t="s">
        <v>110</v>
      </c>
      <c r="Z14" t="s">
        <v>49</v>
      </c>
      <c r="AA14" t="s">
        <v>111</v>
      </c>
      <c r="AB14" s="2">
        <v>340000</v>
      </c>
      <c r="AC14" t="s">
        <v>232</v>
      </c>
      <c r="AD14" s="2">
        <f>IF(ISBLANK(AB14), "", AB14*Parameter!$H$3)</f>
        <v>272000</v>
      </c>
      <c r="AE14">
        <f>IF(J14="Ore and concentrate",IF(G14="Open Pit", Parameter!$C$19,Parameter!$C$21), IF(F14="Smelter",Parameter!$C$10,IF(F14="Refinary",Parameter!$C$12,Parameter!$C$15)))</f>
        <v>9.266</v>
      </c>
      <c r="AF14">
        <f>IF(J14="Ore and concentrate",IF(G14="Open Pit",Parameter!$C$20,Parameter!$C$22),IF(F14="Smelter",Parameter!$C$11,IF(F14="Refinary",Parameter!$C$13,Parameter!$C$16)))</f>
        <v>1.518</v>
      </c>
      <c r="AG14">
        <f t="shared" si="0"/>
        <v>2520.3519999999999</v>
      </c>
      <c r="AH14">
        <f t="shared" si="1"/>
        <v>412.89600000000002</v>
      </c>
    </row>
    <row r="15" spans="1:44" hidden="1" x14ac:dyDescent="0.35">
      <c r="A15">
        <v>2234</v>
      </c>
      <c r="B15" t="s">
        <v>116</v>
      </c>
      <c r="C15" t="s">
        <v>117</v>
      </c>
      <c r="D15" t="s">
        <v>27</v>
      </c>
      <c r="E15" t="s">
        <v>118</v>
      </c>
      <c r="H15" t="s">
        <v>29</v>
      </c>
      <c r="I15" t="s">
        <v>34</v>
      </c>
      <c r="J15" t="s">
        <v>82</v>
      </c>
      <c r="K15" t="s">
        <v>36</v>
      </c>
      <c r="L15" t="s">
        <v>36</v>
      </c>
      <c r="M15">
        <v>2017</v>
      </c>
      <c r="N15" t="s">
        <v>37</v>
      </c>
      <c r="O15" t="s">
        <v>41</v>
      </c>
      <c r="P15" t="s">
        <v>43</v>
      </c>
      <c r="R15" t="s">
        <v>132</v>
      </c>
      <c r="S15">
        <v>-12.378788999999999</v>
      </c>
      <c r="T15">
        <v>27.826968000000001</v>
      </c>
      <c r="U15" t="s">
        <v>61</v>
      </c>
      <c r="V15" t="s">
        <v>133</v>
      </c>
      <c r="W15" t="s">
        <v>46</v>
      </c>
      <c r="X15" s="36" t="s">
        <v>97</v>
      </c>
      <c r="Y15" t="s">
        <v>98</v>
      </c>
      <c r="Z15" t="s">
        <v>99</v>
      </c>
      <c r="AA15" t="s">
        <v>53</v>
      </c>
      <c r="AB15" s="2">
        <v>2400000</v>
      </c>
      <c r="AC15" t="s">
        <v>232</v>
      </c>
      <c r="AD15" s="2">
        <f>IF(ISBLANK(AB15), "", AB15*Parameter!$H$3)</f>
        <v>1920000</v>
      </c>
      <c r="AE15">
        <f>IF(J15="Ore and concentrate",IF(G15="Open Pit", Parameter!$C$19,Parameter!$C$21), IF(F15="Smelter",Parameter!$C$10,IF(F15="Refinary",Parameter!$C$12,Parameter!$C$15)))</f>
        <v>7.2849999999999998E-2</v>
      </c>
      <c r="AF15">
        <f>IF(J15="Ore and concentrate",IF(G15="Open Pit",Parameter!$C$20,Parameter!$C$22),IF(F15="Smelter",Parameter!$C$11,IF(F15="Refinary",Parameter!$C$13,Parameter!$C$16)))</f>
        <v>1.333E-2</v>
      </c>
      <c r="AG15">
        <f t="shared" si="0"/>
        <v>139.87200000000001</v>
      </c>
      <c r="AH15">
        <f t="shared" si="1"/>
        <v>25.593599999999999</v>
      </c>
      <c r="AI15" s="23">
        <f>AD15*Parameter!$H$1</f>
        <v>11904</v>
      </c>
      <c r="AJ15" s="23">
        <v>1294</v>
      </c>
      <c r="AO15" s="2">
        <v>50000</v>
      </c>
      <c r="AP15" s="2"/>
      <c r="AQ15" s="2">
        <v>220000</v>
      </c>
    </row>
    <row r="16" spans="1:44" hidden="1" x14ac:dyDescent="0.35">
      <c r="A16">
        <v>2235</v>
      </c>
      <c r="B16" t="s">
        <v>119</v>
      </c>
      <c r="C16" t="s">
        <v>43</v>
      </c>
      <c r="D16" t="s">
        <v>27</v>
      </c>
      <c r="E16" t="s">
        <v>120</v>
      </c>
      <c r="G16" t="s">
        <v>281</v>
      </c>
      <c r="H16" t="s">
        <v>29</v>
      </c>
      <c r="I16" t="s">
        <v>34</v>
      </c>
      <c r="J16" t="s">
        <v>82</v>
      </c>
      <c r="K16" t="s">
        <v>129</v>
      </c>
      <c r="L16" t="s">
        <v>129</v>
      </c>
      <c r="M16">
        <v>2017</v>
      </c>
      <c r="N16" t="s">
        <v>37</v>
      </c>
      <c r="O16" t="s">
        <v>41</v>
      </c>
      <c r="P16" s="12" t="s">
        <v>130</v>
      </c>
      <c r="Q16" s="2">
        <f>Parameter!$H$1/Parameter!$H$2*Comparison!AD16</f>
        <v>8266.6666666666661</v>
      </c>
      <c r="R16" t="s">
        <v>134</v>
      </c>
      <c r="S16">
        <v>-13.068863</v>
      </c>
      <c r="T16">
        <v>28.322908999999999</v>
      </c>
      <c r="U16" t="s">
        <v>61</v>
      </c>
      <c r="V16" t="s">
        <v>133</v>
      </c>
      <c r="W16" t="s">
        <v>46</v>
      </c>
      <c r="X16" t="s">
        <v>47</v>
      </c>
      <c r="Y16" t="s">
        <v>48</v>
      </c>
      <c r="Z16" t="s">
        <v>49</v>
      </c>
      <c r="AA16" t="s">
        <v>53</v>
      </c>
      <c r="AB16" s="2">
        <v>500000</v>
      </c>
      <c r="AC16" t="s">
        <v>232</v>
      </c>
      <c r="AD16" s="2">
        <f>IF(ISBLANK(AB16), "", AB16*Parameter!$H$3)</f>
        <v>400000</v>
      </c>
      <c r="AE16">
        <f>IF(J16="Ore and concentrate",IF(G16="Open Pit", Parameter!$C$19,Parameter!$C$21), IF(F16="Smelter",Parameter!$C$10,IF(F16="Refinary",Parameter!$C$12,Parameter!$C$15)))</f>
        <v>7.2849999999999998E-2</v>
      </c>
      <c r="AF16">
        <f>IF(J16="Ore and concentrate",IF(G16="Open Pit",Parameter!$C$20,Parameter!$C$22),IF(F16="Smelter",Parameter!$C$11,IF(F16="Refinary",Parameter!$C$13,Parameter!$C$16)))</f>
        <v>1.333E-2</v>
      </c>
      <c r="AG16">
        <f t="shared" si="0"/>
        <v>29.14</v>
      </c>
      <c r="AH16">
        <f t="shared" si="1"/>
        <v>5.3319999999999999</v>
      </c>
      <c r="AI16" s="1">
        <f>AD16*Parameter!$H$1</f>
        <v>2480</v>
      </c>
      <c r="AJ16" s="18"/>
    </row>
    <row r="17" spans="1:44" hidden="1" x14ac:dyDescent="0.35">
      <c r="A17">
        <v>2236</v>
      </c>
      <c r="B17" t="s">
        <v>119</v>
      </c>
      <c r="C17" t="s">
        <v>121</v>
      </c>
      <c r="D17" t="s">
        <v>27</v>
      </c>
      <c r="E17" t="s">
        <v>122</v>
      </c>
      <c r="H17" t="s">
        <v>29</v>
      </c>
      <c r="I17" t="s">
        <v>34</v>
      </c>
      <c r="J17" t="s">
        <v>82</v>
      </c>
      <c r="K17" t="s">
        <v>36</v>
      </c>
      <c r="L17" t="s">
        <v>36</v>
      </c>
      <c r="M17">
        <v>2017</v>
      </c>
      <c r="N17" t="s">
        <v>37</v>
      </c>
      <c r="O17" t="s">
        <v>41</v>
      </c>
      <c r="P17" t="s">
        <v>43</v>
      </c>
      <c r="R17" t="s">
        <v>134</v>
      </c>
      <c r="S17">
        <v>-13.068863</v>
      </c>
      <c r="T17">
        <v>28.322908999999999</v>
      </c>
      <c r="U17" t="s">
        <v>61</v>
      </c>
      <c r="V17" t="s">
        <v>133</v>
      </c>
      <c r="W17" t="s">
        <v>46</v>
      </c>
      <c r="X17" t="s">
        <v>47</v>
      </c>
      <c r="Y17" t="s">
        <v>48</v>
      </c>
      <c r="Z17" t="s">
        <v>49</v>
      </c>
      <c r="AA17" t="s">
        <v>53</v>
      </c>
      <c r="AB17" s="2">
        <v>4500000</v>
      </c>
      <c r="AC17" t="s">
        <v>232</v>
      </c>
      <c r="AD17" s="2">
        <f>IF(ISBLANK(AB17), "", AB17*Parameter!$H$3)</f>
        <v>3600000</v>
      </c>
      <c r="AE17">
        <f>IF(J17="Ore and concentrate",IF(G17="Open Pit", Parameter!$C$19,Parameter!$C$21), IF(F17="Smelter",Parameter!$C$10,IF(F17="Refinary",Parameter!$C$12,Parameter!$C$15)))</f>
        <v>7.2849999999999998E-2</v>
      </c>
      <c r="AF17">
        <f>IF(J17="Ore and concentrate",IF(G17="Open Pit",Parameter!$C$20,Parameter!$C$22),IF(F17="Smelter",Parameter!$C$11,IF(F17="Refinary",Parameter!$C$13,Parameter!$C$16)))</f>
        <v>1.333E-2</v>
      </c>
      <c r="AG17">
        <f t="shared" si="0"/>
        <v>262.26</v>
      </c>
      <c r="AH17">
        <f t="shared" si="1"/>
        <v>47.988</v>
      </c>
      <c r="AI17" s="1">
        <f>AD17*Parameter!$H$1</f>
        <v>22320</v>
      </c>
      <c r="AJ17" s="18"/>
    </row>
    <row r="18" spans="1:44" hidden="1" x14ac:dyDescent="0.35">
      <c r="A18">
        <v>2237</v>
      </c>
      <c r="B18" t="s">
        <v>123</v>
      </c>
      <c r="C18" t="s">
        <v>124</v>
      </c>
      <c r="D18" t="s">
        <v>27</v>
      </c>
      <c r="E18" t="s">
        <v>125</v>
      </c>
      <c r="H18" t="s">
        <v>29</v>
      </c>
      <c r="I18" t="s">
        <v>34</v>
      </c>
      <c r="J18" t="s">
        <v>82</v>
      </c>
      <c r="K18" t="s">
        <v>36</v>
      </c>
      <c r="L18" t="s">
        <v>36</v>
      </c>
      <c r="M18">
        <v>2017</v>
      </c>
      <c r="N18" t="s">
        <v>37</v>
      </c>
      <c r="O18" t="s">
        <v>41</v>
      </c>
      <c r="P18" s="12" t="s">
        <v>131</v>
      </c>
      <c r="Q18" s="2">
        <f>Parameter!$H$1/Parameter!$H$2*Comparison!AD18</f>
        <v>41333.333333333336</v>
      </c>
      <c r="R18" t="s">
        <v>135</v>
      </c>
      <c r="S18">
        <v>-12.294129999999999</v>
      </c>
      <c r="T18">
        <v>27.765612000000001</v>
      </c>
      <c r="U18" t="s">
        <v>61</v>
      </c>
      <c r="V18" t="s">
        <v>50</v>
      </c>
      <c r="W18" t="s">
        <v>46</v>
      </c>
      <c r="X18" t="s">
        <v>136</v>
      </c>
      <c r="Y18" t="s">
        <v>137</v>
      </c>
      <c r="Z18" t="s">
        <v>138</v>
      </c>
      <c r="AA18" t="s">
        <v>53</v>
      </c>
      <c r="AB18" s="2">
        <v>2500000</v>
      </c>
      <c r="AC18" t="s">
        <v>232</v>
      </c>
      <c r="AD18" s="2">
        <f>IF(ISBLANK(AB18), "", AB18*Parameter!$H$3)</f>
        <v>2000000</v>
      </c>
      <c r="AE18">
        <f>IF(J18="Ore and concentrate",IF(G18="Open Pit", Parameter!$C$19,Parameter!$C$21), IF(F18="Smelter",Parameter!$C$10,IF(F18="Refinary",Parameter!$C$12,Parameter!$C$15)))</f>
        <v>7.2849999999999998E-2</v>
      </c>
      <c r="AF18">
        <f>IF(J18="Ore and concentrate",IF(G18="Open Pit",Parameter!$C$20,Parameter!$C$22),IF(F18="Smelter",Parameter!$C$11,IF(F18="Refinary",Parameter!$C$13,Parameter!$C$16)))</f>
        <v>1.333E-2</v>
      </c>
      <c r="AG18">
        <f t="shared" si="0"/>
        <v>145.69999999999999</v>
      </c>
      <c r="AH18">
        <f t="shared" si="1"/>
        <v>26.66</v>
      </c>
      <c r="AI18" s="2">
        <f>AD18*Parameter!$H$1</f>
        <v>12400</v>
      </c>
      <c r="AJ18" s="2">
        <v>1294</v>
      </c>
      <c r="AK18" s="2">
        <v>2654100</v>
      </c>
      <c r="AL18" s="2">
        <v>2520000</v>
      </c>
      <c r="AM18" s="1">
        <v>45584</v>
      </c>
      <c r="AN18" s="1">
        <v>43659</v>
      </c>
    </row>
    <row r="19" spans="1:44" hidden="1" x14ac:dyDescent="0.35">
      <c r="A19">
        <v>2238</v>
      </c>
      <c r="B19" t="s">
        <v>126</v>
      </c>
      <c r="C19" t="s">
        <v>127</v>
      </c>
      <c r="D19" t="s">
        <v>27</v>
      </c>
      <c r="E19" t="s">
        <v>128</v>
      </c>
      <c r="G19" t="s">
        <v>285</v>
      </c>
      <c r="H19" t="s">
        <v>29</v>
      </c>
      <c r="I19" t="s">
        <v>34</v>
      </c>
      <c r="J19" t="s">
        <v>82</v>
      </c>
      <c r="K19" t="s">
        <v>36</v>
      </c>
      <c r="L19" t="s">
        <v>36</v>
      </c>
      <c r="M19">
        <v>2017</v>
      </c>
      <c r="N19" t="s">
        <v>37</v>
      </c>
      <c r="O19" t="s">
        <v>41</v>
      </c>
      <c r="P19" t="s">
        <v>43</v>
      </c>
      <c r="R19" t="s">
        <v>139</v>
      </c>
      <c r="S19">
        <v>-12.230905</v>
      </c>
      <c r="T19">
        <v>25.817114</v>
      </c>
      <c r="U19" t="s">
        <v>61</v>
      </c>
      <c r="V19" t="s">
        <v>45</v>
      </c>
      <c r="W19" t="s">
        <v>46</v>
      </c>
      <c r="X19" t="s">
        <v>140</v>
      </c>
      <c r="Y19" t="s">
        <v>141</v>
      </c>
      <c r="Z19" t="s">
        <v>43</v>
      </c>
      <c r="AA19" t="s">
        <v>111</v>
      </c>
      <c r="AB19" s="2">
        <v>21000000</v>
      </c>
      <c r="AC19" t="s">
        <v>232</v>
      </c>
      <c r="AD19" s="2">
        <f>IF(ISBLANK(AB19), "", AB19*Parameter!$H$3)</f>
        <v>16800000</v>
      </c>
      <c r="AE19">
        <f>IF(J19="Ore and concentrate",IF(G19="Open Pit", Parameter!$C$19,Parameter!$C$21), IF(F19="Smelter",Parameter!$C$10,IF(F19="Refinary",Parameter!$C$12,Parameter!$C$15)))</f>
        <v>7.2849999999999998E-2</v>
      </c>
      <c r="AF19">
        <f>IF(J19="Ore and concentrate",IF(G19="Open Pit",Parameter!$C$20,Parameter!$C$22),IF(F19="Smelter",Parameter!$C$11,IF(F19="Refinary",Parameter!$C$13,Parameter!$C$16)))</f>
        <v>1.333E-2</v>
      </c>
      <c r="AG19">
        <f t="shared" si="0"/>
        <v>1223.8800000000001</v>
      </c>
      <c r="AH19">
        <f t="shared" si="1"/>
        <v>223.94399999999999</v>
      </c>
      <c r="AI19" s="2">
        <f>AD19*Parameter!$H$1</f>
        <v>104160</v>
      </c>
      <c r="AJ19" s="2">
        <v>107955</v>
      </c>
      <c r="AK19" t="s">
        <v>103</v>
      </c>
      <c r="AL19" s="2">
        <v>25290000</v>
      </c>
      <c r="AM19" s="1">
        <v>109769</v>
      </c>
      <c r="AN19" s="1">
        <v>125191</v>
      </c>
    </row>
    <row r="20" spans="1:44" hidden="1" x14ac:dyDescent="0.35">
      <c r="A20">
        <v>2243</v>
      </c>
      <c r="B20" t="s">
        <v>142</v>
      </c>
      <c r="C20" t="s">
        <v>143</v>
      </c>
      <c r="D20" t="s">
        <v>27</v>
      </c>
      <c r="E20" t="s">
        <v>144</v>
      </c>
      <c r="G20" t="s">
        <v>286</v>
      </c>
      <c r="H20" t="s">
        <v>29</v>
      </c>
      <c r="I20" t="s">
        <v>34</v>
      </c>
      <c r="J20" t="s">
        <v>82</v>
      </c>
      <c r="K20" t="s">
        <v>36</v>
      </c>
      <c r="L20" t="s">
        <v>36</v>
      </c>
      <c r="M20">
        <v>2017</v>
      </c>
      <c r="N20" t="s">
        <v>103</v>
      </c>
      <c r="O20" t="s">
        <v>41</v>
      </c>
      <c r="P20" t="s">
        <v>151</v>
      </c>
      <c r="R20" t="s">
        <v>43</v>
      </c>
      <c r="S20">
        <v>-13.944326</v>
      </c>
      <c r="T20">
        <v>29.140440000000002</v>
      </c>
      <c r="U20" t="s">
        <v>44</v>
      </c>
      <c r="V20" t="s">
        <v>50</v>
      </c>
      <c r="W20" t="s">
        <v>46</v>
      </c>
      <c r="X20" t="s">
        <v>153</v>
      </c>
      <c r="Y20" t="s">
        <v>154</v>
      </c>
      <c r="Z20" t="s">
        <v>155</v>
      </c>
      <c r="AA20" t="s">
        <v>159</v>
      </c>
      <c r="AB20" s="2"/>
      <c r="AC20" t="s">
        <v>232</v>
      </c>
      <c r="AD20" s="2" t="str">
        <f>IF(ISBLANK(AB20), "", AB20*Parameter!$H$3)</f>
        <v/>
      </c>
      <c r="AE20">
        <f>IF(J20="Ore and concentrate",IF(G20="Open Pit", Parameter!$C$19,Parameter!$C$21), IF(F20="Smelter",Parameter!$C$10,IF(F20="Refinary",Parameter!$C$12,Parameter!$C$15)))</f>
        <v>7.2849999999999998E-2</v>
      </c>
      <c r="AF20">
        <f>IF(J20="Ore and concentrate",IF(G20="Open Pit",Parameter!$C$20,Parameter!$C$22),IF(F20="Smelter",Parameter!$C$11,IF(F20="Refinary",Parameter!$C$13,Parameter!$C$16)))</f>
        <v>1.333E-2</v>
      </c>
      <c r="AG20" t="str">
        <f t="shared" si="0"/>
        <v/>
      </c>
      <c r="AH20" t="str">
        <f t="shared" si="1"/>
        <v/>
      </c>
      <c r="AJ20" s="18"/>
    </row>
    <row r="21" spans="1:44" x14ac:dyDescent="0.35">
      <c r="A21">
        <v>2244</v>
      </c>
      <c r="B21" t="s">
        <v>145</v>
      </c>
      <c r="C21" t="s">
        <v>146</v>
      </c>
      <c r="D21" t="s">
        <v>27</v>
      </c>
      <c r="E21" t="s">
        <v>147</v>
      </c>
      <c r="F21" t="s">
        <v>257</v>
      </c>
      <c r="G21" t="s">
        <v>274</v>
      </c>
      <c r="H21" t="s">
        <v>33</v>
      </c>
      <c r="I21" t="s">
        <v>34</v>
      </c>
      <c r="J21" t="s">
        <v>38</v>
      </c>
      <c r="K21" t="s">
        <v>36</v>
      </c>
      <c r="L21" t="s">
        <v>36</v>
      </c>
      <c r="M21">
        <v>2017</v>
      </c>
      <c r="N21" t="s">
        <v>37</v>
      </c>
      <c r="O21" t="s">
        <v>41</v>
      </c>
      <c r="P21" t="s">
        <v>152</v>
      </c>
      <c r="R21" t="s">
        <v>43</v>
      </c>
      <c r="S21">
        <v>-12.535</v>
      </c>
      <c r="T21">
        <v>28.234000000000002</v>
      </c>
      <c r="U21" t="s">
        <v>44</v>
      </c>
      <c r="V21" t="s">
        <v>62</v>
      </c>
      <c r="W21" t="s">
        <v>46</v>
      </c>
      <c r="X21" s="34" t="s">
        <v>156</v>
      </c>
      <c r="Y21" t="s">
        <v>157</v>
      </c>
      <c r="Z21" t="s">
        <v>158</v>
      </c>
      <c r="AA21" t="s">
        <v>53</v>
      </c>
      <c r="AB21" s="42">
        <v>200000</v>
      </c>
      <c r="AC21" t="s">
        <v>232</v>
      </c>
      <c r="AD21" s="2">
        <f>IF(ISBLANK(AB21), "", AB21*Parameter!$H$3)</f>
        <v>160000</v>
      </c>
      <c r="AE21">
        <v>6.9029999999999996</v>
      </c>
      <c r="AF21">
        <v>4.1749999999999998</v>
      </c>
      <c r="AG21">
        <f t="shared" si="0"/>
        <v>1104.48</v>
      </c>
      <c r="AH21">
        <f t="shared" si="1"/>
        <v>668</v>
      </c>
      <c r="AK21" t="s">
        <v>103</v>
      </c>
      <c r="AL21" t="s">
        <v>103</v>
      </c>
      <c r="AM21" s="5">
        <v>0</v>
      </c>
      <c r="AN21" s="5">
        <v>0</v>
      </c>
    </row>
    <row r="22" spans="1:44" hidden="1" x14ac:dyDescent="0.35">
      <c r="A22">
        <v>2245</v>
      </c>
      <c r="B22" t="s">
        <v>148</v>
      </c>
      <c r="C22" t="s">
        <v>149</v>
      </c>
      <c r="D22" t="s">
        <v>27</v>
      </c>
      <c r="E22" t="s">
        <v>150</v>
      </c>
      <c r="H22" t="s">
        <v>29</v>
      </c>
      <c r="I22" t="s">
        <v>34</v>
      </c>
      <c r="J22" t="s">
        <v>82</v>
      </c>
      <c r="K22" t="s">
        <v>36</v>
      </c>
      <c r="L22" t="s">
        <v>36</v>
      </c>
      <c r="M22">
        <v>2017</v>
      </c>
      <c r="N22" t="s">
        <v>37</v>
      </c>
      <c r="O22" t="s">
        <v>41</v>
      </c>
      <c r="P22" t="s">
        <v>43</v>
      </c>
      <c r="R22" t="s">
        <v>43</v>
      </c>
      <c r="S22">
        <v>-12.542415</v>
      </c>
      <c r="T22">
        <v>28.219801</v>
      </c>
      <c r="U22" t="s">
        <v>44</v>
      </c>
      <c r="V22" t="s">
        <v>50</v>
      </c>
      <c r="W22" t="s">
        <v>46</v>
      </c>
      <c r="X22" s="33" t="s">
        <v>156</v>
      </c>
      <c r="Y22" t="s">
        <v>157</v>
      </c>
      <c r="Z22" t="s">
        <v>158</v>
      </c>
      <c r="AA22" t="s">
        <v>53</v>
      </c>
      <c r="AB22" s="2">
        <v>2500000</v>
      </c>
      <c r="AC22" t="s">
        <v>232</v>
      </c>
      <c r="AD22" s="2">
        <f>IF(ISBLANK(AB22), "", AB22*Parameter!$H$3)</f>
        <v>2000000</v>
      </c>
      <c r="AE22">
        <f>IF(J22="Ore and concentrate",IF(G22="Open Pit", Parameter!$C$19,Parameter!$C$21), IF(F22="Smelter",Parameter!$C$10,IF(F22="Refinary",Parameter!$C$12,Parameter!$C$15)))</f>
        <v>7.2849999999999998E-2</v>
      </c>
      <c r="AF22">
        <f>IF(J22="Ore and concentrate",IF(G22="Open Pit",Parameter!$C$20,Parameter!$C$22),IF(F22="Smelter",Parameter!$C$11,IF(F22="Refinary",Parameter!$C$13,Parameter!$C$16)))</f>
        <v>1.333E-2</v>
      </c>
      <c r="AG22">
        <f t="shared" si="0"/>
        <v>145.69999999999999</v>
      </c>
      <c r="AH22">
        <f t="shared" si="1"/>
        <v>26.66</v>
      </c>
      <c r="AI22" s="22">
        <f>AD22*Parameter!$H$1</f>
        <v>12400</v>
      </c>
      <c r="AJ22" s="22">
        <v>61900</v>
      </c>
      <c r="AK22" s="2">
        <v>1440000</v>
      </c>
      <c r="AL22" t="s">
        <v>103</v>
      </c>
      <c r="AM22" s="1">
        <v>30551</v>
      </c>
      <c r="AN22" s="1">
        <v>82500</v>
      </c>
      <c r="AO22" s="2">
        <v>125000</v>
      </c>
      <c r="AP22" t="s">
        <v>236</v>
      </c>
      <c r="AQ22" s="2">
        <v>2500000</v>
      </c>
      <c r="AR22" t="s">
        <v>236</v>
      </c>
    </row>
    <row r="23" spans="1:44" x14ac:dyDescent="0.35">
      <c r="A23">
        <v>2247</v>
      </c>
      <c r="B23" t="s">
        <v>160</v>
      </c>
      <c r="C23" t="s">
        <v>161</v>
      </c>
      <c r="D23" t="s">
        <v>27</v>
      </c>
      <c r="E23" t="s">
        <v>162</v>
      </c>
      <c r="F23" t="s">
        <v>269</v>
      </c>
      <c r="H23" t="s">
        <v>33</v>
      </c>
      <c r="I23" t="s">
        <v>34</v>
      </c>
      <c r="J23" t="s">
        <v>38</v>
      </c>
      <c r="K23" t="s">
        <v>36</v>
      </c>
      <c r="L23" t="s">
        <v>36</v>
      </c>
      <c r="M23">
        <v>2017</v>
      </c>
      <c r="N23" t="s">
        <v>37</v>
      </c>
      <c r="O23" t="s">
        <v>41</v>
      </c>
      <c r="P23" t="s">
        <v>42</v>
      </c>
      <c r="R23" t="s">
        <v>43</v>
      </c>
      <c r="S23">
        <v>-12.534000000000001</v>
      </c>
      <c r="T23">
        <v>28.236999999999998</v>
      </c>
      <c r="U23" t="s">
        <v>44</v>
      </c>
      <c r="V23" t="s">
        <v>62</v>
      </c>
      <c r="W23" t="s">
        <v>46</v>
      </c>
      <c r="X23" s="34" t="s">
        <v>156</v>
      </c>
      <c r="Y23" t="s">
        <v>157</v>
      </c>
      <c r="Z23" t="s">
        <v>158</v>
      </c>
      <c r="AA23" t="s">
        <v>53</v>
      </c>
      <c r="AB23" s="42">
        <v>275000</v>
      </c>
      <c r="AC23" t="s">
        <v>232</v>
      </c>
      <c r="AD23" s="2">
        <f>IF(ISBLANK(AB23), "", AB23*Parameter!$H$3)</f>
        <v>220000</v>
      </c>
      <c r="AE23">
        <f>IF(J23="Ore and concentrate",IF(G23="Open Pit", Parameter!$C$19,Parameter!$C$21), IF(F23="Smelter",Parameter!$C$10,IF(F23="Refinary",Parameter!$C$12,Parameter!$C$15)))</f>
        <v>3.2</v>
      </c>
      <c r="AF23">
        <f>IF(J23="Ore and concentrate",IF(G23="Open Pit",Parameter!$C$20,Parameter!$C$22),IF(F23="Smelter",Parameter!$C$11,IF(F23="Refinary",Parameter!$C$13,Parameter!$C$16)))</f>
        <v>0</v>
      </c>
      <c r="AG23">
        <f t="shared" si="0"/>
        <v>704</v>
      </c>
      <c r="AH23">
        <f t="shared" si="1"/>
        <v>0</v>
      </c>
      <c r="AM23" t="s">
        <v>234</v>
      </c>
      <c r="AN23" t="s">
        <v>234</v>
      </c>
      <c r="AO23" s="2">
        <v>270000</v>
      </c>
      <c r="AP23" t="s">
        <v>236</v>
      </c>
    </row>
    <row r="24" spans="1:44" x14ac:dyDescent="0.35">
      <c r="A24">
        <v>2248</v>
      </c>
      <c r="B24" t="s">
        <v>163</v>
      </c>
      <c r="C24" t="s">
        <v>164</v>
      </c>
      <c r="D24" t="s">
        <v>27</v>
      </c>
      <c r="E24" t="s">
        <v>165</v>
      </c>
      <c r="F24" t="s">
        <v>270</v>
      </c>
      <c r="G24" s="3" t="s">
        <v>279</v>
      </c>
      <c r="H24" t="s">
        <v>33</v>
      </c>
      <c r="I24" t="s">
        <v>34</v>
      </c>
      <c r="J24" t="s">
        <v>38</v>
      </c>
      <c r="K24" t="s">
        <v>36</v>
      </c>
      <c r="L24" t="s">
        <v>36</v>
      </c>
      <c r="M24">
        <v>2017</v>
      </c>
      <c r="N24" t="s">
        <v>103</v>
      </c>
      <c r="O24" t="s">
        <v>41</v>
      </c>
      <c r="P24" t="s">
        <v>43</v>
      </c>
      <c r="R24" t="s">
        <v>237</v>
      </c>
      <c r="S24">
        <v>-12.533671</v>
      </c>
      <c r="T24">
        <v>28.238890999999999</v>
      </c>
      <c r="U24" t="s">
        <v>44</v>
      </c>
      <c r="V24" t="s">
        <v>62</v>
      </c>
      <c r="W24" t="s">
        <v>46</v>
      </c>
      <c r="X24" s="34" t="s">
        <v>156</v>
      </c>
      <c r="Y24" t="s">
        <v>157</v>
      </c>
      <c r="Z24" t="s">
        <v>158</v>
      </c>
      <c r="AA24" t="s">
        <v>53</v>
      </c>
      <c r="AB24" s="2"/>
      <c r="AC24" t="s">
        <v>232</v>
      </c>
      <c r="AD24" s="2" t="str">
        <f>IF(ISBLANK(AB24), "", AB24*Parameter!$H$3)</f>
        <v/>
      </c>
      <c r="AE24">
        <f>IF(J24="Ore and concentrate",IF(G24="Open Pit", Parameter!$C$19,Parameter!$C$21), IF(F24="Smelter",Parameter!$C$10,IF(F24="Refinary",Parameter!$C$12,Parameter!$C$15)))</f>
        <v>12.466000000000001</v>
      </c>
      <c r="AF24">
        <f>IF(J24="Ore and concentrate",IF(G24="Open Pit",Parameter!$C$20,Parameter!$C$22),IF(F24="Smelter",Parameter!$C$11,IF(F24="Refinary",Parameter!$C$13,Parameter!$C$16)))</f>
        <v>1.518</v>
      </c>
      <c r="AG24" t="str">
        <f t="shared" si="0"/>
        <v/>
      </c>
      <c r="AH24" t="str">
        <f t="shared" si="1"/>
        <v/>
      </c>
      <c r="AM24" t="s">
        <v>234</v>
      </c>
      <c r="AN24" t="s">
        <v>234</v>
      </c>
      <c r="AO24" t="s">
        <v>103</v>
      </c>
      <c r="AP24" t="s">
        <v>236</v>
      </c>
    </row>
    <row r="25" spans="1:44" x14ac:dyDescent="0.35">
      <c r="A25">
        <v>2249</v>
      </c>
      <c r="B25" t="s">
        <v>166</v>
      </c>
      <c r="C25" t="s">
        <v>167</v>
      </c>
      <c r="D25" t="s">
        <v>27</v>
      </c>
      <c r="E25" t="s">
        <v>168</v>
      </c>
      <c r="F25" t="s">
        <v>268</v>
      </c>
      <c r="G25" t="s">
        <v>278</v>
      </c>
      <c r="H25" t="s">
        <v>33</v>
      </c>
      <c r="I25" t="s">
        <v>34</v>
      </c>
      <c r="J25" t="s">
        <v>38</v>
      </c>
      <c r="K25" t="s">
        <v>36</v>
      </c>
      <c r="L25" t="s">
        <v>36</v>
      </c>
      <c r="M25">
        <v>2017</v>
      </c>
      <c r="N25" t="s">
        <v>37</v>
      </c>
      <c r="O25" t="s">
        <v>41</v>
      </c>
      <c r="P25" t="s">
        <v>42</v>
      </c>
      <c r="R25" t="s">
        <v>134</v>
      </c>
      <c r="S25">
        <v>-13.06861</v>
      </c>
      <c r="T25">
        <v>28.32583</v>
      </c>
      <c r="U25" t="s">
        <v>44</v>
      </c>
      <c r="V25" t="s">
        <v>62</v>
      </c>
      <c r="W25" t="s">
        <v>46</v>
      </c>
      <c r="X25" t="s">
        <v>47</v>
      </c>
      <c r="Y25" t="s">
        <v>169</v>
      </c>
      <c r="Z25" t="s">
        <v>43</v>
      </c>
      <c r="AA25" t="s">
        <v>53</v>
      </c>
      <c r="AB25" s="2">
        <v>40000</v>
      </c>
      <c r="AC25" t="s">
        <v>232</v>
      </c>
      <c r="AD25" s="2">
        <f>IF(ISBLANK(AB25), "", AB25*Parameter!$H$3)</f>
        <v>32000</v>
      </c>
      <c r="AE25">
        <f>IF(J25="Ore and concentrate",IF(G25="Open Pit", Parameter!$C$19,Parameter!$C$21), IF(F25="Smelter",Parameter!$C$10,IF(F25="Refinary",Parameter!$C$12,Parameter!$C$15)))</f>
        <v>12.466000000000001</v>
      </c>
      <c r="AF25">
        <f>IF(J25="Ore and concentrate",IF(G25="Open Pit",Parameter!$C$20,Parameter!$C$22),IF(F25="Smelter",Parameter!$C$11,IF(F25="Refinary",Parameter!$C$13,Parameter!$C$16)))</f>
        <v>1.518</v>
      </c>
      <c r="AG25">
        <f t="shared" si="0"/>
        <v>398.91200000000003</v>
      </c>
      <c r="AH25">
        <f t="shared" si="1"/>
        <v>48.576000000000001</v>
      </c>
      <c r="AJ25" s="1">
        <v>41876</v>
      </c>
      <c r="AO25" s="2">
        <v>34000</v>
      </c>
      <c r="AP25" t="s">
        <v>236</v>
      </c>
    </row>
    <row r="26" spans="1:44" x14ac:dyDescent="0.35">
      <c r="A26">
        <v>2251</v>
      </c>
      <c r="B26" t="s">
        <v>170</v>
      </c>
      <c r="C26" t="s">
        <v>171</v>
      </c>
      <c r="D26" t="s">
        <v>27</v>
      </c>
      <c r="E26" t="s">
        <v>172</v>
      </c>
      <c r="H26" t="s">
        <v>29</v>
      </c>
      <c r="I26" t="s">
        <v>34</v>
      </c>
      <c r="J26" t="s">
        <v>38</v>
      </c>
      <c r="K26" s="3" t="s">
        <v>36</v>
      </c>
      <c r="L26" s="3" t="s">
        <v>36</v>
      </c>
      <c r="M26">
        <v>2017</v>
      </c>
      <c r="N26" s="3" t="s">
        <v>37</v>
      </c>
      <c r="O26" s="3" t="s">
        <v>39</v>
      </c>
      <c r="P26" t="s">
        <v>174</v>
      </c>
      <c r="Q26" t="s">
        <v>294</v>
      </c>
      <c r="R26" t="s">
        <v>175</v>
      </c>
      <c r="S26" s="3">
        <v>-15.925446000000001</v>
      </c>
      <c r="T26" s="3">
        <v>28.129807</v>
      </c>
      <c r="U26" s="3" t="s">
        <v>61</v>
      </c>
      <c r="V26" s="3" t="s">
        <v>50</v>
      </c>
      <c r="W26" s="3" t="s">
        <v>46</v>
      </c>
      <c r="X26" s="3" t="s">
        <v>176</v>
      </c>
      <c r="Y26" s="3" t="s">
        <v>177</v>
      </c>
      <c r="Z26" s="3" t="s">
        <v>43</v>
      </c>
      <c r="AA26" s="3" t="s">
        <v>178</v>
      </c>
      <c r="AB26" s="2">
        <v>1700</v>
      </c>
      <c r="AC26" t="s">
        <v>232</v>
      </c>
      <c r="AD26" s="2">
        <f>IF(ISBLANK(AB26), "", AB26*Parameter!$H$3)</f>
        <v>1360</v>
      </c>
      <c r="AE26">
        <f>IF(J26="Ore and concentrate",IF(G26="Open Pit", Parameter!$C$19,Parameter!$C$21), IF(F26="Smelter",Parameter!$C$10,IF(F26="Refinary",Parameter!$C$12,Parameter!$C$15)))</f>
        <v>12.466000000000001</v>
      </c>
      <c r="AF26">
        <f>IF(J26="Ore and concentrate",IF(G26="Open Pit",Parameter!$C$20,Parameter!$C$22),IF(F26="Smelter",Parameter!$C$11,IF(F26="Refinary",Parameter!$C$13,Parameter!$C$16)))</f>
        <v>1.518</v>
      </c>
      <c r="AG26">
        <f t="shared" si="0"/>
        <v>16.953760000000003</v>
      </c>
      <c r="AH26">
        <f t="shared" si="1"/>
        <v>2.0644800000000001</v>
      </c>
      <c r="AJ26" s="2">
        <v>1338</v>
      </c>
      <c r="AK26" s="2">
        <v>175000</v>
      </c>
      <c r="AL26" s="2">
        <v>312500</v>
      </c>
      <c r="AM26" s="5" t="s">
        <v>103</v>
      </c>
      <c r="AN26" s="5" t="s">
        <v>103</v>
      </c>
    </row>
    <row r="27" spans="1:44" x14ac:dyDescent="0.35">
      <c r="A27">
        <v>2253</v>
      </c>
      <c r="B27" t="s">
        <v>179</v>
      </c>
      <c r="C27" t="s">
        <v>180</v>
      </c>
      <c r="D27" t="s">
        <v>27</v>
      </c>
      <c r="E27" t="s">
        <v>181</v>
      </c>
      <c r="F27" t="s">
        <v>257</v>
      </c>
      <c r="H27" t="s">
        <v>29</v>
      </c>
      <c r="I27" t="s">
        <v>34</v>
      </c>
      <c r="J27" t="s">
        <v>38</v>
      </c>
      <c r="K27" t="s">
        <v>36</v>
      </c>
      <c r="L27" t="s">
        <v>36</v>
      </c>
      <c r="M27">
        <v>2017</v>
      </c>
      <c r="N27" t="s">
        <v>37</v>
      </c>
      <c r="O27" t="s">
        <v>41</v>
      </c>
      <c r="P27" t="s">
        <v>43</v>
      </c>
      <c r="R27" t="s">
        <v>182</v>
      </c>
      <c r="S27">
        <v>-12.72194</v>
      </c>
      <c r="T27">
        <v>27.968019999999999</v>
      </c>
      <c r="U27" t="s">
        <v>44</v>
      </c>
      <c r="V27" t="s">
        <v>62</v>
      </c>
      <c r="W27" t="s">
        <v>46</v>
      </c>
      <c r="X27" t="s">
        <v>63</v>
      </c>
      <c r="Y27" t="s">
        <v>64</v>
      </c>
      <c r="Z27" t="s">
        <v>65</v>
      </c>
      <c r="AA27" t="s">
        <v>53</v>
      </c>
      <c r="AB27" s="2">
        <v>600000</v>
      </c>
      <c r="AC27" t="s">
        <v>232</v>
      </c>
      <c r="AD27" s="22">
        <f>IF(ISBLANK(AB27), "", AB27*Parameter!$H$3)</f>
        <v>480000</v>
      </c>
      <c r="AE27">
        <f>IF(J27="Ore and concentrate",IF(G27="Open Pit", Parameter!$C$19,Parameter!$C$21), IF(F27="Smelter",Parameter!$C$10,IF(F27="Refinary",Parameter!$C$12,Parameter!$C$15)))</f>
        <v>9.266</v>
      </c>
      <c r="AF27">
        <f>IF(J27="Ore and concentrate",IF(G27="Open Pit",Parameter!$C$20,Parameter!$C$22),IF(F27="Smelter",Parameter!$C$11,IF(F27="Refinary",Parameter!$C$13,Parameter!$C$16)))</f>
        <v>1.518</v>
      </c>
      <c r="AG27">
        <f t="shared" si="0"/>
        <v>4447.68</v>
      </c>
      <c r="AH27">
        <f t="shared" si="1"/>
        <v>728.64</v>
      </c>
      <c r="AJ27" s="22">
        <v>6973</v>
      </c>
    </row>
    <row r="28" spans="1:44" x14ac:dyDescent="0.35">
      <c r="A28">
        <v>2257</v>
      </c>
      <c r="B28" t="s">
        <v>183</v>
      </c>
      <c r="C28" t="s">
        <v>184</v>
      </c>
      <c r="D28" t="s">
        <v>27</v>
      </c>
      <c r="E28" t="s">
        <v>185</v>
      </c>
      <c r="F28" t="s">
        <v>257</v>
      </c>
      <c r="H28" t="s">
        <v>33</v>
      </c>
      <c r="I28" t="s">
        <v>34</v>
      </c>
      <c r="J28" t="s">
        <v>38</v>
      </c>
      <c r="K28" t="s">
        <v>36</v>
      </c>
      <c r="L28" t="s">
        <v>36</v>
      </c>
      <c r="M28">
        <v>2017</v>
      </c>
      <c r="N28" t="s">
        <v>37</v>
      </c>
      <c r="O28" t="s">
        <v>41</v>
      </c>
      <c r="P28" t="s">
        <v>195</v>
      </c>
      <c r="R28" t="s">
        <v>96</v>
      </c>
      <c r="S28">
        <v>-12.531000000000001</v>
      </c>
      <c r="T28">
        <v>27.855</v>
      </c>
      <c r="U28" t="s">
        <v>44</v>
      </c>
      <c r="V28" t="s">
        <v>62</v>
      </c>
      <c r="W28" t="s">
        <v>46</v>
      </c>
      <c r="X28" s="37" t="s">
        <v>97</v>
      </c>
      <c r="Y28" t="s">
        <v>98</v>
      </c>
      <c r="Z28" t="s">
        <v>99</v>
      </c>
      <c r="AA28" t="s">
        <v>53</v>
      </c>
      <c r="AB28" s="42">
        <v>311000</v>
      </c>
      <c r="AC28" t="s">
        <v>232</v>
      </c>
      <c r="AD28" s="2">
        <f>IF(ISBLANK(AB28), "", AB28*Parameter!$H$3)</f>
        <v>248800</v>
      </c>
      <c r="AE28">
        <f>IF(J28="Ore and concentrate",IF(G28="Open Pit", Parameter!$C$19,Parameter!$C$21), IF(F28="Smelter",Parameter!$C$10,IF(F28="Refinary",Parameter!$C$12,Parameter!$C$15)))</f>
        <v>9.266</v>
      </c>
      <c r="AF28">
        <f>IF(J28="Ore and concentrate",IF(G28="Open Pit",Parameter!$C$20,Parameter!$C$22),IF(F28="Smelter",Parameter!$C$11,IF(F28="Refinary",Parameter!$C$13,Parameter!$C$16)))</f>
        <v>1.518</v>
      </c>
      <c r="AG28">
        <f t="shared" si="0"/>
        <v>2305.3807999999999</v>
      </c>
      <c r="AH28">
        <f t="shared" si="1"/>
        <v>377.67840000000001</v>
      </c>
    </row>
    <row r="29" spans="1:44" hidden="1" x14ac:dyDescent="0.35">
      <c r="A29">
        <v>2258</v>
      </c>
      <c r="B29" t="s">
        <v>186</v>
      </c>
      <c r="C29" t="s">
        <v>187</v>
      </c>
      <c r="D29" t="s">
        <v>27</v>
      </c>
      <c r="E29" t="s">
        <v>188</v>
      </c>
      <c r="G29" t="s">
        <v>284</v>
      </c>
      <c r="H29" t="s">
        <v>29</v>
      </c>
      <c r="I29" t="s">
        <v>34</v>
      </c>
      <c r="J29" t="s">
        <v>82</v>
      </c>
      <c r="K29" t="s">
        <v>36</v>
      </c>
      <c r="L29" t="s">
        <v>36</v>
      </c>
      <c r="M29">
        <v>2017</v>
      </c>
      <c r="N29" t="s">
        <v>37</v>
      </c>
      <c r="O29" t="s">
        <v>41</v>
      </c>
      <c r="P29" s="13" t="s">
        <v>95</v>
      </c>
      <c r="R29" t="s">
        <v>96</v>
      </c>
      <c r="S29">
        <v>-12.536110000000001</v>
      </c>
      <c r="T29">
        <v>27.833120000000001</v>
      </c>
      <c r="U29" t="s">
        <v>44</v>
      </c>
      <c r="V29" t="s">
        <v>45</v>
      </c>
      <c r="W29" t="s">
        <v>46</v>
      </c>
      <c r="X29" s="36" t="s">
        <v>97</v>
      </c>
      <c r="Y29" t="s">
        <v>98</v>
      </c>
      <c r="Z29" t="s">
        <v>99</v>
      </c>
      <c r="AA29" t="s">
        <v>53</v>
      </c>
      <c r="AB29" s="2">
        <v>4500000</v>
      </c>
      <c r="AC29" t="s">
        <v>232</v>
      </c>
      <c r="AD29" s="2">
        <f>IF(ISBLANK(AB29), "", AB29*Parameter!$H$3)/2</f>
        <v>1800000</v>
      </c>
      <c r="AE29">
        <f>IF(J29="Ore and concentrate",IF(G29="Open Pit", Parameter!$C$19,Parameter!$C$21), IF(F29="Smelter",Parameter!$C$10,IF(F29="Refinary",Parameter!$C$12,Parameter!$C$15)))</f>
        <v>5.9520000000000003E-2</v>
      </c>
      <c r="AF29">
        <f>IF(J29="Ore and concentrate",IF(G29="Open Pit",Parameter!$C$20,Parameter!$C$22),IF(F29="Smelter",Parameter!$C$11,IF(F29="Refinary",Parameter!$C$13,Parameter!$C$16)))</f>
        <v>6.3239999999999991E-2</v>
      </c>
      <c r="AG29">
        <f t="shared" si="0"/>
        <v>107.136</v>
      </c>
      <c r="AH29">
        <f t="shared" si="1"/>
        <v>113.83199999999998</v>
      </c>
      <c r="AI29" s="2">
        <f>AD29*Parameter!$H$1</f>
        <v>11160</v>
      </c>
      <c r="AJ29" s="2">
        <v>65544</v>
      </c>
      <c r="AK29" s="2"/>
      <c r="AL29" s="2"/>
      <c r="AM29" s="1"/>
      <c r="AN29" s="1"/>
      <c r="AQ29" s="2">
        <v>4500000</v>
      </c>
      <c r="AR29" t="s">
        <v>236</v>
      </c>
    </row>
    <row r="30" spans="1:44" x14ac:dyDescent="0.35">
      <c r="A30">
        <v>2259</v>
      </c>
      <c r="B30" t="s">
        <v>189</v>
      </c>
      <c r="C30" t="s">
        <v>190</v>
      </c>
      <c r="D30" t="s">
        <v>27</v>
      </c>
      <c r="E30" t="s">
        <v>191</v>
      </c>
      <c r="F30" t="s">
        <v>268</v>
      </c>
      <c r="G30" t="s">
        <v>278</v>
      </c>
      <c r="H30" t="s">
        <v>33</v>
      </c>
      <c r="I30" t="s">
        <v>34</v>
      </c>
      <c r="J30" t="s">
        <v>38</v>
      </c>
      <c r="K30" t="s">
        <v>36</v>
      </c>
      <c r="L30" t="s">
        <v>36</v>
      </c>
      <c r="M30">
        <v>2017</v>
      </c>
      <c r="N30" t="s">
        <v>37</v>
      </c>
      <c r="O30" t="s">
        <v>41</v>
      </c>
      <c r="P30" t="s">
        <v>42</v>
      </c>
      <c r="R30" t="s">
        <v>96</v>
      </c>
      <c r="S30">
        <v>-12.566381</v>
      </c>
      <c r="T30">
        <v>27.814871</v>
      </c>
      <c r="U30" t="s">
        <v>44</v>
      </c>
      <c r="V30" t="s">
        <v>45</v>
      </c>
      <c r="W30" t="s">
        <v>46</v>
      </c>
      <c r="X30" s="37" t="s">
        <v>97</v>
      </c>
      <c r="Y30" t="s">
        <v>98</v>
      </c>
      <c r="Z30" t="s">
        <v>99</v>
      </c>
      <c r="AA30" t="s">
        <v>53</v>
      </c>
      <c r="AB30" s="42">
        <v>80000</v>
      </c>
      <c r="AC30" t="s">
        <v>232</v>
      </c>
      <c r="AD30" s="2">
        <f>IF(ISBLANK(AB30), "", AB30*Parameter!$H$3)</f>
        <v>64000</v>
      </c>
      <c r="AE30">
        <f>IF(J30="Ore and concentrate",IF(G30="Open Pit", Parameter!$C$19,Parameter!$C$21), IF(F30="Smelter",Parameter!$C$10,IF(F30="Refinary",Parameter!$C$12,Parameter!$C$15)))</f>
        <v>12.466000000000001</v>
      </c>
      <c r="AF30">
        <f>IF(J30="Ore and concentrate",IF(G30="Open Pit",Parameter!$C$20,Parameter!$C$22),IF(F30="Smelter",Parameter!$C$11,IF(F30="Refinary",Parameter!$C$13,Parameter!$C$16)))</f>
        <v>1.518</v>
      </c>
      <c r="AG30">
        <f t="shared" si="0"/>
        <v>797.82400000000007</v>
      </c>
      <c r="AH30">
        <f t="shared" si="1"/>
        <v>97.152000000000001</v>
      </c>
      <c r="AO30" t="s">
        <v>239</v>
      </c>
      <c r="AP30" t="s">
        <v>236</v>
      </c>
    </row>
    <row r="31" spans="1:44" hidden="1" x14ac:dyDescent="0.35">
      <c r="A31">
        <v>2260</v>
      </c>
      <c r="B31" t="s">
        <v>192</v>
      </c>
      <c r="C31" t="s">
        <v>193</v>
      </c>
      <c r="D31" t="s">
        <v>27</v>
      </c>
      <c r="E31" t="s">
        <v>194</v>
      </c>
      <c r="G31" t="s">
        <v>283</v>
      </c>
      <c r="H31" t="s">
        <v>29</v>
      </c>
      <c r="I31" t="s">
        <v>34</v>
      </c>
      <c r="J31" t="s">
        <v>82</v>
      </c>
      <c r="K31" t="s">
        <v>36</v>
      </c>
      <c r="L31" t="s">
        <v>36</v>
      </c>
      <c r="M31">
        <v>2017</v>
      </c>
      <c r="N31" t="s">
        <v>37</v>
      </c>
      <c r="O31" t="s">
        <v>41</v>
      </c>
      <c r="P31" t="s">
        <v>43</v>
      </c>
      <c r="R31" t="s">
        <v>96</v>
      </c>
      <c r="S31">
        <v>-12.507612999999999</v>
      </c>
      <c r="T31">
        <v>27.875482000000002</v>
      </c>
      <c r="U31" t="s">
        <v>44</v>
      </c>
      <c r="V31" t="s">
        <v>50</v>
      </c>
      <c r="W31" t="s">
        <v>46</v>
      </c>
      <c r="X31" s="36" t="s">
        <v>97</v>
      </c>
      <c r="Y31" t="s">
        <v>98</v>
      </c>
      <c r="Z31" t="s">
        <v>99</v>
      </c>
      <c r="AA31" t="s">
        <v>53</v>
      </c>
      <c r="AB31" s="2">
        <v>2800000</v>
      </c>
      <c r="AC31" t="s">
        <v>232</v>
      </c>
      <c r="AD31" s="2">
        <f>IF(ISBLANK(AB31), "", AB31*Parameter!$H$3)</f>
        <v>2240000</v>
      </c>
      <c r="AE31">
        <f>IF(J31="Ore and concentrate",IF(G31="Open Pit", Parameter!$C$19,Parameter!$C$21), IF(F31="Smelter",Parameter!$C$10,IF(F31="Refinary",Parameter!$C$12,Parameter!$C$15)))</f>
        <v>7.2849999999999998E-2</v>
      </c>
      <c r="AF31">
        <f>IF(J31="Ore and concentrate",IF(G31="Open Pit",Parameter!$C$20,Parameter!$C$22),IF(F31="Smelter",Parameter!$C$11,IF(F31="Refinary",Parameter!$C$13,Parameter!$C$16)))</f>
        <v>1.333E-2</v>
      </c>
      <c r="AG31">
        <f t="shared" si="0"/>
        <v>163.184</v>
      </c>
      <c r="AH31">
        <f t="shared" si="1"/>
        <v>29.859200000000001</v>
      </c>
      <c r="AI31" s="2">
        <f>AD31*Parameter!$H$1</f>
        <v>13888</v>
      </c>
      <c r="AJ31" s="2">
        <v>1294</v>
      </c>
      <c r="AK31" s="2">
        <v>2820706</v>
      </c>
      <c r="AL31" s="2">
        <v>2820706</v>
      </c>
      <c r="AM31" s="1">
        <v>65544</v>
      </c>
      <c r="AN31" s="1">
        <v>65544</v>
      </c>
      <c r="AQ31" s="2">
        <v>2800000</v>
      </c>
      <c r="AR31" t="s">
        <v>236</v>
      </c>
    </row>
    <row r="32" spans="1:44" x14ac:dyDescent="0.35">
      <c r="A32">
        <v>2262</v>
      </c>
      <c r="B32" t="s">
        <v>196</v>
      </c>
      <c r="C32" t="s">
        <v>43</v>
      </c>
      <c r="D32" t="s">
        <v>27</v>
      </c>
      <c r="E32" t="s">
        <v>197</v>
      </c>
      <c r="F32" t="s">
        <v>268</v>
      </c>
      <c r="G32" t="s">
        <v>277</v>
      </c>
      <c r="H32" t="s">
        <v>33</v>
      </c>
      <c r="I32" t="s">
        <v>34</v>
      </c>
      <c r="J32" t="s">
        <v>38</v>
      </c>
      <c r="K32" t="s">
        <v>36</v>
      </c>
      <c r="L32" t="s">
        <v>36</v>
      </c>
      <c r="M32">
        <v>2017</v>
      </c>
      <c r="N32" t="s">
        <v>37</v>
      </c>
      <c r="O32" t="s">
        <v>41</v>
      </c>
      <c r="P32" t="s">
        <v>42</v>
      </c>
      <c r="R32" t="s">
        <v>200</v>
      </c>
      <c r="S32">
        <v>-12.843</v>
      </c>
      <c r="T32">
        <v>28.204999999999998</v>
      </c>
      <c r="U32" t="s">
        <v>44</v>
      </c>
      <c r="V32" t="s">
        <v>62</v>
      </c>
      <c r="W32" t="s">
        <v>46</v>
      </c>
      <c r="X32" s="34" t="s">
        <v>156</v>
      </c>
      <c r="Y32" t="s">
        <v>157</v>
      </c>
      <c r="Z32" t="s">
        <v>158</v>
      </c>
      <c r="AA32" t="s">
        <v>53</v>
      </c>
      <c r="AB32" s="44">
        <v>15000</v>
      </c>
      <c r="AC32" t="s">
        <v>232</v>
      </c>
      <c r="AD32" s="2">
        <f>IF(ISBLANK(AB32), "", AB32*Parameter!$H$3)</f>
        <v>12000</v>
      </c>
      <c r="AE32">
        <f>IF(J32="Ore and concentrate",IF(G32="Open Pit", Parameter!$C$19,Parameter!$C$21), IF(F32="Smelter",Parameter!$C$10,IF(F32="Refinary",Parameter!$C$12,Parameter!$C$15)))</f>
        <v>12.466000000000001</v>
      </c>
      <c r="AF32">
        <f>IF(J32="Ore and concentrate",IF(G32="Open Pit",Parameter!$C$20,Parameter!$C$22),IF(F32="Smelter",Parameter!$C$11,IF(F32="Refinary",Parameter!$C$13,Parameter!$C$16)))</f>
        <v>1.518</v>
      </c>
      <c r="AG32">
        <f t="shared" si="0"/>
        <v>149.59200000000001</v>
      </c>
      <c r="AH32">
        <f t="shared" si="1"/>
        <v>18.216000000000001</v>
      </c>
      <c r="AJ32" s="2">
        <v>1294</v>
      </c>
      <c r="AK32" t="s">
        <v>103</v>
      </c>
      <c r="AL32" t="s">
        <v>103</v>
      </c>
      <c r="AM32" s="5" t="s">
        <v>103</v>
      </c>
      <c r="AN32" s="5" t="s">
        <v>103</v>
      </c>
    </row>
    <row r="33" spans="1:40" x14ac:dyDescent="0.35">
      <c r="A33">
        <v>2263</v>
      </c>
      <c r="B33" t="s">
        <v>196</v>
      </c>
      <c r="C33" t="s">
        <v>198</v>
      </c>
      <c r="D33" t="s">
        <v>27</v>
      </c>
      <c r="E33" t="s">
        <v>199</v>
      </c>
      <c r="F33" t="s">
        <v>269</v>
      </c>
      <c r="G33" t="s">
        <v>259</v>
      </c>
      <c r="H33" t="s">
        <v>33</v>
      </c>
      <c r="I33" t="s">
        <v>34</v>
      </c>
      <c r="J33" t="s">
        <v>38</v>
      </c>
      <c r="K33" t="s">
        <v>36</v>
      </c>
      <c r="L33" t="s">
        <v>36</v>
      </c>
      <c r="M33">
        <v>2017</v>
      </c>
      <c r="N33" t="s">
        <v>37</v>
      </c>
      <c r="O33" t="s">
        <v>41</v>
      </c>
      <c r="P33" t="s">
        <v>42</v>
      </c>
      <c r="R33" t="s">
        <v>201</v>
      </c>
      <c r="S33">
        <v>-12.843</v>
      </c>
      <c r="T33">
        <v>28.204999999999998</v>
      </c>
      <c r="U33" t="s">
        <v>44</v>
      </c>
      <c r="V33" t="s">
        <v>62</v>
      </c>
      <c r="W33" t="s">
        <v>46</v>
      </c>
      <c r="X33" s="37" t="s">
        <v>97</v>
      </c>
      <c r="Y33" t="s">
        <v>98</v>
      </c>
      <c r="Z33" t="s">
        <v>99</v>
      </c>
      <c r="AA33" t="s">
        <v>53</v>
      </c>
      <c r="AB33" s="44">
        <v>300000</v>
      </c>
      <c r="AC33" t="s">
        <v>232</v>
      </c>
      <c r="AD33" s="2">
        <f>IF(ISBLANK(AB33), "", AB33*Parameter!$H$3)</f>
        <v>240000</v>
      </c>
      <c r="AE33">
        <f>IF(J33="Ore and concentrate",IF(G33="Open Pit", Parameter!$C$19,Parameter!$C$21), IF(F33="Smelter",Parameter!$C$10,IF(F33="Refinary",Parameter!$C$12,Parameter!$C$15)))</f>
        <v>3.2</v>
      </c>
      <c r="AF33">
        <f>IF(J33="Ore and concentrate",IF(G33="Open Pit",Parameter!$C$20,Parameter!$C$22),IF(F33="Smelter",Parameter!$C$11,IF(F33="Refinary",Parameter!$C$13,Parameter!$C$16)))</f>
        <v>0</v>
      </c>
      <c r="AG33">
        <f t="shared" si="0"/>
        <v>768</v>
      </c>
      <c r="AH33">
        <f t="shared" si="1"/>
        <v>0</v>
      </c>
      <c r="AK33" t="s">
        <v>103</v>
      </c>
      <c r="AL33" t="s">
        <v>103</v>
      </c>
      <c r="AM33" s="5" t="s">
        <v>103</v>
      </c>
      <c r="AN33" s="5" t="s">
        <v>103</v>
      </c>
    </row>
    <row r="34" spans="1:40" hidden="1" x14ac:dyDescent="0.35">
      <c r="A34">
        <v>2266</v>
      </c>
      <c r="B34" t="s">
        <v>202</v>
      </c>
      <c r="C34" t="s">
        <v>203</v>
      </c>
      <c r="D34" t="s">
        <v>27</v>
      </c>
      <c r="E34" t="s">
        <v>204</v>
      </c>
      <c r="G34" t="s">
        <v>284</v>
      </c>
      <c r="H34" t="s">
        <v>29</v>
      </c>
      <c r="I34" t="s">
        <v>34</v>
      </c>
      <c r="J34" t="s">
        <v>82</v>
      </c>
      <c r="K34" t="s">
        <v>129</v>
      </c>
      <c r="L34" t="s">
        <v>129</v>
      </c>
      <c r="M34">
        <v>2017</v>
      </c>
      <c r="N34" t="s">
        <v>37</v>
      </c>
      <c r="O34" t="s">
        <v>41</v>
      </c>
      <c r="P34" t="s">
        <v>206</v>
      </c>
      <c r="R34" t="s">
        <v>200</v>
      </c>
      <c r="S34">
        <v>-12.851025999999999</v>
      </c>
      <c r="T34">
        <v>28.207404</v>
      </c>
      <c r="U34" t="s">
        <v>44</v>
      </c>
      <c r="V34" t="s">
        <v>50</v>
      </c>
      <c r="W34" t="s">
        <v>46</v>
      </c>
      <c r="X34" s="33" t="s">
        <v>156</v>
      </c>
      <c r="Y34" t="s">
        <v>157</v>
      </c>
      <c r="Z34" t="s">
        <v>158</v>
      </c>
      <c r="AA34" t="s">
        <v>53</v>
      </c>
      <c r="AB34" s="2">
        <v>5500000</v>
      </c>
      <c r="AC34" t="s">
        <v>232</v>
      </c>
      <c r="AD34" s="2">
        <f>IF(ISBLANK(AB34), "", AB34*Parameter!$H$3)/7</f>
        <v>628571.42857142852</v>
      </c>
      <c r="AE34">
        <f>IF(J34="Ore and concentrate",IF(G34="Open Pit", Parameter!$C$19,Parameter!$C$21), IF(F34="Smelter",Parameter!$C$10,IF(F34="Refinary",Parameter!$C$12,Parameter!$C$15)))</f>
        <v>5.9520000000000003E-2</v>
      </c>
      <c r="AF34">
        <f>IF(J34="Ore and concentrate",IF(G34="Open Pit",Parameter!$C$20,Parameter!$C$22),IF(F34="Smelter",Parameter!$C$11,IF(F34="Refinary",Parameter!$C$13,Parameter!$C$16)))</f>
        <v>6.3239999999999991E-2</v>
      </c>
      <c r="AG34">
        <f t="shared" si="0"/>
        <v>37.412571428571425</v>
      </c>
      <c r="AH34">
        <f t="shared" si="1"/>
        <v>39.750857142857129</v>
      </c>
      <c r="AI34" s="2">
        <f>AD34*Parameter!$H$1</f>
        <v>3897.1428571428569</v>
      </c>
      <c r="AJ34" s="2">
        <v>21270</v>
      </c>
      <c r="AK34" t="s">
        <v>103</v>
      </c>
      <c r="AL34" t="s">
        <v>103</v>
      </c>
      <c r="AM34" s="1">
        <v>55068</v>
      </c>
      <c r="AN34" s="1">
        <v>17900</v>
      </c>
    </row>
    <row r="35" spans="1:40" hidden="1" x14ac:dyDescent="0.35">
      <c r="A35">
        <v>2267</v>
      </c>
      <c r="B35" t="s">
        <v>202</v>
      </c>
      <c r="C35" t="s">
        <v>203</v>
      </c>
      <c r="D35" t="s">
        <v>27</v>
      </c>
      <c r="E35" t="s">
        <v>205</v>
      </c>
      <c r="G35" t="s">
        <v>284</v>
      </c>
      <c r="H35" t="s">
        <v>29</v>
      </c>
      <c r="I35" t="s">
        <v>34</v>
      </c>
      <c r="J35" t="s">
        <v>82</v>
      </c>
      <c r="K35" t="s">
        <v>129</v>
      </c>
      <c r="L35" t="s">
        <v>129</v>
      </c>
      <c r="M35">
        <v>2017</v>
      </c>
      <c r="N35" t="s">
        <v>37</v>
      </c>
      <c r="O35" t="s">
        <v>41</v>
      </c>
      <c r="P35" t="s">
        <v>206</v>
      </c>
      <c r="R35" t="s">
        <v>200</v>
      </c>
      <c r="S35">
        <v>-12.851025999999999</v>
      </c>
      <c r="T35">
        <v>28.207404</v>
      </c>
      <c r="U35" t="s">
        <v>44</v>
      </c>
      <c r="V35" t="s">
        <v>50</v>
      </c>
      <c r="W35" t="s">
        <v>46</v>
      </c>
      <c r="X35" s="33" t="s">
        <v>156</v>
      </c>
      <c r="Y35" t="s">
        <v>157</v>
      </c>
      <c r="Z35" t="s">
        <v>158</v>
      </c>
      <c r="AA35" t="s">
        <v>53</v>
      </c>
      <c r="AB35" s="2">
        <v>5500000</v>
      </c>
      <c r="AC35" t="s">
        <v>232</v>
      </c>
      <c r="AD35" s="2">
        <f>IF(ISBLANK(AB35), "", AB35*Parameter!$H$3)/7</f>
        <v>628571.42857142852</v>
      </c>
      <c r="AE35">
        <f>IF(J35="Ore and concentrate",IF(G35="Open Pit", Parameter!$C$19,Parameter!$C$21), IF(F35="Smelter",Parameter!$C$10,IF(F35="Refinary",Parameter!$C$12,Parameter!$C$15)))</f>
        <v>5.9520000000000003E-2</v>
      </c>
      <c r="AF35">
        <f>IF(J35="Ore and concentrate",IF(G35="Open Pit",Parameter!$C$20,Parameter!$C$22),IF(F35="Smelter",Parameter!$C$11,IF(F35="Refinary",Parameter!$C$13,Parameter!$C$16)))</f>
        <v>6.3239999999999991E-2</v>
      </c>
      <c r="AG35">
        <f t="shared" si="0"/>
        <v>37.412571428571425</v>
      </c>
      <c r="AH35">
        <f t="shared" si="1"/>
        <v>39.750857142857129</v>
      </c>
      <c r="AI35" s="2">
        <f>AD35*Parameter!$H$1</f>
        <v>3897.1428571428569</v>
      </c>
      <c r="AJ35" s="18"/>
    </row>
    <row r="36" spans="1:40" hidden="1" x14ac:dyDescent="0.35">
      <c r="A36">
        <v>2269</v>
      </c>
      <c r="B36" t="s">
        <v>207</v>
      </c>
      <c r="C36" t="s">
        <v>208</v>
      </c>
      <c r="D36" t="s">
        <v>27</v>
      </c>
      <c r="E36" t="s">
        <v>209</v>
      </c>
      <c r="G36" t="s">
        <v>283</v>
      </c>
      <c r="H36" t="s">
        <v>29</v>
      </c>
      <c r="I36" t="s">
        <v>34</v>
      </c>
      <c r="J36" t="s">
        <v>82</v>
      </c>
      <c r="K36" t="s">
        <v>129</v>
      </c>
      <c r="L36" t="s">
        <v>129</v>
      </c>
      <c r="M36">
        <v>2017</v>
      </c>
      <c r="N36" t="s">
        <v>37</v>
      </c>
      <c r="O36" t="s">
        <v>41</v>
      </c>
      <c r="P36" t="s">
        <v>206</v>
      </c>
      <c r="R36" t="s">
        <v>200</v>
      </c>
      <c r="S36">
        <v>-12.805249999999999</v>
      </c>
      <c r="T36">
        <v>28.185835999999998</v>
      </c>
      <c r="U36" t="s">
        <v>61</v>
      </c>
      <c r="V36" t="s">
        <v>45</v>
      </c>
      <c r="W36" t="s">
        <v>46</v>
      </c>
      <c r="X36" s="33" t="s">
        <v>156</v>
      </c>
      <c r="Y36" t="s">
        <v>157</v>
      </c>
      <c r="Z36" t="s">
        <v>158</v>
      </c>
      <c r="AA36" t="s">
        <v>53</v>
      </c>
      <c r="AB36" s="2">
        <v>5500000</v>
      </c>
      <c r="AC36" t="s">
        <v>232</v>
      </c>
      <c r="AD36" s="2">
        <f>IF(ISBLANK(AB36), "", AB36*Parameter!$H$3)/7</f>
        <v>628571.42857142852</v>
      </c>
      <c r="AE36">
        <f>IF(J36="Ore and concentrate",IF(G36="Open Pit", Parameter!$C$19,Parameter!$C$21), IF(F36="Smelter",Parameter!$C$10,IF(F36="Refinary",Parameter!$C$12,Parameter!$C$15)))</f>
        <v>7.2849999999999998E-2</v>
      </c>
      <c r="AF36">
        <f>IF(J36="Ore and concentrate",IF(G36="Open Pit",Parameter!$C$20,Parameter!$C$22),IF(F36="Smelter",Parameter!$C$11,IF(F36="Refinary",Parameter!$C$13,Parameter!$C$16)))</f>
        <v>1.333E-2</v>
      </c>
      <c r="AG36">
        <f t="shared" si="0"/>
        <v>45.791428571428568</v>
      </c>
      <c r="AH36">
        <f t="shared" si="1"/>
        <v>8.3788571428571412</v>
      </c>
      <c r="AI36" s="2">
        <f>AD36*Parameter!$H$1</f>
        <v>3897.1428571428569</v>
      </c>
      <c r="AJ36" s="18"/>
    </row>
    <row r="37" spans="1:40" hidden="1" x14ac:dyDescent="0.35">
      <c r="A37">
        <v>2271</v>
      </c>
      <c r="B37" t="s">
        <v>210</v>
      </c>
      <c r="C37" t="s">
        <v>211</v>
      </c>
      <c r="D37" t="s">
        <v>27</v>
      </c>
      <c r="E37" t="s">
        <v>212</v>
      </c>
      <c r="G37" t="s">
        <v>283</v>
      </c>
      <c r="H37" t="s">
        <v>29</v>
      </c>
      <c r="I37" t="s">
        <v>34</v>
      </c>
      <c r="J37" t="s">
        <v>82</v>
      </c>
      <c r="K37" t="s">
        <v>129</v>
      </c>
      <c r="L37" t="s">
        <v>129</v>
      </c>
      <c r="M37">
        <v>2017</v>
      </c>
      <c r="N37" t="s">
        <v>37</v>
      </c>
      <c r="O37" t="s">
        <v>41</v>
      </c>
      <c r="P37" t="s">
        <v>206</v>
      </c>
      <c r="R37" t="s">
        <v>200</v>
      </c>
      <c r="S37">
        <v>-12.796917000000001</v>
      </c>
      <c r="T37">
        <v>28.178775999999999</v>
      </c>
      <c r="U37" t="s">
        <v>61</v>
      </c>
      <c r="V37" t="s">
        <v>133</v>
      </c>
      <c r="W37" t="s">
        <v>46</v>
      </c>
      <c r="X37" s="33" t="s">
        <v>156</v>
      </c>
      <c r="Y37" t="s">
        <v>157</v>
      </c>
      <c r="Z37" t="s">
        <v>158</v>
      </c>
      <c r="AA37" t="s">
        <v>53</v>
      </c>
      <c r="AB37" s="2">
        <v>5500000</v>
      </c>
      <c r="AC37" t="s">
        <v>232</v>
      </c>
      <c r="AD37" s="2">
        <f>IF(ISBLANK(AB37), "", AB37*Parameter!$H$3)/7</f>
        <v>628571.42857142852</v>
      </c>
      <c r="AE37">
        <f>IF(J37="Ore and concentrate",IF(G37="Open Pit", Parameter!$C$19,Parameter!$C$21), IF(F37="Smelter",Parameter!$C$10,IF(F37="Refinary",Parameter!$C$12,Parameter!$C$15)))</f>
        <v>7.2849999999999998E-2</v>
      </c>
      <c r="AF37">
        <f>IF(J37="Ore and concentrate",IF(G37="Open Pit",Parameter!$C$20,Parameter!$C$22),IF(F37="Smelter",Parameter!$C$11,IF(F37="Refinary",Parameter!$C$13,Parameter!$C$16)))</f>
        <v>1.333E-2</v>
      </c>
      <c r="AG37">
        <f t="shared" si="0"/>
        <v>45.791428571428568</v>
      </c>
      <c r="AH37">
        <f t="shared" si="1"/>
        <v>8.3788571428571412</v>
      </c>
      <c r="AI37" s="2">
        <f>AD37*Parameter!$H$1</f>
        <v>3897.1428571428569</v>
      </c>
      <c r="AJ37" s="18"/>
    </row>
    <row r="38" spans="1:40" hidden="1" x14ac:dyDescent="0.35">
      <c r="A38">
        <v>2273</v>
      </c>
      <c r="B38" t="s">
        <v>213</v>
      </c>
      <c r="C38" t="s">
        <v>214</v>
      </c>
      <c r="D38" t="s">
        <v>27</v>
      </c>
      <c r="E38" t="s">
        <v>215</v>
      </c>
      <c r="G38" t="s">
        <v>284</v>
      </c>
      <c r="H38" t="s">
        <v>29</v>
      </c>
      <c r="I38" t="s">
        <v>34</v>
      </c>
      <c r="J38" t="s">
        <v>82</v>
      </c>
      <c r="K38" t="s">
        <v>129</v>
      </c>
      <c r="L38" t="s">
        <v>129</v>
      </c>
      <c r="M38">
        <v>2017</v>
      </c>
      <c r="N38" t="s">
        <v>37</v>
      </c>
      <c r="O38" t="s">
        <v>41</v>
      </c>
      <c r="P38" t="s">
        <v>206</v>
      </c>
      <c r="R38" t="s">
        <v>200</v>
      </c>
      <c r="S38">
        <v>-12.77556</v>
      </c>
      <c r="T38">
        <v>28.161052000000002</v>
      </c>
      <c r="U38" t="s">
        <v>61</v>
      </c>
      <c r="V38" t="s">
        <v>216</v>
      </c>
      <c r="W38" t="s">
        <v>46</v>
      </c>
      <c r="X38" s="33" t="s">
        <v>156</v>
      </c>
      <c r="Y38" t="s">
        <v>157</v>
      </c>
      <c r="Z38" t="s">
        <v>158</v>
      </c>
      <c r="AA38" t="s">
        <v>53</v>
      </c>
      <c r="AB38" s="2">
        <v>5500000</v>
      </c>
      <c r="AC38" t="s">
        <v>232</v>
      </c>
      <c r="AD38" s="2">
        <f>IF(ISBLANK(AB38), "", AB38*Parameter!$H$3)/7</f>
        <v>628571.42857142852</v>
      </c>
      <c r="AE38">
        <f>IF(J38="Ore and concentrate",IF(G38="Open Pit", Parameter!$C$19,Parameter!$C$21), IF(F38="Smelter",Parameter!$C$10,IF(F38="Refinary",Parameter!$C$12,Parameter!$C$15)))</f>
        <v>5.9520000000000003E-2</v>
      </c>
      <c r="AF38">
        <f>IF(J38="Ore and concentrate",IF(G38="Open Pit",Parameter!$C$20,Parameter!$C$22),IF(F38="Smelter",Parameter!$C$11,IF(F38="Refinary",Parameter!$C$13,Parameter!$C$16)))</f>
        <v>6.3239999999999991E-2</v>
      </c>
      <c r="AG38">
        <f t="shared" si="0"/>
        <v>37.412571428571425</v>
      </c>
      <c r="AH38">
        <f t="shared" si="1"/>
        <v>39.750857142857129</v>
      </c>
      <c r="AI38" s="2">
        <f>AD38*Parameter!$H$1</f>
        <v>3897.1428571428569</v>
      </c>
      <c r="AJ38" s="18"/>
    </row>
    <row r="39" spans="1:40" hidden="1" x14ac:dyDescent="0.35">
      <c r="A39">
        <v>2276</v>
      </c>
      <c r="B39" t="s">
        <v>217</v>
      </c>
      <c r="C39" t="s">
        <v>43</v>
      </c>
      <c r="D39" t="s">
        <v>27</v>
      </c>
      <c r="E39" t="s">
        <v>218</v>
      </c>
      <c r="G39" t="s">
        <v>283</v>
      </c>
      <c r="H39" t="s">
        <v>29</v>
      </c>
      <c r="I39" t="s">
        <v>34</v>
      </c>
      <c r="J39" t="s">
        <v>82</v>
      </c>
      <c r="K39" t="s">
        <v>129</v>
      </c>
      <c r="L39" t="s">
        <v>129</v>
      </c>
      <c r="M39">
        <v>2017</v>
      </c>
      <c r="N39" t="s">
        <v>37</v>
      </c>
      <c r="O39" t="s">
        <v>41</v>
      </c>
      <c r="P39" t="s">
        <v>206</v>
      </c>
      <c r="R39" t="s">
        <v>200</v>
      </c>
      <c r="S39">
        <v>-12.854466</v>
      </c>
      <c r="T39">
        <v>28.212122999999998</v>
      </c>
      <c r="U39" t="s">
        <v>61</v>
      </c>
      <c r="V39" t="s">
        <v>45</v>
      </c>
      <c r="W39" t="s">
        <v>46</v>
      </c>
      <c r="X39" s="33" t="s">
        <v>156</v>
      </c>
      <c r="Y39" t="s">
        <v>157</v>
      </c>
      <c r="Z39" t="s">
        <v>158</v>
      </c>
      <c r="AA39" t="s">
        <v>53</v>
      </c>
      <c r="AB39" s="2">
        <v>5500000</v>
      </c>
      <c r="AC39" t="s">
        <v>232</v>
      </c>
      <c r="AD39" s="2">
        <f>IF(ISBLANK(AB39), "", AB39*Parameter!$H$3)/7</f>
        <v>628571.42857142852</v>
      </c>
      <c r="AE39">
        <f>IF(J39="Ore and concentrate",IF(G39="Open Pit", Parameter!$C$19,Parameter!$C$21), IF(F39="Smelter",Parameter!$C$10,IF(F39="Refinary",Parameter!$C$12,Parameter!$C$15)))</f>
        <v>7.2849999999999998E-2</v>
      </c>
      <c r="AF39">
        <f>IF(J39="Ore and concentrate",IF(G39="Open Pit",Parameter!$C$20,Parameter!$C$22),IF(F39="Smelter",Parameter!$C$11,IF(F39="Refinary",Parameter!$C$13,Parameter!$C$16)))</f>
        <v>1.333E-2</v>
      </c>
      <c r="AG39">
        <f t="shared" si="0"/>
        <v>45.791428571428568</v>
      </c>
      <c r="AH39">
        <f t="shared" si="1"/>
        <v>8.3788571428571412</v>
      </c>
      <c r="AI39" s="2">
        <f>AD39*Parameter!$H$1</f>
        <v>3897.1428571428569</v>
      </c>
      <c r="AJ39" s="18"/>
    </row>
    <row r="40" spans="1:40" hidden="1" x14ac:dyDescent="0.35">
      <c r="A40">
        <v>2277</v>
      </c>
      <c r="B40" t="s">
        <v>217</v>
      </c>
      <c r="C40" t="s">
        <v>219</v>
      </c>
      <c r="D40" t="s">
        <v>27</v>
      </c>
      <c r="E40" t="s">
        <v>220</v>
      </c>
      <c r="G40" t="s">
        <v>283</v>
      </c>
      <c r="H40" t="s">
        <v>29</v>
      </c>
      <c r="I40" t="s">
        <v>34</v>
      </c>
      <c r="J40" t="s">
        <v>82</v>
      </c>
      <c r="K40" t="s">
        <v>129</v>
      </c>
      <c r="L40" t="s">
        <v>129</v>
      </c>
      <c r="M40">
        <v>2017</v>
      </c>
      <c r="N40" t="s">
        <v>37</v>
      </c>
      <c r="O40" t="s">
        <v>41</v>
      </c>
      <c r="P40" t="s">
        <v>206</v>
      </c>
      <c r="R40" t="s">
        <v>200</v>
      </c>
      <c r="S40">
        <v>-12.854466</v>
      </c>
      <c r="T40">
        <v>28.212122999999998</v>
      </c>
      <c r="U40" t="s">
        <v>61</v>
      </c>
      <c r="V40" t="s">
        <v>45</v>
      </c>
      <c r="W40" t="s">
        <v>46</v>
      </c>
      <c r="X40" s="33" t="s">
        <v>156</v>
      </c>
      <c r="Y40" t="s">
        <v>157</v>
      </c>
      <c r="Z40" t="s">
        <v>158</v>
      </c>
      <c r="AA40" t="s">
        <v>53</v>
      </c>
      <c r="AB40" s="2">
        <v>5500000</v>
      </c>
      <c r="AC40" t="s">
        <v>232</v>
      </c>
      <c r="AD40" s="2">
        <f>IF(ISBLANK(AB40), "", AB40*Parameter!$H$3)/7</f>
        <v>628571.42857142852</v>
      </c>
      <c r="AE40">
        <f>IF(J40="Ore and concentrate",IF(G40="Open Pit", Parameter!$C$19,Parameter!$C$21), IF(F40="Smelter",Parameter!$C$10,IF(F40="Refinary",Parameter!$C$12,Parameter!$C$15)))</f>
        <v>7.2849999999999998E-2</v>
      </c>
      <c r="AF40">
        <f>IF(J40="Ore and concentrate",IF(G40="Open Pit",Parameter!$C$20,Parameter!$C$22),IF(F40="Smelter",Parameter!$C$11,IF(F40="Refinary",Parameter!$C$13,Parameter!$C$16)))</f>
        <v>1.333E-2</v>
      </c>
      <c r="AG40">
        <f t="shared" si="0"/>
        <v>45.791428571428568</v>
      </c>
      <c r="AH40">
        <f t="shared" si="1"/>
        <v>8.3788571428571412</v>
      </c>
      <c r="AI40" s="2">
        <f>AD40*Parameter!$H$1</f>
        <v>3897.1428571428569</v>
      </c>
      <c r="AJ40" s="18"/>
    </row>
    <row r="41" spans="1:40" x14ac:dyDescent="0.35">
      <c r="A41">
        <v>2280</v>
      </c>
      <c r="B41" t="s">
        <v>221</v>
      </c>
      <c r="C41" t="s">
        <v>43</v>
      </c>
      <c r="D41" t="s">
        <v>27</v>
      </c>
      <c r="E41" t="s">
        <v>222</v>
      </c>
      <c r="F41" t="s">
        <v>268</v>
      </c>
      <c r="G41" t="s">
        <v>276</v>
      </c>
      <c r="H41" t="s">
        <v>33</v>
      </c>
      <c r="I41" t="s">
        <v>34</v>
      </c>
      <c r="J41" t="s">
        <v>38</v>
      </c>
      <c r="K41" t="s">
        <v>36</v>
      </c>
      <c r="L41" t="s">
        <v>36</v>
      </c>
      <c r="M41">
        <v>2017</v>
      </c>
      <c r="N41" t="s">
        <v>37</v>
      </c>
      <c r="O41" t="s">
        <v>41</v>
      </c>
      <c r="P41" t="s">
        <v>226</v>
      </c>
      <c r="R41" t="s">
        <v>227</v>
      </c>
      <c r="S41">
        <v>-14.459279</v>
      </c>
      <c r="T41">
        <v>28.436986999999998</v>
      </c>
      <c r="U41" t="s">
        <v>61</v>
      </c>
      <c r="V41" t="s">
        <v>228</v>
      </c>
      <c r="W41" t="s">
        <v>46</v>
      </c>
      <c r="X41" t="s">
        <v>229</v>
      </c>
      <c r="Y41" t="s">
        <v>230</v>
      </c>
      <c r="Z41" t="s">
        <v>43</v>
      </c>
      <c r="AA41" t="s">
        <v>159</v>
      </c>
      <c r="AB41" s="2">
        <v>14000</v>
      </c>
      <c r="AC41" t="s">
        <v>232</v>
      </c>
      <c r="AD41" s="2">
        <f>IF(ISBLANK(AB41), "", AB41*Parameter!$H$3)</f>
        <v>11200</v>
      </c>
      <c r="AE41">
        <f>IF(J41="Ore and concentrate",IF(G41="Open Pit", Parameter!$C$19,Parameter!$C$21), IF(F41="Smelter",Parameter!$C$10,IF(F41="Refinary",Parameter!$C$12,Parameter!$C$15)))</f>
        <v>12.466000000000001</v>
      </c>
      <c r="AF41">
        <f>IF(J41="Ore and concentrate",IF(G41="Open Pit",Parameter!$C$20,Parameter!$C$22),IF(F41="Smelter",Parameter!$C$11,IF(F41="Refinary",Parameter!$C$13,Parameter!$C$16)))</f>
        <v>1.518</v>
      </c>
      <c r="AG41">
        <f t="shared" si="0"/>
        <v>139.61920000000001</v>
      </c>
      <c r="AH41">
        <f t="shared" si="1"/>
        <v>17.0016</v>
      </c>
    </row>
    <row r="42" spans="1:40" hidden="1" x14ac:dyDescent="0.35">
      <c r="A42">
        <v>2281</v>
      </c>
      <c r="B42" t="s">
        <v>223</v>
      </c>
      <c r="C42" t="s">
        <v>224</v>
      </c>
      <c r="D42" t="s">
        <v>27</v>
      </c>
      <c r="E42" t="s">
        <v>225</v>
      </c>
      <c r="H42" t="s">
        <v>29</v>
      </c>
      <c r="I42" t="s">
        <v>34</v>
      </c>
      <c r="J42" t="s">
        <v>82</v>
      </c>
      <c r="K42" t="s">
        <v>36</v>
      </c>
      <c r="L42" t="s">
        <v>36</v>
      </c>
      <c r="M42">
        <v>2017</v>
      </c>
      <c r="N42" t="s">
        <v>103</v>
      </c>
      <c r="O42" t="s">
        <v>41</v>
      </c>
      <c r="P42" t="s">
        <v>43</v>
      </c>
      <c r="R42" t="s">
        <v>115</v>
      </c>
      <c r="S42">
        <v>-12.256487</v>
      </c>
      <c r="T42">
        <v>25.300218000000001</v>
      </c>
      <c r="U42" t="s">
        <v>61</v>
      </c>
      <c r="V42" t="s">
        <v>133</v>
      </c>
      <c r="W42" t="s">
        <v>46</v>
      </c>
      <c r="X42" t="s">
        <v>109</v>
      </c>
      <c r="Y42" t="s">
        <v>110</v>
      </c>
      <c r="Z42" t="s">
        <v>49</v>
      </c>
      <c r="AA42" t="s">
        <v>111</v>
      </c>
      <c r="AB42" s="2"/>
      <c r="AC42" t="s">
        <v>232</v>
      </c>
      <c r="AD42" s="26">
        <f>242451/Parameter!$H$1</f>
        <v>39105000</v>
      </c>
      <c r="AE42">
        <f>IF(J42="Ore and concentrate",IF(G42="Open Pit", Parameter!$C$19,Parameter!$C$21), IF(F42="Smelter",Parameter!$C$10,IF(F42="Refinary",Parameter!$C$12,Parameter!$C$15)))</f>
        <v>7.2849999999999998E-2</v>
      </c>
      <c r="AF42">
        <f>IF(J42="Ore and concentrate",IF(G42="Open Pit",Parameter!$C$20,Parameter!$C$22),IF(F42="Smelter",Parameter!$C$11,IF(F42="Refinary",Parameter!$C$13,Parameter!$C$16)))</f>
        <v>1.333E-2</v>
      </c>
      <c r="AG42">
        <f>IF(AD42="","", AD42*AE42/1000)</f>
        <v>2848.79925</v>
      </c>
      <c r="AH42">
        <f>IF((AD42=""),"", AD42*AF42/1000)</f>
        <v>521.26964999999996</v>
      </c>
      <c r="AI42" s="26">
        <f>AD42*Parameter!$H$1</f>
        <v>242451</v>
      </c>
      <c r="AJ42" s="25">
        <v>220006</v>
      </c>
      <c r="AK42" s="2">
        <v>56329000</v>
      </c>
      <c r="AL42" s="2">
        <v>56589000</v>
      </c>
      <c r="AM42" s="1">
        <v>232688</v>
      </c>
      <c r="AN42" s="1">
        <v>251216</v>
      </c>
    </row>
    <row r="43" spans="1:40" x14ac:dyDescent="0.35">
      <c r="AB43" s="2"/>
      <c r="AD43" s="2"/>
      <c r="AJ43" s="2"/>
      <c r="AK43" s="2"/>
      <c r="AL43" s="2"/>
      <c r="AM43" s="2"/>
      <c r="AN43" s="2"/>
    </row>
    <row r="44" spans="1:40" x14ac:dyDescent="0.35">
      <c r="AJ44" t="s">
        <v>309</v>
      </c>
      <c r="AK44" s="53" t="s">
        <v>308</v>
      </c>
      <c r="AL44" s="53"/>
      <c r="AM44" s="29" t="s">
        <v>322</v>
      </c>
      <c r="AN44" s="29" t="s">
        <v>316</v>
      </c>
    </row>
    <row r="45" spans="1:40" x14ac:dyDescent="0.35">
      <c r="AK45" s="2">
        <v>628400</v>
      </c>
      <c r="AL45" s="30" t="s">
        <v>305</v>
      </c>
    </row>
    <row r="46" spans="1:40" x14ac:dyDescent="0.35">
      <c r="AH46" s="29" t="s">
        <v>303</v>
      </c>
      <c r="AI46" s="2">
        <f>AI3+AI8+AI9+AI10+AI11+AI13+AI15+AI16+AI17+AI18+AI19+AI22+AI29+AI31+AI34+AI35+AI36+AI37+AI38+AI39+AI40+AI42</f>
        <v>643850.59999999986</v>
      </c>
      <c r="AK46" s="2">
        <v>165700</v>
      </c>
      <c r="AL46" s="30" t="s">
        <v>306</v>
      </c>
    </row>
    <row r="47" spans="1:40" x14ac:dyDescent="0.35">
      <c r="AH47" s="29" t="s">
        <v>304</v>
      </c>
      <c r="AI47" s="2">
        <f>AD4+AD5+AD6+AD7+AD14+AD21+AD23+AD25+AD26+AD27+AD28+AD30+AD32+AD33+AD41</f>
        <v>2010960</v>
      </c>
      <c r="AJ47" s="2">
        <v>787900</v>
      </c>
      <c r="AK47" s="2">
        <v>794100</v>
      </c>
      <c r="AL47" s="30" t="s">
        <v>307</v>
      </c>
      <c r="AM47" s="2">
        <v>2183700</v>
      </c>
      <c r="AN47" s="2">
        <f>AI50</f>
        <v>804813.24999999977</v>
      </c>
    </row>
    <row r="49" spans="25:36" x14ac:dyDescent="0.35">
      <c r="AI49" s="32">
        <f>AI46/AJ47</f>
        <v>0.81717299149638256</v>
      </c>
      <c r="AJ49" s="35"/>
    </row>
    <row r="50" spans="25:36" x14ac:dyDescent="0.35">
      <c r="AH50" s="29" t="s">
        <v>316</v>
      </c>
      <c r="AI50" s="2">
        <f>AI46/0.8</f>
        <v>804813.24999999977</v>
      </c>
    </row>
    <row r="51" spans="25:36" x14ac:dyDescent="0.35">
      <c r="AH51" s="29" t="s">
        <v>322</v>
      </c>
      <c r="AI51" s="2">
        <v>2183700</v>
      </c>
    </row>
    <row r="54" spans="25:36" x14ac:dyDescent="0.35">
      <c r="Z54" t="s">
        <v>266</v>
      </c>
      <c r="AA54" s="38" t="s">
        <v>312</v>
      </c>
    </row>
    <row r="55" spans="25:36" x14ac:dyDescent="0.35">
      <c r="Y55" s="29" t="s">
        <v>317</v>
      </c>
      <c r="Z55" t="s">
        <v>320</v>
      </c>
      <c r="AA55" s="38" t="s">
        <v>319</v>
      </c>
    </row>
    <row r="56" spans="25:36" x14ac:dyDescent="0.35">
      <c r="Y56" s="39" t="s">
        <v>318</v>
      </c>
      <c r="Z56" s="40"/>
      <c r="AA56" s="41" t="s">
        <v>321</v>
      </c>
      <c r="AB56" s="40"/>
      <c r="AC56" s="40"/>
      <c r="AD56" s="40"/>
      <c r="AE56" s="40"/>
    </row>
    <row r="57" spans="25:36" x14ac:dyDescent="0.35">
      <c r="Y57" s="29" t="s">
        <v>315</v>
      </c>
      <c r="Z57" t="s">
        <v>310</v>
      </c>
      <c r="AA57" s="38" t="s">
        <v>311</v>
      </c>
    </row>
    <row r="58" spans="25:36" x14ac:dyDescent="0.35">
      <c r="Y58" s="29" t="s">
        <v>313</v>
      </c>
      <c r="AA58" s="38" t="s">
        <v>314</v>
      </c>
    </row>
  </sheetData>
  <autoFilter ref="A1:AR42" xr:uid="{00000000-0001-0000-0000-000000000000}">
    <filterColumn colId="9">
      <filters blank="1">
        <filter val="Metal"/>
      </filters>
    </filterColumn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</autoFilter>
  <mergeCells count="6">
    <mergeCell ref="AK44:AL44"/>
    <mergeCell ref="AK1:AN1"/>
    <mergeCell ref="AO1:AR1"/>
    <mergeCell ref="AK2:AL2"/>
    <mergeCell ref="AO2:AP2"/>
    <mergeCell ref="AQ2:AR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20DD5-6E0B-403C-9AAB-B4B2B6E1FBE7}">
  <dimension ref="A1:U52"/>
  <sheetViews>
    <sheetView topLeftCell="E15" workbookViewId="0">
      <selection activeCell="K31" sqref="K31"/>
    </sheetView>
  </sheetViews>
  <sheetFormatPr baseColWidth="10" defaultColWidth="10.81640625" defaultRowHeight="12.5" x14ac:dyDescent="0.25"/>
  <cols>
    <col min="1" max="1" width="14.7265625" style="8" bestFit="1" customWidth="1"/>
    <col min="2" max="2" width="12" style="8" bestFit="1" customWidth="1"/>
    <col min="3" max="3" width="20" style="8" bestFit="1" customWidth="1"/>
    <col min="4" max="4" width="10.81640625" style="8"/>
    <col min="5" max="5" width="19.26953125" style="8" bestFit="1" customWidth="1"/>
    <col min="6" max="6" width="20.54296875" style="8" bestFit="1" customWidth="1"/>
    <col min="7" max="7" width="16.26953125" style="8" bestFit="1" customWidth="1"/>
    <col min="8" max="8" width="15.453125" style="8" customWidth="1"/>
    <col min="9" max="9" width="11.453125" style="8" bestFit="1" customWidth="1"/>
    <col min="10" max="12" width="10.81640625" style="8"/>
    <col min="13" max="13" width="14.1796875" style="8" bestFit="1" customWidth="1"/>
    <col min="14" max="14" width="10.26953125" style="8" bestFit="1" customWidth="1"/>
    <col min="15" max="16" width="10.81640625" style="8"/>
    <col min="17" max="17" width="12.26953125" style="8" bestFit="1" customWidth="1"/>
    <col min="18" max="16384" width="10.81640625" style="8"/>
  </cols>
  <sheetData>
    <row r="1" spans="1:8" x14ac:dyDescent="0.25">
      <c r="A1" s="7" t="s">
        <v>244</v>
      </c>
      <c r="B1" s="7" t="s">
        <v>245</v>
      </c>
      <c r="C1" s="7" t="s">
        <v>246</v>
      </c>
      <c r="D1" s="7" t="s">
        <v>247</v>
      </c>
      <c r="E1" s="8" t="s">
        <v>265</v>
      </c>
      <c r="F1" s="8" t="s">
        <v>288</v>
      </c>
      <c r="G1" s="7" t="s">
        <v>248</v>
      </c>
      <c r="H1" s="31">
        <v>6.1999999999999998E-3</v>
      </c>
    </row>
    <row r="2" spans="1:8" x14ac:dyDescent="0.25">
      <c r="A2" s="7" t="s">
        <v>249</v>
      </c>
      <c r="B2" s="7" t="s">
        <v>250</v>
      </c>
      <c r="C2" s="8">
        <f>H20*$H$1</f>
        <v>0</v>
      </c>
      <c r="D2" s="7" t="s">
        <v>251</v>
      </c>
      <c r="E2" s="8" t="s">
        <v>284</v>
      </c>
      <c r="F2" s="8" t="s">
        <v>287</v>
      </c>
      <c r="G2" s="7" t="s">
        <v>252</v>
      </c>
      <c r="H2" s="10">
        <v>0.3</v>
      </c>
    </row>
    <row r="3" spans="1:8" x14ac:dyDescent="0.25">
      <c r="A3" s="7" t="s">
        <v>249</v>
      </c>
      <c r="B3" s="7" t="s">
        <v>253</v>
      </c>
      <c r="C3" s="8">
        <f>H21*$H$1</f>
        <v>6.3239999999999991E-2</v>
      </c>
      <c r="D3" s="7" t="s">
        <v>251</v>
      </c>
      <c r="E3" s="8" t="s">
        <v>284</v>
      </c>
      <c r="F3" s="8" t="s">
        <v>287</v>
      </c>
      <c r="G3" s="7" t="s">
        <v>254</v>
      </c>
      <c r="H3" s="10">
        <v>0.8</v>
      </c>
    </row>
    <row r="4" spans="1:8" x14ac:dyDescent="0.25">
      <c r="A4" s="7" t="s">
        <v>255</v>
      </c>
      <c r="B4" s="7" t="s">
        <v>250</v>
      </c>
      <c r="C4" s="8">
        <f>0.4*24*$H$2</f>
        <v>2.8800000000000003</v>
      </c>
      <c r="D4" s="7" t="s">
        <v>256</v>
      </c>
      <c r="E4" s="8" t="s">
        <v>284</v>
      </c>
      <c r="F4" s="8" t="s">
        <v>287</v>
      </c>
      <c r="G4" s="7"/>
      <c r="H4" s="9"/>
    </row>
    <row r="5" spans="1:8" x14ac:dyDescent="0.25">
      <c r="A5" s="15" t="s">
        <v>255</v>
      </c>
      <c r="B5" s="15" t="s">
        <v>253</v>
      </c>
      <c r="C5" s="16">
        <v>0</v>
      </c>
      <c r="D5" s="15"/>
      <c r="E5" s="16" t="s">
        <v>284</v>
      </c>
      <c r="F5" s="8" t="s">
        <v>287</v>
      </c>
      <c r="G5" s="7"/>
      <c r="H5" s="9"/>
    </row>
    <row r="6" spans="1:8" x14ac:dyDescent="0.25">
      <c r="A6" s="7" t="s">
        <v>249</v>
      </c>
      <c r="B6" s="7" t="s">
        <v>250</v>
      </c>
      <c r="C6" s="8">
        <f>I20*$H$1</f>
        <v>1.333E-2</v>
      </c>
      <c r="D6" s="7" t="s">
        <v>251</v>
      </c>
      <c r="E6" s="8" t="s">
        <v>283</v>
      </c>
    </row>
    <row r="7" spans="1:8" x14ac:dyDescent="0.25">
      <c r="A7" s="7" t="s">
        <v>249</v>
      </c>
      <c r="B7" s="7" t="s">
        <v>253</v>
      </c>
      <c r="C7" s="8">
        <f>I21*$H$1</f>
        <v>1.333E-2</v>
      </c>
      <c r="D7" s="7" t="s">
        <v>251</v>
      </c>
      <c r="E7" s="8" t="s">
        <v>283</v>
      </c>
    </row>
    <row r="8" spans="1:8" x14ac:dyDescent="0.25">
      <c r="A8" s="7" t="s">
        <v>255</v>
      </c>
      <c r="B8" s="7" t="s">
        <v>250</v>
      </c>
      <c r="C8" s="8">
        <f>0.4*24*$H$2</f>
        <v>2.8800000000000003</v>
      </c>
      <c r="D8" s="7" t="s">
        <v>256</v>
      </c>
      <c r="E8" s="8" t="s">
        <v>283</v>
      </c>
      <c r="G8" s="8" t="s">
        <v>290</v>
      </c>
    </row>
    <row r="9" spans="1:8" ht="14.5" x14ac:dyDescent="0.35">
      <c r="A9" s="7" t="s">
        <v>255</v>
      </c>
      <c r="B9" s="7" t="s">
        <v>253</v>
      </c>
      <c r="C9" s="8">
        <v>0</v>
      </c>
      <c r="D9" s="7"/>
      <c r="E9" s="8" t="s">
        <v>283</v>
      </c>
      <c r="F9" s="17" t="s">
        <v>289</v>
      </c>
      <c r="G9" s="8" t="s">
        <v>291</v>
      </c>
    </row>
    <row r="10" spans="1:8" x14ac:dyDescent="0.25">
      <c r="A10" s="7" t="s">
        <v>257</v>
      </c>
      <c r="B10" s="7" t="s">
        <v>250</v>
      </c>
      <c r="C10" s="8">
        <v>9.266</v>
      </c>
      <c r="D10" s="7" t="s">
        <v>258</v>
      </c>
      <c r="F10" s="8">
        <f>0.4*8.9</f>
        <v>3.5600000000000005</v>
      </c>
      <c r="G10" s="8">
        <v>9.266</v>
      </c>
    </row>
    <row r="11" spans="1:8" x14ac:dyDescent="0.25">
      <c r="A11" s="7" t="s">
        <v>257</v>
      </c>
      <c r="B11" s="7" t="s">
        <v>253</v>
      </c>
      <c r="C11" s="8">
        <v>1.518</v>
      </c>
      <c r="D11" s="7" t="s">
        <v>258</v>
      </c>
      <c r="F11" s="8">
        <f>0.6*8.9</f>
        <v>5.34</v>
      </c>
      <c r="G11" s="8">
        <v>1.518</v>
      </c>
    </row>
    <row r="12" spans="1:8" x14ac:dyDescent="0.25">
      <c r="A12" s="7" t="s">
        <v>259</v>
      </c>
      <c r="B12" s="7" t="s">
        <v>250</v>
      </c>
      <c r="C12" s="8">
        <v>3.2</v>
      </c>
      <c r="D12" s="7" t="s">
        <v>258</v>
      </c>
    </row>
    <row r="13" spans="1:8" x14ac:dyDescent="0.25">
      <c r="A13" s="7" t="s">
        <v>259</v>
      </c>
      <c r="B13" s="7" t="s">
        <v>253</v>
      </c>
      <c r="C13" s="8">
        <v>0</v>
      </c>
      <c r="D13" s="7"/>
    </row>
    <row r="14" spans="1:8" x14ac:dyDescent="0.25">
      <c r="A14" s="7" t="s">
        <v>260</v>
      </c>
      <c r="B14" s="7" t="s">
        <v>250</v>
      </c>
      <c r="C14" s="8">
        <f>C12</f>
        <v>3.2</v>
      </c>
      <c r="D14" s="7" t="s">
        <v>258</v>
      </c>
      <c r="E14" s="14" t="s">
        <v>282</v>
      </c>
    </row>
    <row r="15" spans="1:8" x14ac:dyDescent="0.25">
      <c r="A15" s="7" t="s">
        <v>268</v>
      </c>
      <c r="B15" s="7" t="s">
        <v>250</v>
      </c>
      <c r="C15" s="8">
        <f>C10+C12</f>
        <v>12.466000000000001</v>
      </c>
      <c r="D15" s="7"/>
    </row>
    <row r="16" spans="1:8" x14ac:dyDescent="0.25">
      <c r="A16" s="7" t="s">
        <v>268</v>
      </c>
      <c r="B16" s="7" t="s">
        <v>253</v>
      </c>
      <c r="C16" s="8">
        <f>C11+C13</f>
        <v>1.518</v>
      </c>
      <c r="D16" s="7"/>
    </row>
    <row r="18" spans="2:16" ht="14.5" x14ac:dyDescent="0.35">
      <c r="G18" s="17" t="s">
        <v>289</v>
      </c>
    </row>
    <row r="19" spans="2:16" x14ac:dyDescent="0.25">
      <c r="B19" s="7" t="s">
        <v>250</v>
      </c>
      <c r="C19" s="8">
        <f>C2+C4*$H$1/$H$2</f>
        <v>5.9520000000000003E-2</v>
      </c>
      <c r="D19" s="8" t="s">
        <v>82</v>
      </c>
      <c r="E19" s="8" t="s">
        <v>266</v>
      </c>
      <c r="F19" s="8" t="s">
        <v>284</v>
      </c>
      <c r="H19" s="8" t="s">
        <v>284</v>
      </c>
      <c r="I19" s="8" t="s">
        <v>283</v>
      </c>
    </row>
    <row r="20" spans="2:16" x14ac:dyDescent="0.25">
      <c r="B20" s="7" t="s">
        <v>253</v>
      </c>
      <c r="C20" s="8">
        <f>C3+C5*$H$1/$H$2</f>
        <v>6.3239999999999991E-2</v>
      </c>
      <c r="D20" s="8" t="s">
        <v>82</v>
      </c>
      <c r="E20" s="8" t="s">
        <v>266</v>
      </c>
      <c r="F20" s="8" t="s">
        <v>284</v>
      </c>
      <c r="G20" s="8" t="s">
        <v>301</v>
      </c>
      <c r="H20" s="8">
        <v>0</v>
      </c>
      <c r="I20" s="8">
        <f>4.3/2</f>
        <v>2.15</v>
      </c>
      <c r="J20" s="8" t="s">
        <v>302</v>
      </c>
    </row>
    <row r="21" spans="2:16" x14ac:dyDescent="0.25">
      <c r="B21" s="7" t="s">
        <v>250</v>
      </c>
      <c r="C21" s="8">
        <f>C6+C8*$H$1/$H$2</f>
        <v>7.2849999999999998E-2</v>
      </c>
      <c r="D21" s="8" t="s">
        <v>82</v>
      </c>
      <c r="E21" s="8" t="s">
        <v>266</v>
      </c>
      <c r="F21" s="8" t="s">
        <v>283</v>
      </c>
      <c r="G21" s="8" t="s">
        <v>253</v>
      </c>
      <c r="H21" s="8">
        <v>10.199999999999999</v>
      </c>
      <c r="I21" s="8">
        <f>I20</f>
        <v>2.15</v>
      </c>
      <c r="J21" s="8" t="s">
        <v>302</v>
      </c>
    </row>
    <row r="22" spans="2:16" x14ac:dyDescent="0.25">
      <c r="B22" s="7" t="s">
        <v>253</v>
      </c>
      <c r="C22" s="8">
        <f>C7+C9*$H$1/$H$2</f>
        <v>1.333E-2</v>
      </c>
      <c r="D22" s="8" t="s">
        <v>82</v>
      </c>
      <c r="E22" s="8" t="s">
        <v>266</v>
      </c>
      <c r="F22" s="8" t="s">
        <v>283</v>
      </c>
    </row>
    <row r="23" spans="2:16" ht="14.5" x14ac:dyDescent="0.35">
      <c r="B23" s="28" t="s">
        <v>250</v>
      </c>
      <c r="C23" s="28">
        <f>C8+C6*H2/H1</f>
        <v>3.5250000000000004</v>
      </c>
      <c r="D23" s="3" t="s">
        <v>35</v>
      </c>
    </row>
    <row r="24" spans="2:16" ht="14.5" x14ac:dyDescent="0.35">
      <c r="B24" s="28" t="s">
        <v>253</v>
      </c>
      <c r="C24" s="28">
        <f>C7*H2/H1</f>
        <v>0.64500000000000002</v>
      </c>
      <c r="D24" s="3" t="s">
        <v>35</v>
      </c>
      <c r="H24" s="45" t="s">
        <v>338</v>
      </c>
      <c r="I24" s="46"/>
      <c r="J24" s="45" t="s">
        <v>323</v>
      </c>
      <c r="N24" s="46"/>
      <c r="O24" s="47" t="s">
        <v>339</v>
      </c>
      <c r="P24" s="8" t="s">
        <v>341</v>
      </c>
    </row>
    <row r="25" spans="2:16" ht="14.5" x14ac:dyDescent="0.35">
      <c r="B25" s="7" t="s">
        <v>250</v>
      </c>
      <c r="C25" s="8">
        <f>C10+C12</f>
        <v>12.466000000000001</v>
      </c>
      <c r="D25" t="s">
        <v>38</v>
      </c>
      <c r="H25" s="54" t="s">
        <v>335</v>
      </c>
      <c r="I25" s="55"/>
      <c r="J25" s="8" t="s">
        <v>331</v>
      </c>
      <c r="K25" s="8" t="s">
        <v>330</v>
      </c>
      <c r="L25" s="8" t="s">
        <v>325</v>
      </c>
      <c r="M25" s="8" t="s">
        <v>326</v>
      </c>
      <c r="N25" s="8" t="s">
        <v>342</v>
      </c>
      <c r="O25" s="48" t="s">
        <v>340</v>
      </c>
    </row>
    <row r="26" spans="2:16" ht="14.5" x14ac:dyDescent="0.35">
      <c r="B26" s="7" t="s">
        <v>253</v>
      </c>
      <c r="C26" s="8">
        <f>C11</f>
        <v>1.518</v>
      </c>
      <c r="D26" t="s">
        <v>38</v>
      </c>
      <c r="G26" s="8" t="s">
        <v>301</v>
      </c>
      <c r="H26" s="8" t="s">
        <v>336</v>
      </c>
      <c r="I26" s="46">
        <v>41.4</v>
      </c>
      <c r="J26" s="8">
        <f>0.6*0.4*24</f>
        <v>5.76</v>
      </c>
      <c r="K26" s="8">
        <v>0</v>
      </c>
      <c r="L26" s="8">
        <v>0</v>
      </c>
      <c r="M26" s="8">
        <f>4.3/2</f>
        <v>2.15</v>
      </c>
      <c r="N26" s="8">
        <f>0.1*9.6</f>
        <v>0.96</v>
      </c>
      <c r="O26" s="48">
        <f>0.4*24</f>
        <v>9.6000000000000014</v>
      </c>
      <c r="P26" s="8" t="s">
        <v>302</v>
      </c>
    </row>
    <row r="27" spans="2:16" x14ac:dyDescent="0.25">
      <c r="G27" s="8" t="s">
        <v>253</v>
      </c>
      <c r="I27" s="46"/>
      <c r="J27" s="8">
        <f>0.6*0.6*24</f>
        <v>8.64</v>
      </c>
      <c r="K27" s="8">
        <f>0.6*24</f>
        <v>14.399999999999999</v>
      </c>
      <c r="L27" s="8">
        <v>10.199999999999999</v>
      </c>
      <c r="M27" s="8">
        <f>M26</f>
        <v>2.15</v>
      </c>
      <c r="N27" s="8">
        <f>0.9*9.6</f>
        <v>8.64</v>
      </c>
      <c r="O27" s="48">
        <v>0</v>
      </c>
      <c r="P27" s="8" t="s">
        <v>302</v>
      </c>
    </row>
    <row r="28" spans="2:16" x14ac:dyDescent="0.25">
      <c r="G28" s="8" t="s">
        <v>334</v>
      </c>
      <c r="H28" s="8" t="s">
        <v>337</v>
      </c>
      <c r="I28" s="46">
        <v>5.4</v>
      </c>
      <c r="O28" s="48"/>
      <c r="P28" s="8" t="s">
        <v>302</v>
      </c>
    </row>
    <row r="30" spans="2:16" x14ac:dyDescent="0.25">
      <c r="G30" s="8" t="s">
        <v>327</v>
      </c>
      <c r="H30" s="8" t="s">
        <v>329</v>
      </c>
    </row>
    <row r="31" spans="2:16" ht="14.5" x14ac:dyDescent="0.35">
      <c r="G31" s="8" t="s">
        <v>328</v>
      </c>
      <c r="H31" s="17" t="s">
        <v>289</v>
      </c>
    </row>
    <row r="32" spans="2:16" x14ac:dyDescent="0.25">
      <c r="G32" s="8" t="s">
        <v>332</v>
      </c>
      <c r="H32" s="8" t="s">
        <v>333</v>
      </c>
    </row>
    <row r="34" spans="7:21" x14ac:dyDescent="0.25">
      <c r="G34" s="8" t="s">
        <v>324</v>
      </c>
    </row>
    <row r="35" spans="7:21" x14ac:dyDescent="0.25">
      <c r="G35" s="9">
        <v>6.1999999999999998E-3</v>
      </c>
    </row>
    <row r="38" spans="7:21" ht="13" x14ac:dyDescent="0.3">
      <c r="H38" s="45" t="s">
        <v>343</v>
      </c>
      <c r="I38" s="46"/>
      <c r="J38" s="45" t="s">
        <v>257</v>
      </c>
      <c r="P38" s="46"/>
      <c r="Q38" s="49" t="s">
        <v>269</v>
      </c>
      <c r="R38" s="46"/>
      <c r="S38" s="45" t="s">
        <v>356</v>
      </c>
      <c r="T38" s="46"/>
      <c r="U38" s="8" t="s">
        <v>341</v>
      </c>
    </row>
    <row r="39" spans="7:21" x14ac:dyDescent="0.25">
      <c r="H39" s="54" t="s">
        <v>335</v>
      </c>
      <c r="I39" s="55"/>
      <c r="J39" s="8" t="s">
        <v>328</v>
      </c>
      <c r="K39" s="8" t="s">
        <v>348</v>
      </c>
      <c r="L39" s="8" t="s">
        <v>355</v>
      </c>
      <c r="M39" s="8" t="s">
        <v>358</v>
      </c>
      <c r="N39" s="8" t="s">
        <v>359</v>
      </c>
      <c r="O39" s="8" t="s">
        <v>360</v>
      </c>
      <c r="P39" s="8" t="s">
        <v>361</v>
      </c>
      <c r="Q39" s="50" t="s">
        <v>328</v>
      </c>
      <c r="R39" s="46" t="s">
        <v>348</v>
      </c>
      <c r="S39" s="8" t="s">
        <v>362</v>
      </c>
      <c r="T39" s="46" t="s">
        <v>363</v>
      </c>
    </row>
    <row r="40" spans="7:21" x14ac:dyDescent="0.25">
      <c r="G40" s="8" t="s">
        <v>301</v>
      </c>
      <c r="H40" s="8" t="s">
        <v>344</v>
      </c>
      <c r="I40" s="46">
        <v>210</v>
      </c>
      <c r="J40" s="8">
        <f>0.4*8.9</f>
        <v>3.5600000000000005</v>
      </c>
      <c r="L40" s="8">
        <v>2.2000000000000002</v>
      </c>
      <c r="M40" s="8">
        <v>9.3000000000000007</v>
      </c>
      <c r="N40" s="8">
        <v>6.9</v>
      </c>
      <c r="O40" s="8">
        <v>8.5</v>
      </c>
      <c r="P40" s="8">
        <v>10.1</v>
      </c>
      <c r="Q40" s="50">
        <v>3.2</v>
      </c>
      <c r="R40" s="46"/>
      <c r="S40" s="8">
        <v>2.8</v>
      </c>
      <c r="T40" s="46">
        <v>4.4000000000000004</v>
      </c>
      <c r="U40" s="8" t="s">
        <v>302</v>
      </c>
    </row>
    <row r="41" spans="7:21" x14ac:dyDescent="0.25">
      <c r="G41" s="8" t="s">
        <v>347</v>
      </c>
      <c r="H41" s="8" t="s">
        <v>345</v>
      </c>
      <c r="I41" s="46">
        <v>10.8</v>
      </c>
      <c r="J41" s="8">
        <f>0.6*8.9</f>
        <v>5.34</v>
      </c>
      <c r="L41" s="8">
        <v>15.9</v>
      </c>
      <c r="M41" s="8">
        <v>1.5</v>
      </c>
      <c r="N41" s="8">
        <v>4.2</v>
      </c>
      <c r="O41" s="8">
        <v>2.5</v>
      </c>
      <c r="P41" s="8">
        <v>2.7</v>
      </c>
      <c r="Q41" s="50">
        <v>0</v>
      </c>
      <c r="R41" s="46"/>
      <c r="S41" s="8">
        <v>7.9</v>
      </c>
      <c r="T41" s="46">
        <v>6.3</v>
      </c>
      <c r="U41" s="8" t="s">
        <v>302</v>
      </c>
    </row>
    <row r="42" spans="7:21" x14ac:dyDescent="0.25">
      <c r="G42" s="8" t="s">
        <v>334</v>
      </c>
      <c r="H42" s="8" t="s">
        <v>346</v>
      </c>
      <c r="I42" s="46">
        <v>25.2</v>
      </c>
      <c r="Q42" s="50"/>
      <c r="R42" s="46"/>
      <c r="T42" s="46"/>
      <c r="U42" s="8" t="s">
        <v>302</v>
      </c>
    </row>
    <row r="43" spans="7:21" x14ac:dyDescent="0.25">
      <c r="G43" s="8" t="s">
        <v>307</v>
      </c>
      <c r="I43" s="46"/>
      <c r="K43" s="8" t="s">
        <v>349</v>
      </c>
      <c r="P43" s="46"/>
      <c r="R43" s="46" t="s">
        <v>350</v>
      </c>
      <c r="T43" s="46"/>
    </row>
    <row r="45" spans="7:21" ht="14.5" x14ac:dyDescent="0.35">
      <c r="G45" s="8" t="s">
        <v>328</v>
      </c>
      <c r="H45" s="17" t="s">
        <v>289</v>
      </c>
    </row>
    <row r="46" spans="7:21" x14ac:dyDescent="0.25">
      <c r="G46" s="8" t="s">
        <v>332</v>
      </c>
      <c r="H46" s="8" t="s">
        <v>333</v>
      </c>
    </row>
    <row r="47" spans="7:21" ht="14.5" x14ac:dyDescent="0.35">
      <c r="G47" s="8" t="s">
        <v>348</v>
      </c>
      <c r="H47" s="17" t="s">
        <v>351</v>
      </c>
    </row>
    <row r="48" spans="7:21" x14ac:dyDescent="0.25">
      <c r="G48" s="8" t="s">
        <v>354</v>
      </c>
      <c r="H48" s="8" t="s">
        <v>357</v>
      </c>
    </row>
    <row r="49" spans="7:8" x14ac:dyDescent="0.25">
      <c r="G49" s="8" t="s">
        <v>362</v>
      </c>
      <c r="H49" s="8" t="s">
        <v>364</v>
      </c>
    </row>
    <row r="50" spans="7:8" ht="14.5" x14ac:dyDescent="0.35">
      <c r="G50" s="8" t="s">
        <v>363</v>
      </c>
      <c r="H50" s="17" t="s">
        <v>365</v>
      </c>
    </row>
    <row r="52" spans="7:8" x14ac:dyDescent="0.25">
      <c r="G52" s="8" t="s">
        <v>352</v>
      </c>
      <c r="H52" s="8" t="s">
        <v>353</v>
      </c>
    </row>
  </sheetData>
  <mergeCells count="2">
    <mergeCell ref="H25:I25"/>
    <mergeCell ref="H39:I39"/>
  </mergeCells>
  <hyperlinks>
    <hyperlink ref="F9" r:id="rId1" xr:uid="{C164F4DB-CE52-46DB-9DE3-58EE48EA2AEE}"/>
    <hyperlink ref="G18" r:id="rId2" xr:uid="{CCFECA75-0DC4-489B-8AFB-08E4E632171B}"/>
    <hyperlink ref="H31" r:id="rId3" xr:uid="{540CF4E1-BA2B-463E-AE83-4CD4EF368607}"/>
    <hyperlink ref="H45" r:id="rId4" xr:uid="{B16D9E75-9DBD-4D0C-9100-726BC7C33BE2}"/>
    <hyperlink ref="H47" r:id="rId5" xr:uid="{697C54BF-87DB-4652-823A-D157DAC87FD1}"/>
    <hyperlink ref="H50" r:id="rId6" xr:uid="{913E80AF-05AB-4706-9D2C-2564DEE98B95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P42"/>
  <sheetViews>
    <sheetView workbookViewId="0">
      <selection activeCell="D56" sqref="D56"/>
    </sheetView>
  </sheetViews>
  <sheetFormatPr baseColWidth="10" defaultColWidth="9.1796875" defaultRowHeight="14.5" x14ac:dyDescent="0.35"/>
  <cols>
    <col min="5" max="5" width="37.81640625" customWidth="1"/>
    <col min="6" max="6" width="17.7265625" bestFit="1" customWidth="1"/>
    <col min="7" max="7" width="32.54296875" bestFit="1" customWidth="1"/>
    <col min="10" max="10" width="13.81640625" customWidth="1"/>
    <col min="11" max="12" width="0" hidden="1" customWidth="1"/>
    <col min="14" max="15" width="0" hidden="1" customWidth="1"/>
    <col min="16" max="16" width="40.26953125" customWidth="1"/>
    <col min="17" max="17" width="30.54296875" customWidth="1"/>
    <col min="22" max="23" width="0" hidden="1" customWidth="1"/>
    <col min="28" max="28" width="10.1796875" bestFit="1" customWidth="1"/>
    <col min="35" max="35" width="12" customWidth="1"/>
    <col min="36" max="36" width="10.1796875" bestFit="1" customWidth="1"/>
  </cols>
  <sheetData>
    <row r="1" spans="1:42" ht="3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267</v>
      </c>
      <c r="G1" t="s">
        <v>273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271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231</v>
      </c>
      <c r="AD1" t="s">
        <v>280</v>
      </c>
      <c r="AE1" s="11" t="s">
        <v>261</v>
      </c>
      <c r="AF1" s="11" t="s">
        <v>262</v>
      </c>
      <c r="AG1" s="11" t="s">
        <v>263</v>
      </c>
      <c r="AH1" s="11" t="s">
        <v>264</v>
      </c>
      <c r="AI1" s="51" t="s">
        <v>233</v>
      </c>
      <c r="AJ1" s="51"/>
      <c r="AK1" s="51"/>
      <c r="AL1" s="51"/>
      <c r="AM1" s="52" t="s">
        <v>235</v>
      </c>
      <c r="AN1" s="52"/>
      <c r="AO1" s="52"/>
      <c r="AP1" s="52"/>
    </row>
    <row r="2" spans="1:42" x14ac:dyDescent="0.35">
      <c r="AI2" s="51" t="s">
        <v>240</v>
      </c>
      <c r="AJ2" s="51"/>
      <c r="AK2" s="6" t="s">
        <v>241</v>
      </c>
      <c r="AL2" s="6" t="s">
        <v>241</v>
      </c>
      <c r="AM2" s="52" t="s">
        <v>242</v>
      </c>
      <c r="AN2" s="52"/>
      <c r="AO2" s="52" t="s">
        <v>243</v>
      </c>
      <c r="AP2" s="52"/>
    </row>
    <row r="3" spans="1:42" x14ac:dyDescent="0.35">
      <c r="A3">
        <v>2201</v>
      </c>
      <c r="B3" t="s">
        <v>25</v>
      </c>
      <c r="C3" t="s">
        <v>26</v>
      </c>
      <c r="D3" t="s">
        <v>27</v>
      </c>
      <c r="E3" t="s">
        <v>28</v>
      </c>
      <c r="G3" t="s">
        <v>283</v>
      </c>
      <c r="H3" t="s">
        <v>29</v>
      </c>
      <c r="I3" t="s">
        <v>34</v>
      </c>
      <c r="J3" t="s">
        <v>82</v>
      </c>
      <c r="K3" t="s">
        <v>36</v>
      </c>
      <c r="L3" t="s">
        <v>36</v>
      </c>
      <c r="M3">
        <v>2017</v>
      </c>
      <c r="N3" t="s">
        <v>37</v>
      </c>
      <c r="O3" t="s">
        <v>39</v>
      </c>
      <c r="P3" t="s">
        <v>40</v>
      </c>
      <c r="Q3" t="s">
        <v>272</v>
      </c>
      <c r="R3" t="s">
        <v>43</v>
      </c>
      <c r="S3">
        <v>-13.04861</v>
      </c>
      <c r="T3">
        <v>28.338059999999999</v>
      </c>
      <c r="U3" t="s">
        <v>44</v>
      </c>
      <c r="V3" t="s">
        <v>45</v>
      </c>
      <c r="W3" t="s">
        <v>46</v>
      </c>
      <c r="X3" t="s">
        <v>47</v>
      </c>
      <c r="Y3" t="s">
        <v>48</v>
      </c>
      <c r="Z3" t="s">
        <v>49</v>
      </c>
      <c r="AA3" t="s">
        <v>53</v>
      </c>
      <c r="AB3" s="2">
        <v>1500000</v>
      </c>
      <c r="AC3" t="s">
        <v>232</v>
      </c>
      <c r="AD3">
        <f>IF(ISBLANK(AB3), "", AB3*Parameter!$H$3)</f>
        <v>1200000</v>
      </c>
      <c r="AE3">
        <f>IF(J3="Concentrate",Parameter!$C$23,IF(Calib2!J3="Ore and concentrate",Parameter!$C$21,IF(F3="Smelter",Parameter!$C$10,IF(F3="Refinary",Parameter!$C$12,Parameter!$C$15))))</f>
        <v>7.2849999999999998E-2</v>
      </c>
      <c r="AF3">
        <f>IF(J3="Concentrate",Parameter!$C$24,IF(Calib2!J3="Ore and concentrate",Parameter!$C$22,IF(F3="Smelter",Parameter!$C$11,IF(F3="Refinary",Parameter!$C$13,Parameter!$C$16))))</f>
        <v>1.333E-2</v>
      </c>
      <c r="AG3">
        <f>IF(AD3="","", AD3*AE3/1000)</f>
        <v>87.42</v>
      </c>
      <c r="AH3">
        <f>IF((AD3=""),"", AD3*AF3/1000)</f>
        <v>15.996</v>
      </c>
      <c r="AI3" t="s">
        <v>103</v>
      </c>
      <c r="AJ3" t="s">
        <v>103</v>
      </c>
      <c r="AK3" s="1">
        <v>13836</v>
      </c>
      <c r="AL3" s="1">
        <v>13612</v>
      </c>
      <c r="AM3" t="s">
        <v>238</v>
      </c>
      <c r="AN3" t="s">
        <v>236</v>
      </c>
      <c r="AO3" s="2">
        <v>725000</v>
      </c>
      <c r="AP3" t="s">
        <v>236</v>
      </c>
    </row>
    <row r="4" spans="1:42" hidden="1" x14ac:dyDescent="0.35">
      <c r="A4">
        <v>2202</v>
      </c>
      <c r="B4" t="s">
        <v>30</v>
      </c>
      <c r="C4" t="s">
        <v>31</v>
      </c>
      <c r="D4" t="s">
        <v>27</v>
      </c>
      <c r="E4" t="s">
        <v>32</v>
      </c>
      <c r="F4" t="s">
        <v>268</v>
      </c>
      <c r="G4" t="s">
        <v>275</v>
      </c>
      <c r="H4" t="s">
        <v>33</v>
      </c>
      <c r="I4" t="s">
        <v>34</v>
      </c>
      <c r="J4" t="s">
        <v>38</v>
      </c>
      <c r="K4" t="s">
        <v>36</v>
      </c>
      <c r="L4" t="s">
        <v>36</v>
      </c>
      <c r="M4">
        <v>2017</v>
      </c>
      <c r="N4" t="s">
        <v>37</v>
      </c>
      <c r="O4" t="s">
        <v>41</v>
      </c>
      <c r="P4" t="s">
        <v>42</v>
      </c>
      <c r="R4" t="s">
        <v>43</v>
      </c>
      <c r="S4">
        <v>-13.042299999999999</v>
      </c>
      <c r="T4">
        <v>28.709353</v>
      </c>
      <c r="U4" t="s">
        <v>44</v>
      </c>
      <c r="V4" t="s">
        <v>50</v>
      </c>
      <c r="W4" t="s">
        <v>46</v>
      </c>
      <c r="X4" t="s">
        <v>51</v>
      </c>
      <c r="Y4" t="s">
        <v>52</v>
      </c>
      <c r="Z4" t="s">
        <v>43</v>
      </c>
      <c r="AA4" t="s">
        <v>53</v>
      </c>
      <c r="AB4" s="2">
        <v>52000</v>
      </c>
      <c r="AC4" t="s">
        <v>232</v>
      </c>
      <c r="AD4">
        <f>IF(ISBLANK(AB4), "", AB4*Parameter!$H$3)</f>
        <v>41600</v>
      </c>
      <c r="AE4">
        <f>IF(J4="Concentrate",Parameter!$C$23,IF(Calib2!J4="Ore and concentrate",Parameter!$C$21,IF(F4="Smelter",Parameter!$C$10,IF(F4="Refinary",Parameter!$C$12,Parameter!$C$15))))</f>
        <v>12.466000000000001</v>
      </c>
      <c r="AF4">
        <f>IF(J4="Concentrate",Parameter!$C$24,IF(Calib2!J4="Ore and concentrate",Parameter!$C$22,IF(F4="Smelter",Parameter!$C$11,IF(F4="Refinary",Parameter!$C$13,Parameter!$C$16))))</f>
        <v>1.518</v>
      </c>
      <c r="AG4">
        <f t="shared" ref="AG4:AG42" si="0">IF(AD4="","", AD4*AE4/1000)</f>
        <v>518.5856</v>
      </c>
      <c r="AH4">
        <f t="shared" ref="AH4:AH42" si="1">IF((AD4=""),"", AD4*AF4/1000)</f>
        <v>63.148800000000001</v>
      </c>
      <c r="AK4" t="s">
        <v>234</v>
      </c>
      <c r="AL4" t="s">
        <v>234</v>
      </c>
      <c r="AM4" s="2">
        <v>10000</v>
      </c>
      <c r="AN4" t="s">
        <v>236</v>
      </c>
    </row>
    <row r="5" spans="1:42" hidden="1" x14ac:dyDescent="0.35">
      <c r="A5">
        <v>2205</v>
      </c>
      <c r="B5" t="s">
        <v>54</v>
      </c>
      <c r="C5" t="s">
        <v>55</v>
      </c>
      <c r="D5" t="s">
        <v>27</v>
      </c>
      <c r="E5" t="s">
        <v>56</v>
      </c>
      <c r="F5" t="s">
        <v>268</v>
      </c>
      <c r="H5" t="s">
        <v>33</v>
      </c>
      <c r="I5" t="s">
        <v>34</v>
      </c>
      <c r="J5" t="s">
        <v>38</v>
      </c>
      <c r="K5" t="s">
        <v>36</v>
      </c>
      <c r="L5" t="s">
        <v>36</v>
      </c>
      <c r="M5">
        <v>2017</v>
      </c>
      <c r="N5" t="s">
        <v>37</v>
      </c>
      <c r="O5" t="s">
        <v>41</v>
      </c>
      <c r="P5" t="s">
        <v>42</v>
      </c>
      <c r="R5" t="s">
        <v>43</v>
      </c>
      <c r="S5">
        <v>-12.649976000000001</v>
      </c>
      <c r="T5">
        <v>28.041173000000001</v>
      </c>
      <c r="U5" t="s">
        <v>61</v>
      </c>
      <c r="V5" t="s">
        <v>62</v>
      </c>
      <c r="W5" t="s">
        <v>46</v>
      </c>
      <c r="X5" t="s">
        <v>63</v>
      </c>
      <c r="Y5" t="s">
        <v>64</v>
      </c>
      <c r="Z5" t="s">
        <v>65</v>
      </c>
      <c r="AA5" t="s">
        <v>53</v>
      </c>
      <c r="AB5" s="2">
        <v>8000</v>
      </c>
      <c r="AC5" t="s">
        <v>232</v>
      </c>
      <c r="AD5">
        <f>IF(ISBLANK(AB5), "", AB5*Parameter!$H$3)</f>
        <v>6400</v>
      </c>
      <c r="AE5">
        <f>IF(J5="Concentrate",Parameter!$C$23,IF(Calib2!J5="Ore and concentrate",Parameter!$C$21,IF(F5="Smelter",Parameter!$C$10,IF(F5="Refinary",Parameter!$C$12,Parameter!$C$15))))</f>
        <v>12.466000000000001</v>
      </c>
      <c r="AF5">
        <f>IF(J5="Concentrate",Parameter!$C$24,IF(Calib2!J5="Ore and concentrate",Parameter!$C$22,IF(F5="Smelter",Parameter!$C$11,IF(F5="Refinary",Parameter!$C$13,Parameter!$C$16))))</f>
        <v>1.518</v>
      </c>
      <c r="AG5">
        <f t="shared" si="0"/>
        <v>79.78240000000001</v>
      </c>
      <c r="AH5">
        <f t="shared" si="1"/>
        <v>9.7152000000000012</v>
      </c>
      <c r="AI5" t="s">
        <v>103</v>
      </c>
      <c r="AJ5" t="s">
        <v>103</v>
      </c>
      <c r="AK5" s="1">
        <v>66005</v>
      </c>
      <c r="AL5" s="1">
        <v>40163</v>
      </c>
    </row>
    <row r="6" spans="1:42" s="3" customFormat="1" hidden="1" x14ac:dyDescent="0.35">
      <c r="A6" s="3">
        <v>2206</v>
      </c>
      <c r="B6" s="3" t="s">
        <v>54</v>
      </c>
      <c r="C6" s="3" t="s">
        <v>43</v>
      </c>
      <c r="D6" s="3" t="s">
        <v>27</v>
      </c>
      <c r="E6" s="3" t="s">
        <v>57</v>
      </c>
      <c r="F6" t="s">
        <v>268</v>
      </c>
      <c r="G6"/>
      <c r="H6" s="3" t="s">
        <v>33</v>
      </c>
      <c r="I6" s="3" t="s">
        <v>34</v>
      </c>
      <c r="J6" s="3" t="s">
        <v>38</v>
      </c>
      <c r="K6" s="3" t="s">
        <v>36</v>
      </c>
      <c r="L6" s="3" t="s">
        <v>36</v>
      </c>
      <c r="M6" s="3">
        <v>2017</v>
      </c>
      <c r="N6" s="3" t="s">
        <v>37</v>
      </c>
      <c r="O6" s="3" t="s">
        <v>41</v>
      </c>
      <c r="P6" s="3" t="s">
        <v>59</v>
      </c>
      <c r="R6" s="3" t="s">
        <v>66</v>
      </c>
      <c r="S6" s="3">
        <v>-12.649976000000001</v>
      </c>
      <c r="T6" s="3">
        <v>28.041173000000001</v>
      </c>
      <c r="U6" s="3" t="s">
        <v>61</v>
      </c>
      <c r="V6" s="3" t="s">
        <v>50</v>
      </c>
      <c r="W6" s="3" t="s">
        <v>46</v>
      </c>
      <c r="X6" s="3" t="s">
        <v>67</v>
      </c>
      <c r="Y6" s="3" t="s">
        <v>68</v>
      </c>
      <c r="Z6" s="3" t="s">
        <v>69</v>
      </c>
      <c r="AA6" s="3" t="s">
        <v>53</v>
      </c>
      <c r="AB6" s="4">
        <v>27000</v>
      </c>
      <c r="AC6" s="3" t="s">
        <v>232</v>
      </c>
      <c r="AD6">
        <f>IF(ISBLANK(AB6), "", AB6*Parameter!$H$3)</f>
        <v>21600</v>
      </c>
      <c r="AE6">
        <f>IF(J6="Concentrate",Parameter!$C$23,IF(Calib2!J6="Ore and concentrate",Parameter!$C$21,IF(F6="Smelter",Parameter!$C$10,IF(F6="Refinary",Parameter!$C$12,Parameter!$C$15))))</f>
        <v>12.466000000000001</v>
      </c>
      <c r="AF6">
        <f>IF(J6="Concentrate",Parameter!$C$24,IF(Calib2!J6="Ore and concentrate",Parameter!$C$22,IF(F6="Smelter",Parameter!$C$11,IF(F6="Refinary",Parameter!$C$13,Parameter!$C$16))))</f>
        <v>1.518</v>
      </c>
      <c r="AG6">
        <f t="shared" si="0"/>
        <v>269.26560000000006</v>
      </c>
      <c r="AH6">
        <f t="shared" si="1"/>
        <v>32.788800000000002</v>
      </c>
    </row>
    <row r="7" spans="1:42" hidden="1" x14ac:dyDescent="0.35">
      <c r="A7">
        <v>2207</v>
      </c>
      <c r="B7" t="s">
        <v>54</v>
      </c>
      <c r="C7" t="s">
        <v>43</v>
      </c>
      <c r="D7" t="s">
        <v>27</v>
      </c>
      <c r="E7" t="s">
        <v>58</v>
      </c>
      <c r="F7" t="s">
        <v>257</v>
      </c>
      <c r="H7" t="s">
        <v>33</v>
      </c>
      <c r="I7" t="s">
        <v>34</v>
      </c>
      <c r="J7" t="s">
        <v>38</v>
      </c>
      <c r="K7" t="s">
        <v>36</v>
      </c>
      <c r="L7" t="s">
        <v>36</v>
      </c>
      <c r="M7">
        <v>2017</v>
      </c>
      <c r="N7" t="s">
        <v>37</v>
      </c>
      <c r="O7" t="s">
        <v>41</v>
      </c>
      <c r="P7" t="s">
        <v>60</v>
      </c>
      <c r="R7" t="s">
        <v>43</v>
      </c>
      <c r="S7">
        <v>-12.649976000000001</v>
      </c>
      <c r="T7">
        <v>28.041173000000001</v>
      </c>
      <c r="U7" t="s">
        <v>61</v>
      </c>
      <c r="V7" t="s">
        <v>50</v>
      </c>
      <c r="W7" t="s">
        <v>46</v>
      </c>
      <c r="X7" t="s">
        <v>70</v>
      </c>
      <c r="Y7" t="s">
        <v>71</v>
      </c>
      <c r="Z7" t="s">
        <v>72</v>
      </c>
      <c r="AA7" t="s">
        <v>53</v>
      </c>
      <c r="AB7" s="2">
        <v>250000</v>
      </c>
      <c r="AC7" t="s">
        <v>232</v>
      </c>
      <c r="AD7">
        <f>IF(ISBLANK(AB7), "", AB7*Parameter!$H$3)</f>
        <v>200000</v>
      </c>
      <c r="AE7">
        <f>IF(J7="Concentrate",Parameter!$C$23,IF(Calib2!J7="Ore and concentrate",Parameter!$C$21,IF(F7="Smelter",Parameter!$C$10,IF(F7="Refinary",Parameter!$C$12,Parameter!$C$15))))</f>
        <v>9.266</v>
      </c>
      <c r="AF7">
        <f>IF(J7="Concentrate",Parameter!$C$24,IF(Calib2!J7="Ore and concentrate",Parameter!$C$22,IF(F7="Smelter",Parameter!$C$11,IF(F7="Refinary",Parameter!$C$13,Parameter!$C$16))))</f>
        <v>1.518</v>
      </c>
      <c r="AG7">
        <f t="shared" si="0"/>
        <v>1853.2</v>
      </c>
      <c r="AH7">
        <f t="shared" si="1"/>
        <v>303.60000000000002</v>
      </c>
      <c r="AK7" s="5" t="s">
        <v>103</v>
      </c>
      <c r="AL7" s="5" t="s">
        <v>103</v>
      </c>
    </row>
    <row r="8" spans="1:42" x14ac:dyDescent="0.35">
      <c r="A8">
        <v>2209</v>
      </c>
      <c r="B8" t="s">
        <v>73</v>
      </c>
      <c r="C8" t="s">
        <v>74</v>
      </c>
      <c r="D8" t="s">
        <v>27</v>
      </c>
      <c r="E8" t="s">
        <v>75</v>
      </c>
      <c r="H8" t="s">
        <v>29</v>
      </c>
      <c r="I8" t="s">
        <v>34</v>
      </c>
      <c r="J8" t="s">
        <v>82</v>
      </c>
      <c r="K8" t="s">
        <v>36</v>
      </c>
      <c r="L8" t="s">
        <v>36</v>
      </c>
      <c r="M8">
        <v>2017</v>
      </c>
      <c r="N8" t="s">
        <v>37</v>
      </c>
      <c r="O8" t="s">
        <v>41</v>
      </c>
      <c r="P8" s="12" t="s">
        <v>83</v>
      </c>
      <c r="Q8" s="2">
        <f>Parameter!$H$1/Parameter!$H$2*Calib2!AD8</f>
        <v>35464</v>
      </c>
      <c r="R8" t="s">
        <v>85</v>
      </c>
      <c r="S8">
        <v>-12.658916</v>
      </c>
      <c r="T8">
        <v>28.047927000000001</v>
      </c>
      <c r="U8" t="s">
        <v>61</v>
      </c>
      <c r="V8" t="s">
        <v>45</v>
      </c>
      <c r="W8" t="s">
        <v>46</v>
      </c>
      <c r="X8" t="s">
        <v>86</v>
      </c>
      <c r="Y8" t="s">
        <v>87</v>
      </c>
      <c r="Z8" t="s">
        <v>88</v>
      </c>
      <c r="AA8" t="s">
        <v>53</v>
      </c>
      <c r="AB8" s="2">
        <v>2145000</v>
      </c>
      <c r="AC8" t="s">
        <v>232</v>
      </c>
      <c r="AD8">
        <f>IF(ISBLANK(AB8), "", AB8*Parameter!$H$3)</f>
        <v>1716000</v>
      </c>
      <c r="AE8">
        <f>IF(J8="Concentrate",Parameter!$C$23,IF(Calib2!J8="Ore and concentrate",Parameter!$C$21,IF(F8="Smelter",Parameter!$C$10,IF(F8="Refinary",Parameter!$C$12,Parameter!$C$15))))</f>
        <v>7.2849999999999998E-2</v>
      </c>
      <c r="AF8">
        <f>IF(J8="Concentrate",Parameter!$C$24,IF(Calib2!J8="Ore and concentrate",Parameter!$C$22,IF(F8="Smelter",Parameter!$C$11,IF(F8="Refinary",Parameter!$C$13,Parameter!$C$16))))</f>
        <v>1.333E-2</v>
      </c>
      <c r="AG8">
        <f t="shared" si="0"/>
        <v>125.0106</v>
      </c>
      <c r="AH8">
        <f t="shared" si="1"/>
        <v>22.874279999999999</v>
      </c>
      <c r="AK8" t="s">
        <v>234</v>
      </c>
      <c r="AL8" t="s">
        <v>234</v>
      </c>
    </row>
    <row r="9" spans="1:42" x14ac:dyDescent="0.35">
      <c r="A9">
        <v>2210</v>
      </c>
      <c r="B9" t="s">
        <v>76</v>
      </c>
      <c r="C9" t="s">
        <v>77</v>
      </c>
      <c r="D9" t="s">
        <v>27</v>
      </c>
      <c r="E9" t="s">
        <v>78</v>
      </c>
      <c r="H9" t="s">
        <v>29</v>
      </c>
      <c r="I9" t="s">
        <v>34</v>
      </c>
      <c r="J9" t="s">
        <v>82</v>
      </c>
      <c r="K9" t="s">
        <v>36</v>
      </c>
      <c r="L9" t="s">
        <v>36</v>
      </c>
      <c r="M9">
        <v>2017</v>
      </c>
      <c r="N9" t="s">
        <v>37</v>
      </c>
      <c r="O9" t="s">
        <v>41</v>
      </c>
      <c r="P9" t="s">
        <v>43</v>
      </c>
      <c r="R9" t="s">
        <v>89</v>
      </c>
      <c r="S9">
        <v>-12.657999999999999</v>
      </c>
      <c r="T9">
        <v>28.103000000000002</v>
      </c>
      <c r="U9" t="s">
        <v>44</v>
      </c>
      <c r="V9" t="s">
        <v>45</v>
      </c>
      <c r="W9" t="s">
        <v>46</v>
      </c>
      <c r="X9" t="s">
        <v>86</v>
      </c>
      <c r="Y9" t="s">
        <v>87</v>
      </c>
      <c r="Z9" t="s">
        <v>88</v>
      </c>
      <c r="AA9" t="s">
        <v>53</v>
      </c>
      <c r="AB9" s="2">
        <v>990000</v>
      </c>
      <c r="AC9" t="s">
        <v>232</v>
      </c>
      <c r="AD9">
        <f>IF(ISBLANK(AB9), "", AB9*Parameter!$H$3)</f>
        <v>792000</v>
      </c>
      <c r="AE9">
        <f>IF(J9="Concentrate",Parameter!$C$23,IF(Calib2!J9="Ore and concentrate",Parameter!$C$21,IF(F9="Smelter",Parameter!$C$10,IF(F9="Refinary",Parameter!$C$12,Parameter!$C$15))))</f>
        <v>7.2849999999999998E-2</v>
      </c>
      <c r="AF9">
        <f>IF(J9="Concentrate",Parameter!$C$24,IF(Calib2!J9="Ore and concentrate",Parameter!$C$22,IF(F9="Smelter",Parameter!$C$11,IF(F9="Refinary",Parameter!$C$13,Parameter!$C$16))))</f>
        <v>1.333E-2</v>
      </c>
      <c r="AG9">
        <f t="shared" si="0"/>
        <v>57.697199999999995</v>
      </c>
      <c r="AH9">
        <f t="shared" si="1"/>
        <v>10.557360000000001</v>
      </c>
      <c r="AK9" s="5" t="s">
        <v>103</v>
      </c>
      <c r="AL9" s="5" t="s">
        <v>103</v>
      </c>
      <c r="AM9" s="2">
        <v>450000</v>
      </c>
      <c r="AN9" t="s">
        <v>236</v>
      </c>
      <c r="AO9" s="2">
        <v>8400</v>
      </c>
      <c r="AP9" t="s">
        <v>236</v>
      </c>
    </row>
    <row r="10" spans="1:42" x14ac:dyDescent="0.35">
      <c r="A10">
        <v>2211</v>
      </c>
      <c r="B10" t="s">
        <v>79</v>
      </c>
      <c r="C10" t="s">
        <v>80</v>
      </c>
      <c r="D10" t="s">
        <v>27</v>
      </c>
      <c r="E10" t="s">
        <v>81</v>
      </c>
      <c r="H10" t="s">
        <v>29</v>
      </c>
      <c r="I10" t="s">
        <v>34</v>
      </c>
      <c r="J10" t="s">
        <v>82</v>
      </c>
      <c r="K10" t="s">
        <v>36</v>
      </c>
      <c r="L10" t="s">
        <v>36</v>
      </c>
      <c r="M10">
        <v>2017</v>
      </c>
      <c r="N10" t="s">
        <v>37</v>
      </c>
      <c r="O10" t="s">
        <v>41</v>
      </c>
      <c r="P10" t="s">
        <v>84</v>
      </c>
      <c r="R10" t="s">
        <v>90</v>
      </c>
      <c r="S10">
        <v>-12.913955</v>
      </c>
      <c r="T10">
        <v>28.079191000000002</v>
      </c>
      <c r="U10" t="s">
        <v>44</v>
      </c>
      <c r="V10" t="s">
        <v>45</v>
      </c>
      <c r="W10" t="s">
        <v>46</v>
      </c>
      <c r="X10" t="s">
        <v>67</v>
      </c>
      <c r="Y10" t="s">
        <v>91</v>
      </c>
      <c r="Z10" t="s">
        <v>88</v>
      </c>
      <c r="AA10" t="s">
        <v>53</v>
      </c>
      <c r="AB10" s="2">
        <v>600000</v>
      </c>
      <c r="AC10" t="s">
        <v>232</v>
      </c>
      <c r="AD10">
        <f>IF(ISBLANK(AB10), "", AB10*Parameter!$H$3)</f>
        <v>480000</v>
      </c>
      <c r="AE10">
        <f>IF(J10="Concentrate",Parameter!$C$23,IF(Calib2!J10="Ore and concentrate",Parameter!$C$21,IF(F10="Smelter",Parameter!$C$10,IF(F10="Refinary",Parameter!$C$12,Parameter!$C$15))))</f>
        <v>7.2849999999999998E-2</v>
      </c>
      <c r="AF10">
        <f>IF(J10="Concentrate",Parameter!$C$24,IF(Calib2!J10="Ore and concentrate",Parameter!$C$22,IF(F10="Smelter",Parameter!$C$11,IF(F10="Refinary",Parameter!$C$13,Parameter!$C$16))))</f>
        <v>1.333E-2</v>
      </c>
      <c r="AG10">
        <f t="shared" si="0"/>
        <v>34.968000000000004</v>
      </c>
      <c r="AH10">
        <f t="shared" si="1"/>
        <v>6.3983999999999996</v>
      </c>
      <c r="AI10" s="2">
        <v>188916</v>
      </c>
      <c r="AJ10" t="s">
        <v>103</v>
      </c>
      <c r="AK10" s="1">
        <v>3051</v>
      </c>
      <c r="AL10" s="1">
        <v>8023</v>
      </c>
      <c r="AO10" s="2">
        <v>16500</v>
      </c>
      <c r="AP10" t="s">
        <v>236</v>
      </c>
    </row>
    <row r="11" spans="1:42" x14ac:dyDescent="0.35">
      <c r="A11">
        <v>2214</v>
      </c>
      <c r="B11" t="s">
        <v>92</v>
      </c>
      <c r="C11" t="s">
        <v>93</v>
      </c>
      <c r="D11" t="s">
        <v>27</v>
      </c>
      <c r="E11" t="s">
        <v>94</v>
      </c>
      <c r="G11" t="s">
        <v>284</v>
      </c>
      <c r="H11" t="s">
        <v>29</v>
      </c>
      <c r="I11" t="s">
        <v>34</v>
      </c>
      <c r="J11" t="s">
        <v>82</v>
      </c>
      <c r="K11" t="s">
        <v>36</v>
      </c>
      <c r="L11" t="s">
        <v>36</v>
      </c>
      <c r="M11">
        <v>2017</v>
      </c>
      <c r="N11" t="s">
        <v>37</v>
      </c>
      <c r="O11" t="s">
        <v>41</v>
      </c>
      <c r="P11" s="13" t="s">
        <v>95</v>
      </c>
      <c r="R11" t="s">
        <v>96</v>
      </c>
      <c r="S11">
        <v>-12.509245</v>
      </c>
      <c r="T11">
        <v>27.909251999999999</v>
      </c>
      <c r="U11" t="s">
        <v>44</v>
      </c>
      <c r="V11" t="s">
        <v>45</v>
      </c>
      <c r="W11" t="s">
        <v>46</v>
      </c>
      <c r="X11" t="s">
        <v>97</v>
      </c>
      <c r="Y11" t="s">
        <v>98</v>
      </c>
      <c r="Z11" t="s">
        <v>99</v>
      </c>
      <c r="AA11" t="s">
        <v>53</v>
      </c>
      <c r="AB11" s="2">
        <v>4500000</v>
      </c>
      <c r="AC11" t="s">
        <v>232</v>
      </c>
      <c r="AD11">
        <f>IF(ISBLANK(AB11), "", AB11*Parameter!$H$3)/2</f>
        <v>1800000</v>
      </c>
      <c r="AE11">
        <f>IF(J11="Concentrate",Parameter!$C$23,IF(Calib2!J11="Ore and concentrate",Parameter!$C$21,IF(F11="Smelter",Parameter!$C$10,IF(F11="Refinary",Parameter!$C$12,Parameter!$C$15))))</f>
        <v>7.2849999999999998E-2</v>
      </c>
      <c r="AF11">
        <f>IF(J11="Concentrate",Parameter!$C$24,IF(Calib2!J11="Ore and concentrate",Parameter!$C$22,IF(F11="Smelter",Parameter!$C$11,IF(F11="Refinary",Parameter!$C$13,Parameter!$C$16))))</f>
        <v>1.333E-2</v>
      </c>
      <c r="AG11">
        <f t="shared" si="0"/>
        <v>131.13</v>
      </c>
      <c r="AH11">
        <f t="shared" si="1"/>
        <v>23.994</v>
      </c>
    </row>
    <row r="12" spans="1:42" x14ac:dyDescent="0.35">
      <c r="A12">
        <v>2223</v>
      </c>
      <c r="B12" t="s">
        <v>100</v>
      </c>
      <c r="C12" t="s">
        <v>101</v>
      </c>
      <c r="D12" t="s">
        <v>27</v>
      </c>
      <c r="E12" t="s">
        <v>102</v>
      </c>
      <c r="G12" t="s">
        <v>284</v>
      </c>
      <c r="H12" t="s">
        <v>29</v>
      </c>
      <c r="I12" t="s">
        <v>34</v>
      </c>
      <c r="J12" t="s">
        <v>82</v>
      </c>
      <c r="K12" t="s">
        <v>36</v>
      </c>
      <c r="L12" t="s">
        <v>36</v>
      </c>
      <c r="M12">
        <v>2017</v>
      </c>
      <c r="N12" t="s">
        <v>103</v>
      </c>
      <c r="O12" t="s">
        <v>41</v>
      </c>
      <c r="P12" t="s">
        <v>43</v>
      </c>
      <c r="R12" t="s">
        <v>96</v>
      </c>
      <c r="S12">
        <v>-12.407088999999999</v>
      </c>
      <c r="T12">
        <v>27.880268999999998</v>
      </c>
      <c r="U12" t="s">
        <v>61</v>
      </c>
      <c r="V12" t="s">
        <v>50</v>
      </c>
      <c r="W12" t="s">
        <v>46</v>
      </c>
      <c r="X12" t="s">
        <v>97</v>
      </c>
      <c r="Y12" t="s">
        <v>98</v>
      </c>
      <c r="Z12" t="s">
        <v>99</v>
      </c>
      <c r="AA12" t="s">
        <v>53</v>
      </c>
      <c r="AB12" s="2"/>
      <c r="AC12" t="s">
        <v>232</v>
      </c>
      <c r="AD12" t="str">
        <f>IF(ISBLANK(AB12), "", AB12*Parameter!$H$3)</f>
        <v/>
      </c>
      <c r="AE12">
        <f>IF(J12="Concentrate",Parameter!$C$23,IF(Calib2!J12="Ore and concentrate",Parameter!$C$21,IF(F12="Smelter",Parameter!$C$10,IF(F12="Refinary",Parameter!$C$12,Parameter!$C$15))))</f>
        <v>7.2849999999999998E-2</v>
      </c>
      <c r="AF12">
        <f>IF(J12="Concentrate",Parameter!$C$24,IF(Calib2!J12="Ore and concentrate",Parameter!$C$22,IF(F12="Smelter",Parameter!$C$11,IF(F12="Refinary",Parameter!$C$13,Parameter!$C$16))))</f>
        <v>1.333E-2</v>
      </c>
      <c r="AG12" t="str">
        <f t="shared" si="0"/>
        <v/>
      </c>
      <c r="AH12" t="str">
        <f t="shared" si="1"/>
        <v/>
      </c>
    </row>
    <row r="13" spans="1:42" x14ac:dyDescent="0.35">
      <c r="A13">
        <v>2228</v>
      </c>
      <c r="B13" t="s">
        <v>104</v>
      </c>
      <c r="C13" t="s">
        <v>105</v>
      </c>
      <c r="D13" t="s">
        <v>27</v>
      </c>
      <c r="E13" t="s">
        <v>106</v>
      </c>
      <c r="H13" t="s">
        <v>29</v>
      </c>
      <c r="I13" t="s">
        <v>34</v>
      </c>
      <c r="J13" t="s">
        <v>82</v>
      </c>
      <c r="K13" t="s">
        <v>36</v>
      </c>
      <c r="L13" t="s">
        <v>36</v>
      </c>
      <c r="M13">
        <v>2017</v>
      </c>
      <c r="N13" t="s">
        <v>37</v>
      </c>
      <c r="O13" t="s">
        <v>41</v>
      </c>
      <c r="P13" s="12" t="s">
        <v>107</v>
      </c>
      <c r="Q13" s="2">
        <f>Calib2!AD13</f>
        <v>9600000</v>
      </c>
      <c r="R13" t="s">
        <v>108</v>
      </c>
      <c r="S13">
        <v>-12.093786</v>
      </c>
      <c r="T13">
        <v>26.429832999999999</v>
      </c>
      <c r="U13" t="s">
        <v>61</v>
      </c>
      <c r="V13" t="s">
        <v>50</v>
      </c>
      <c r="W13" t="s">
        <v>46</v>
      </c>
      <c r="X13" t="s">
        <v>109</v>
      </c>
      <c r="Y13" t="s">
        <v>110</v>
      </c>
      <c r="Z13" t="s">
        <v>49</v>
      </c>
      <c r="AA13" t="s">
        <v>111</v>
      </c>
      <c r="AB13" s="2">
        <v>12000000</v>
      </c>
      <c r="AC13" t="s">
        <v>232</v>
      </c>
      <c r="AD13">
        <f>IF(ISBLANK(AB13), "", AB13*Parameter!$H$3)</f>
        <v>9600000</v>
      </c>
      <c r="AE13">
        <f>IF(J13="Concentrate",Parameter!$C$23,IF(Calib2!J13="Ore and concentrate",Parameter!$C$21,IF(F13="Smelter",Parameter!$C$10,IF(F13="Refinary",Parameter!$C$12,Parameter!$C$15))))</f>
        <v>7.2849999999999998E-2</v>
      </c>
      <c r="AF13">
        <f>IF(J13="Concentrate",Parameter!$C$24,IF(Calib2!J13="Ore and concentrate",Parameter!$C$22,IF(F13="Smelter",Parameter!$C$11,IF(F13="Refinary",Parameter!$C$13,Parameter!$C$16))))</f>
        <v>1.333E-2</v>
      </c>
      <c r="AG13">
        <f t="shared" si="0"/>
        <v>699.36</v>
      </c>
      <c r="AH13">
        <f t="shared" si="1"/>
        <v>127.968</v>
      </c>
      <c r="AI13" s="2">
        <v>28151000</v>
      </c>
      <c r="AJ13" s="2">
        <v>29134000</v>
      </c>
      <c r="AK13" s="1">
        <v>202159</v>
      </c>
      <c r="AL13" s="1">
        <v>221487</v>
      </c>
    </row>
    <row r="14" spans="1:42" hidden="1" x14ac:dyDescent="0.35">
      <c r="A14">
        <v>2230</v>
      </c>
      <c r="B14" t="s">
        <v>112</v>
      </c>
      <c r="C14" t="s">
        <v>113</v>
      </c>
      <c r="D14" t="s">
        <v>27</v>
      </c>
      <c r="E14" t="s">
        <v>114</v>
      </c>
      <c r="F14" t="s">
        <v>257</v>
      </c>
      <c r="H14" t="s">
        <v>33</v>
      </c>
      <c r="I14" t="s">
        <v>34</v>
      </c>
      <c r="J14" t="s">
        <v>38</v>
      </c>
      <c r="K14" t="s">
        <v>36</v>
      </c>
      <c r="L14" t="s">
        <v>36</v>
      </c>
      <c r="M14">
        <v>2017</v>
      </c>
      <c r="N14" t="s">
        <v>37</v>
      </c>
      <c r="O14" t="s">
        <v>41</v>
      </c>
      <c r="P14" t="s">
        <v>42</v>
      </c>
      <c r="R14" t="s">
        <v>115</v>
      </c>
      <c r="S14">
        <v>-12.088361000000001</v>
      </c>
      <c r="T14">
        <v>26.408977</v>
      </c>
      <c r="U14" t="s">
        <v>61</v>
      </c>
      <c r="V14" t="s">
        <v>50</v>
      </c>
      <c r="W14" t="s">
        <v>46</v>
      </c>
      <c r="X14" t="s">
        <v>109</v>
      </c>
      <c r="Y14" t="s">
        <v>110</v>
      </c>
      <c r="Z14" t="s">
        <v>49</v>
      </c>
      <c r="AA14" t="s">
        <v>111</v>
      </c>
      <c r="AB14" s="2">
        <v>340000</v>
      </c>
      <c r="AC14" t="s">
        <v>232</v>
      </c>
      <c r="AD14">
        <f>IF(ISBLANK(AB14), "", AB14*Parameter!$H$3)</f>
        <v>272000</v>
      </c>
      <c r="AE14">
        <f>IF(J14="Concentrate",Parameter!$C$23,IF(Calib2!J14="Ore and concentrate",Parameter!$C$21,IF(F14="Smelter",Parameter!$C$10,IF(F14="Refinary",Parameter!$C$12,Parameter!$C$15))))</f>
        <v>9.266</v>
      </c>
      <c r="AF14">
        <f>IF(J14="Concentrate",Parameter!$C$24,IF(Calib2!J14="Ore and concentrate",Parameter!$C$22,IF(F14="Smelter",Parameter!$C$11,IF(F14="Refinary",Parameter!$C$13,Parameter!$C$16))))</f>
        <v>1.518</v>
      </c>
      <c r="AG14">
        <f t="shared" si="0"/>
        <v>2520.3519999999999</v>
      </c>
      <c r="AH14">
        <f t="shared" si="1"/>
        <v>412.89600000000002</v>
      </c>
    </row>
    <row r="15" spans="1:42" x14ac:dyDescent="0.35">
      <c r="A15">
        <v>2234</v>
      </c>
      <c r="B15" t="s">
        <v>116</v>
      </c>
      <c r="C15" t="s">
        <v>117</v>
      </c>
      <c r="D15" t="s">
        <v>27</v>
      </c>
      <c r="E15" t="s">
        <v>118</v>
      </c>
      <c r="H15" t="s">
        <v>29</v>
      </c>
      <c r="I15" t="s">
        <v>34</v>
      </c>
      <c r="J15" t="s">
        <v>82</v>
      </c>
      <c r="K15" t="s">
        <v>36</v>
      </c>
      <c r="L15" t="s">
        <v>36</v>
      </c>
      <c r="M15">
        <v>2017</v>
      </c>
      <c r="N15" t="s">
        <v>37</v>
      </c>
      <c r="O15" t="s">
        <v>41</v>
      </c>
      <c r="P15" t="s">
        <v>43</v>
      </c>
      <c r="R15" t="s">
        <v>132</v>
      </c>
      <c r="S15">
        <v>-12.378788999999999</v>
      </c>
      <c r="T15">
        <v>27.826968000000001</v>
      </c>
      <c r="U15" t="s">
        <v>61</v>
      </c>
      <c r="V15" t="s">
        <v>133</v>
      </c>
      <c r="W15" t="s">
        <v>46</v>
      </c>
      <c r="X15" t="s">
        <v>97</v>
      </c>
      <c r="Y15" t="s">
        <v>98</v>
      </c>
      <c r="Z15" t="s">
        <v>99</v>
      </c>
      <c r="AA15" t="s">
        <v>53</v>
      </c>
      <c r="AB15" s="2">
        <v>2400000</v>
      </c>
      <c r="AC15" t="s">
        <v>232</v>
      </c>
      <c r="AD15">
        <f>IF(ISBLANK(AB15), "", AB15*Parameter!$H$3)</f>
        <v>1920000</v>
      </c>
      <c r="AE15">
        <f>IF(J15="Concentrate",Parameter!$C$23,IF(Calib2!J15="Ore and concentrate",Parameter!$C$21,IF(F15="Smelter",Parameter!$C$10,IF(F15="Refinary",Parameter!$C$12,Parameter!$C$15))))</f>
        <v>7.2849999999999998E-2</v>
      </c>
      <c r="AF15">
        <f>IF(J15="Concentrate",Parameter!$C$24,IF(Calib2!J15="Ore and concentrate",Parameter!$C$22,IF(F15="Smelter",Parameter!$C$11,IF(F15="Refinary",Parameter!$C$13,Parameter!$C$16))))</f>
        <v>1.333E-2</v>
      </c>
      <c r="AG15">
        <f t="shared" si="0"/>
        <v>139.87200000000001</v>
      </c>
      <c r="AH15">
        <f t="shared" si="1"/>
        <v>25.593599999999999</v>
      </c>
      <c r="AM15" s="2">
        <v>50000</v>
      </c>
      <c r="AN15" s="2"/>
      <c r="AO15" s="2">
        <v>220000</v>
      </c>
    </row>
    <row r="16" spans="1:42" x14ac:dyDescent="0.35">
      <c r="A16">
        <v>2235</v>
      </c>
      <c r="B16" t="s">
        <v>119</v>
      </c>
      <c r="C16" t="s">
        <v>43</v>
      </c>
      <c r="D16" t="s">
        <v>27</v>
      </c>
      <c r="E16" t="s">
        <v>120</v>
      </c>
      <c r="G16" t="s">
        <v>281</v>
      </c>
      <c r="H16" t="s">
        <v>29</v>
      </c>
      <c r="I16" t="s">
        <v>34</v>
      </c>
      <c r="J16" t="s">
        <v>82</v>
      </c>
      <c r="K16" t="s">
        <v>129</v>
      </c>
      <c r="L16" t="s">
        <v>129</v>
      </c>
      <c r="M16">
        <v>2017</v>
      </c>
      <c r="N16" t="s">
        <v>37</v>
      </c>
      <c r="O16" t="s">
        <v>41</v>
      </c>
      <c r="P16" s="12" t="s">
        <v>130</v>
      </c>
      <c r="Q16" s="2">
        <f>Parameter!$H$1/Parameter!$H$2*Calib2!AD16</f>
        <v>8266.6666666666661</v>
      </c>
      <c r="R16" t="s">
        <v>134</v>
      </c>
      <c r="S16">
        <v>-13.068863</v>
      </c>
      <c r="T16">
        <v>28.322908999999999</v>
      </c>
      <c r="U16" t="s">
        <v>61</v>
      </c>
      <c r="V16" t="s">
        <v>133</v>
      </c>
      <c r="W16" t="s">
        <v>46</v>
      </c>
      <c r="X16" t="s">
        <v>47</v>
      </c>
      <c r="Y16" t="s">
        <v>48</v>
      </c>
      <c r="Z16" t="s">
        <v>49</v>
      </c>
      <c r="AA16" t="s">
        <v>53</v>
      </c>
      <c r="AB16" s="2">
        <v>500000</v>
      </c>
      <c r="AC16" t="s">
        <v>232</v>
      </c>
      <c r="AD16">
        <f>IF(ISBLANK(AB16), "", AB16*Parameter!$H$3)</f>
        <v>400000</v>
      </c>
      <c r="AE16">
        <f>IF(J16="Concentrate",Parameter!$C$23,IF(Calib2!J16="Ore and concentrate",Parameter!$C$21,IF(F16="Smelter",Parameter!$C$10,IF(F16="Refinary",Parameter!$C$12,Parameter!$C$15))))</f>
        <v>7.2849999999999998E-2</v>
      </c>
      <c r="AF16">
        <f>IF(J16="Concentrate",Parameter!$C$24,IF(Calib2!J16="Ore and concentrate",Parameter!$C$22,IF(F16="Smelter",Parameter!$C$11,IF(F16="Refinary",Parameter!$C$13,Parameter!$C$16))))</f>
        <v>1.333E-2</v>
      </c>
      <c r="AG16">
        <f t="shared" si="0"/>
        <v>29.14</v>
      </c>
      <c r="AH16">
        <f t="shared" si="1"/>
        <v>5.3319999999999999</v>
      </c>
    </row>
    <row r="17" spans="1:42" x14ac:dyDescent="0.35">
      <c r="A17">
        <v>2236</v>
      </c>
      <c r="B17" t="s">
        <v>119</v>
      </c>
      <c r="C17" t="s">
        <v>121</v>
      </c>
      <c r="D17" t="s">
        <v>27</v>
      </c>
      <c r="E17" t="s">
        <v>122</v>
      </c>
      <c r="H17" t="s">
        <v>29</v>
      </c>
      <c r="I17" t="s">
        <v>34</v>
      </c>
      <c r="J17" t="s">
        <v>82</v>
      </c>
      <c r="K17" t="s">
        <v>36</v>
      </c>
      <c r="L17" t="s">
        <v>36</v>
      </c>
      <c r="M17">
        <v>2017</v>
      </c>
      <c r="N17" t="s">
        <v>37</v>
      </c>
      <c r="O17" t="s">
        <v>41</v>
      </c>
      <c r="P17" t="s">
        <v>43</v>
      </c>
      <c r="R17" t="s">
        <v>134</v>
      </c>
      <c r="S17">
        <v>-13.068863</v>
      </c>
      <c r="T17">
        <v>28.322908999999999</v>
      </c>
      <c r="U17" t="s">
        <v>61</v>
      </c>
      <c r="V17" t="s">
        <v>133</v>
      </c>
      <c r="W17" t="s">
        <v>46</v>
      </c>
      <c r="X17" t="s">
        <v>47</v>
      </c>
      <c r="Y17" t="s">
        <v>48</v>
      </c>
      <c r="Z17" t="s">
        <v>49</v>
      </c>
      <c r="AA17" t="s">
        <v>53</v>
      </c>
      <c r="AB17" s="2">
        <v>4500000</v>
      </c>
      <c r="AC17" t="s">
        <v>232</v>
      </c>
      <c r="AD17">
        <f>IF(ISBLANK(AB17), "", AB17*Parameter!$H$3)</f>
        <v>3600000</v>
      </c>
      <c r="AE17">
        <f>IF(J17="Concentrate",Parameter!$C$23,IF(Calib2!J17="Ore and concentrate",Parameter!$C$21,IF(F17="Smelter",Parameter!$C$10,IF(F17="Refinary",Parameter!$C$12,Parameter!$C$15))))</f>
        <v>7.2849999999999998E-2</v>
      </c>
      <c r="AF17">
        <f>IF(J17="Concentrate",Parameter!$C$24,IF(Calib2!J17="Ore and concentrate",Parameter!$C$22,IF(F17="Smelter",Parameter!$C$11,IF(F17="Refinary",Parameter!$C$13,Parameter!$C$16))))</f>
        <v>1.333E-2</v>
      </c>
      <c r="AG17">
        <f t="shared" si="0"/>
        <v>262.26</v>
      </c>
      <c r="AH17">
        <f t="shared" si="1"/>
        <v>47.988</v>
      </c>
    </row>
    <row r="18" spans="1:42" x14ac:dyDescent="0.35">
      <c r="A18">
        <v>2237</v>
      </c>
      <c r="B18" t="s">
        <v>123</v>
      </c>
      <c r="C18" t="s">
        <v>124</v>
      </c>
      <c r="D18" t="s">
        <v>27</v>
      </c>
      <c r="E18" t="s">
        <v>125</v>
      </c>
      <c r="H18" t="s">
        <v>29</v>
      </c>
      <c r="I18" t="s">
        <v>34</v>
      </c>
      <c r="J18" t="s">
        <v>82</v>
      </c>
      <c r="K18" t="s">
        <v>36</v>
      </c>
      <c r="L18" t="s">
        <v>36</v>
      </c>
      <c r="M18">
        <v>2017</v>
      </c>
      <c r="N18" t="s">
        <v>37</v>
      </c>
      <c r="O18" t="s">
        <v>41</v>
      </c>
      <c r="P18" s="12" t="s">
        <v>131</v>
      </c>
      <c r="Q18" s="2">
        <f>Parameter!$H$1/Parameter!$H$2*Calib2!AD18</f>
        <v>41333.333333333336</v>
      </c>
      <c r="R18" t="s">
        <v>135</v>
      </c>
      <c r="S18">
        <v>-12.294129999999999</v>
      </c>
      <c r="T18">
        <v>27.765612000000001</v>
      </c>
      <c r="U18" t="s">
        <v>61</v>
      </c>
      <c r="V18" t="s">
        <v>50</v>
      </c>
      <c r="W18" t="s">
        <v>46</v>
      </c>
      <c r="X18" t="s">
        <v>136</v>
      </c>
      <c r="Y18" t="s">
        <v>137</v>
      </c>
      <c r="Z18" t="s">
        <v>138</v>
      </c>
      <c r="AA18" t="s">
        <v>53</v>
      </c>
      <c r="AB18" s="2">
        <v>2500000</v>
      </c>
      <c r="AC18" t="s">
        <v>232</v>
      </c>
      <c r="AD18">
        <f>IF(ISBLANK(AB18), "", AB18*Parameter!$H$3)</f>
        <v>2000000</v>
      </c>
      <c r="AE18">
        <f>IF(J18="Concentrate",Parameter!$C$23,IF(Calib2!J18="Ore and concentrate",Parameter!$C$21,IF(F18="Smelter",Parameter!$C$10,IF(F18="Refinary",Parameter!$C$12,Parameter!$C$15))))</f>
        <v>7.2849999999999998E-2</v>
      </c>
      <c r="AF18">
        <f>IF(J18="Concentrate",Parameter!$C$24,IF(Calib2!J18="Ore and concentrate",Parameter!$C$22,IF(F18="Smelter",Parameter!$C$11,IF(F18="Refinary",Parameter!$C$13,Parameter!$C$16))))</f>
        <v>1.333E-2</v>
      </c>
      <c r="AG18">
        <f t="shared" si="0"/>
        <v>145.69999999999999</v>
      </c>
      <c r="AH18">
        <f t="shared" si="1"/>
        <v>26.66</v>
      </c>
      <c r="AI18" s="2">
        <v>2654100</v>
      </c>
      <c r="AJ18" s="2">
        <v>2520000</v>
      </c>
      <c r="AK18" s="1">
        <v>45584</v>
      </c>
      <c r="AL18" s="1">
        <v>43659</v>
      </c>
    </row>
    <row r="19" spans="1:42" x14ac:dyDescent="0.35">
      <c r="A19">
        <v>2238</v>
      </c>
      <c r="B19" t="s">
        <v>126</v>
      </c>
      <c r="C19" t="s">
        <v>127</v>
      </c>
      <c r="D19" t="s">
        <v>27</v>
      </c>
      <c r="E19" t="s">
        <v>128</v>
      </c>
      <c r="G19" t="s">
        <v>285</v>
      </c>
      <c r="H19" t="s">
        <v>29</v>
      </c>
      <c r="I19" t="s">
        <v>34</v>
      </c>
      <c r="J19" t="s">
        <v>82</v>
      </c>
      <c r="K19" t="s">
        <v>36</v>
      </c>
      <c r="L19" t="s">
        <v>36</v>
      </c>
      <c r="M19">
        <v>2017</v>
      </c>
      <c r="N19" t="s">
        <v>37</v>
      </c>
      <c r="O19" t="s">
        <v>41</v>
      </c>
      <c r="P19" t="s">
        <v>43</v>
      </c>
      <c r="R19" t="s">
        <v>139</v>
      </c>
      <c r="S19">
        <v>-12.230905</v>
      </c>
      <c r="T19">
        <v>25.817114</v>
      </c>
      <c r="U19" t="s">
        <v>61</v>
      </c>
      <c r="V19" t="s">
        <v>45</v>
      </c>
      <c r="W19" t="s">
        <v>46</v>
      </c>
      <c r="X19" t="s">
        <v>140</v>
      </c>
      <c r="Y19" t="s">
        <v>141</v>
      </c>
      <c r="Z19" t="s">
        <v>43</v>
      </c>
      <c r="AA19" t="s">
        <v>111</v>
      </c>
      <c r="AB19" s="2">
        <v>21000000</v>
      </c>
      <c r="AC19" t="s">
        <v>232</v>
      </c>
      <c r="AD19">
        <f>IF(ISBLANK(AB19), "", AB19*Parameter!$H$3)</f>
        <v>16800000</v>
      </c>
      <c r="AE19">
        <f>IF(J19="Concentrate",Parameter!$C$23,IF(Calib2!J19="Ore and concentrate",Parameter!$C$21,IF(F19="Smelter",Parameter!$C$10,IF(F19="Refinary",Parameter!$C$12,Parameter!$C$15))))</f>
        <v>7.2849999999999998E-2</v>
      </c>
      <c r="AF19">
        <f>IF(J19="Concentrate",Parameter!$C$24,IF(Calib2!J19="Ore and concentrate",Parameter!$C$22,IF(F19="Smelter",Parameter!$C$11,IF(F19="Refinary",Parameter!$C$13,Parameter!$C$16))))</f>
        <v>1.333E-2</v>
      </c>
      <c r="AG19">
        <f t="shared" si="0"/>
        <v>1223.8800000000001</v>
      </c>
      <c r="AH19">
        <f t="shared" si="1"/>
        <v>223.94399999999999</v>
      </c>
      <c r="AI19" t="s">
        <v>103</v>
      </c>
      <c r="AJ19" s="2">
        <v>25290000</v>
      </c>
      <c r="AK19" s="1">
        <v>109769</v>
      </c>
      <c r="AL19" s="1">
        <v>125191</v>
      </c>
    </row>
    <row r="20" spans="1:42" x14ac:dyDescent="0.35">
      <c r="A20">
        <v>2243</v>
      </c>
      <c r="B20" t="s">
        <v>142</v>
      </c>
      <c r="C20" t="s">
        <v>143</v>
      </c>
      <c r="D20" t="s">
        <v>27</v>
      </c>
      <c r="E20" t="s">
        <v>144</v>
      </c>
      <c r="G20" t="s">
        <v>286</v>
      </c>
      <c r="H20" t="s">
        <v>29</v>
      </c>
      <c r="I20" t="s">
        <v>34</v>
      </c>
      <c r="J20" t="s">
        <v>82</v>
      </c>
      <c r="K20" t="s">
        <v>36</v>
      </c>
      <c r="L20" t="s">
        <v>36</v>
      </c>
      <c r="M20">
        <v>2017</v>
      </c>
      <c r="N20" t="s">
        <v>103</v>
      </c>
      <c r="O20" t="s">
        <v>41</v>
      </c>
      <c r="P20" t="s">
        <v>151</v>
      </c>
      <c r="R20" t="s">
        <v>43</v>
      </c>
      <c r="S20">
        <v>-13.944326</v>
      </c>
      <c r="T20">
        <v>29.140440000000002</v>
      </c>
      <c r="U20" t="s">
        <v>44</v>
      </c>
      <c r="V20" t="s">
        <v>50</v>
      </c>
      <c r="W20" t="s">
        <v>46</v>
      </c>
      <c r="X20" t="s">
        <v>153</v>
      </c>
      <c r="Y20" t="s">
        <v>154</v>
      </c>
      <c r="Z20" t="s">
        <v>155</v>
      </c>
      <c r="AA20" t="s">
        <v>159</v>
      </c>
      <c r="AB20" s="2"/>
      <c r="AC20" t="s">
        <v>232</v>
      </c>
      <c r="AD20" t="str">
        <f>IF(ISBLANK(AB20), "", AB20*Parameter!$H$3)</f>
        <v/>
      </c>
      <c r="AE20">
        <f>IF(J20="Concentrate",Parameter!$C$23,IF(Calib2!J20="Ore and concentrate",Parameter!$C$21,IF(F20="Smelter",Parameter!$C$10,IF(F20="Refinary",Parameter!$C$12,Parameter!$C$15))))</f>
        <v>7.2849999999999998E-2</v>
      </c>
      <c r="AF20">
        <f>IF(J20="Concentrate",Parameter!$C$24,IF(Calib2!J20="Ore and concentrate",Parameter!$C$22,IF(F20="Smelter",Parameter!$C$11,IF(F20="Refinary",Parameter!$C$13,Parameter!$C$16))))</f>
        <v>1.333E-2</v>
      </c>
      <c r="AG20" t="str">
        <f t="shared" si="0"/>
        <v/>
      </c>
      <c r="AH20" t="str">
        <f t="shared" si="1"/>
        <v/>
      </c>
    </row>
    <row r="21" spans="1:42" hidden="1" x14ac:dyDescent="0.35">
      <c r="A21">
        <v>2244</v>
      </c>
      <c r="B21" t="s">
        <v>145</v>
      </c>
      <c r="C21" t="s">
        <v>146</v>
      </c>
      <c r="D21" t="s">
        <v>27</v>
      </c>
      <c r="E21" t="s">
        <v>147</v>
      </c>
      <c r="F21" t="s">
        <v>257</v>
      </c>
      <c r="G21" t="s">
        <v>274</v>
      </c>
      <c r="H21" t="s">
        <v>33</v>
      </c>
      <c r="I21" t="s">
        <v>34</v>
      </c>
      <c r="J21" t="s">
        <v>38</v>
      </c>
      <c r="K21" t="s">
        <v>36</v>
      </c>
      <c r="L21" t="s">
        <v>36</v>
      </c>
      <c r="M21">
        <v>2017</v>
      </c>
      <c r="N21" t="s">
        <v>37</v>
      </c>
      <c r="O21" t="s">
        <v>41</v>
      </c>
      <c r="P21" t="s">
        <v>152</v>
      </c>
      <c r="R21" t="s">
        <v>43</v>
      </c>
      <c r="S21">
        <v>-12.535</v>
      </c>
      <c r="T21">
        <v>28.234000000000002</v>
      </c>
      <c r="U21" t="s">
        <v>44</v>
      </c>
      <c r="V21" t="s">
        <v>62</v>
      </c>
      <c r="W21" t="s">
        <v>46</v>
      </c>
      <c r="X21" t="s">
        <v>156</v>
      </c>
      <c r="Y21" t="s">
        <v>157</v>
      </c>
      <c r="Z21" t="s">
        <v>158</v>
      </c>
      <c r="AA21" t="s">
        <v>53</v>
      </c>
      <c r="AB21" s="2">
        <v>200000</v>
      </c>
      <c r="AC21" t="s">
        <v>232</v>
      </c>
      <c r="AD21">
        <f>IF(ISBLANK(AB21), "", AB21*Parameter!$H$3)</f>
        <v>160000</v>
      </c>
      <c r="AE21">
        <f>IF(J21="Concentrate",Parameter!$C$23,IF(Calib2!J21="Ore and concentrate",Parameter!$C$21,IF(F21="Smelter",Parameter!$C$10,IF(F21="Refinary",Parameter!$C$12,Parameter!$C$15))))</f>
        <v>9.266</v>
      </c>
      <c r="AF21">
        <f>IF(J21="Concentrate",Parameter!$C$24,IF(Calib2!J21="Ore and concentrate",Parameter!$C$22,IF(F21="Smelter",Parameter!$C$11,IF(F21="Refinary",Parameter!$C$13,Parameter!$C$16))))</f>
        <v>1.518</v>
      </c>
      <c r="AG21">
        <f t="shared" si="0"/>
        <v>1482.56</v>
      </c>
      <c r="AH21">
        <f t="shared" si="1"/>
        <v>242.88</v>
      </c>
      <c r="AI21" t="s">
        <v>103</v>
      </c>
      <c r="AJ21" t="s">
        <v>103</v>
      </c>
      <c r="AK21" s="5">
        <v>0</v>
      </c>
      <c r="AL21" s="5">
        <v>0</v>
      </c>
    </row>
    <row r="22" spans="1:42" x14ac:dyDescent="0.35">
      <c r="A22">
        <v>2245</v>
      </c>
      <c r="B22" t="s">
        <v>148</v>
      </c>
      <c r="C22" t="s">
        <v>149</v>
      </c>
      <c r="D22" t="s">
        <v>27</v>
      </c>
      <c r="E22" t="s">
        <v>150</v>
      </c>
      <c r="H22" t="s">
        <v>29</v>
      </c>
      <c r="I22" t="s">
        <v>34</v>
      </c>
      <c r="J22" t="s">
        <v>82</v>
      </c>
      <c r="K22" t="s">
        <v>36</v>
      </c>
      <c r="L22" t="s">
        <v>36</v>
      </c>
      <c r="M22">
        <v>2017</v>
      </c>
      <c r="N22" t="s">
        <v>37</v>
      </c>
      <c r="O22" t="s">
        <v>41</v>
      </c>
      <c r="P22" t="s">
        <v>43</v>
      </c>
      <c r="R22" t="s">
        <v>43</v>
      </c>
      <c r="S22">
        <v>-12.542415</v>
      </c>
      <c r="T22">
        <v>28.219801</v>
      </c>
      <c r="U22" t="s">
        <v>44</v>
      </c>
      <c r="V22" t="s">
        <v>50</v>
      </c>
      <c r="W22" t="s">
        <v>46</v>
      </c>
      <c r="X22" t="s">
        <v>156</v>
      </c>
      <c r="Y22" t="s">
        <v>157</v>
      </c>
      <c r="Z22" t="s">
        <v>158</v>
      </c>
      <c r="AA22" t="s">
        <v>53</v>
      </c>
      <c r="AB22" s="2">
        <v>2500000</v>
      </c>
      <c r="AC22" t="s">
        <v>232</v>
      </c>
      <c r="AD22">
        <f>IF(ISBLANK(AB22), "", AB22*Parameter!$H$3)</f>
        <v>2000000</v>
      </c>
      <c r="AE22">
        <f>IF(J22="Concentrate",Parameter!$C$23,IF(Calib2!J22="Ore and concentrate",Parameter!$C$21,IF(F22="Smelter",Parameter!$C$10,IF(F22="Refinary",Parameter!$C$12,Parameter!$C$15))))</f>
        <v>7.2849999999999998E-2</v>
      </c>
      <c r="AF22">
        <f>IF(J22="Concentrate",Parameter!$C$24,IF(Calib2!J22="Ore and concentrate",Parameter!$C$22,IF(F22="Smelter",Parameter!$C$11,IF(F22="Refinary",Parameter!$C$13,Parameter!$C$16))))</f>
        <v>1.333E-2</v>
      </c>
      <c r="AG22">
        <f t="shared" si="0"/>
        <v>145.69999999999999</v>
      </c>
      <c r="AH22">
        <f t="shared" si="1"/>
        <v>26.66</v>
      </c>
      <c r="AI22" s="2">
        <v>1440000</v>
      </c>
      <c r="AJ22" t="s">
        <v>103</v>
      </c>
      <c r="AK22" s="1">
        <v>30551</v>
      </c>
      <c r="AL22" s="1">
        <v>82500</v>
      </c>
      <c r="AM22" s="2">
        <v>125000</v>
      </c>
      <c r="AN22" t="s">
        <v>236</v>
      </c>
      <c r="AO22" s="2">
        <v>2500000</v>
      </c>
      <c r="AP22" t="s">
        <v>236</v>
      </c>
    </row>
    <row r="23" spans="1:42" hidden="1" x14ac:dyDescent="0.35">
      <c r="A23">
        <v>2247</v>
      </c>
      <c r="B23" t="s">
        <v>160</v>
      </c>
      <c r="C23" t="s">
        <v>161</v>
      </c>
      <c r="D23" t="s">
        <v>27</v>
      </c>
      <c r="E23" t="s">
        <v>162</v>
      </c>
      <c r="F23" t="s">
        <v>269</v>
      </c>
      <c r="H23" t="s">
        <v>33</v>
      </c>
      <c r="I23" t="s">
        <v>34</v>
      </c>
      <c r="J23" t="s">
        <v>38</v>
      </c>
      <c r="K23" t="s">
        <v>36</v>
      </c>
      <c r="L23" t="s">
        <v>36</v>
      </c>
      <c r="M23">
        <v>2017</v>
      </c>
      <c r="N23" t="s">
        <v>37</v>
      </c>
      <c r="O23" t="s">
        <v>41</v>
      </c>
      <c r="P23" t="s">
        <v>42</v>
      </c>
      <c r="R23" t="s">
        <v>43</v>
      </c>
      <c r="S23">
        <v>-12.534000000000001</v>
      </c>
      <c r="T23">
        <v>28.236999999999998</v>
      </c>
      <c r="U23" t="s">
        <v>44</v>
      </c>
      <c r="V23" t="s">
        <v>62</v>
      </c>
      <c r="W23" t="s">
        <v>46</v>
      </c>
      <c r="X23" t="s">
        <v>156</v>
      </c>
      <c r="Y23" t="s">
        <v>157</v>
      </c>
      <c r="Z23" t="s">
        <v>158</v>
      </c>
      <c r="AA23" t="s">
        <v>53</v>
      </c>
      <c r="AB23" s="2">
        <v>275000</v>
      </c>
      <c r="AC23" t="s">
        <v>232</v>
      </c>
      <c r="AD23">
        <f>IF(ISBLANK(AB23), "", AB23*Parameter!$H$3)</f>
        <v>220000</v>
      </c>
      <c r="AE23">
        <f>IF(J23="Concentrate",Parameter!$C$23,IF(Calib2!J23="Ore and concentrate",Parameter!$C$21,IF(F23="Smelter",Parameter!$C$10,IF(F23="Refinary",Parameter!$C$12,Parameter!$C$15))))</f>
        <v>3.2</v>
      </c>
      <c r="AF23">
        <f>IF(J23="Concentrate",Parameter!$C$24,IF(Calib2!J23="Ore and concentrate",Parameter!$C$22,IF(F23="Smelter",Parameter!$C$11,IF(F23="Refinary",Parameter!$C$13,Parameter!$C$16))))</f>
        <v>0</v>
      </c>
      <c r="AG23">
        <f t="shared" si="0"/>
        <v>704</v>
      </c>
      <c r="AH23">
        <f t="shared" si="1"/>
        <v>0</v>
      </c>
      <c r="AK23" t="s">
        <v>234</v>
      </c>
      <c r="AL23" t="s">
        <v>234</v>
      </c>
      <c r="AM23" s="2">
        <v>270000</v>
      </c>
      <c r="AN23" t="s">
        <v>236</v>
      </c>
    </row>
    <row r="24" spans="1:42" hidden="1" x14ac:dyDescent="0.35">
      <c r="A24">
        <v>2248</v>
      </c>
      <c r="B24" t="s">
        <v>163</v>
      </c>
      <c r="C24" t="s">
        <v>164</v>
      </c>
      <c r="D24" t="s">
        <v>27</v>
      </c>
      <c r="E24" t="s">
        <v>165</v>
      </c>
      <c r="F24" t="s">
        <v>270</v>
      </c>
      <c r="G24" s="3" t="s">
        <v>279</v>
      </c>
      <c r="H24" t="s">
        <v>33</v>
      </c>
      <c r="I24" t="s">
        <v>34</v>
      </c>
      <c r="J24" t="s">
        <v>38</v>
      </c>
      <c r="K24" t="s">
        <v>36</v>
      </c>
      <c r="L24" t="s">
        <v>36</v>
      </c>
      <c r="M24">
        <v>2017</v>
      </c>
      <c r="N24" t="s">
        <v>103</v>
      </c>
      <c r="O24" t="s">
        <v>41</v>
      </c>
      <c r="P24" t="s">
        <v>43</v>
      </c>
      <c r="R24" t="s">
        <v>237</v>
      </c>
      <c r="S24">
        <v>-12.533671</v>
      </c>
      <c r="T24">
        <v>28.238890999999999</v>
      </c>
      <c r="U24" t="s">
        <v>44</v>
      </c>
      <c r="V24" t="s">
        <v>62</v>
      </c>
      <c r="W24" t="s">
        <v>46</v>
      </c>
      <c r="X24" t="s">
        <v>156</v>
      </c>
      <c r="Y24" t="s">
        <v>157</v>
      </c>
      <c r="Z24" t="s">
        <v>158</v>
      </c>
      <c r="AA24" t="s">
        <v>53</v>
      </c>
      <c r="AB24" s="2"/>
      <c r="AC24" t="s">
        <v>232</v>
      </c>
      <c r="AD24" t="str">
        <f>IF(ISBLANK(AB24), "", AB24*Parameter!$H$3)</f>
        <v/>
      </c>
      <c r="AE24">
        <f>IF(J24="Concentrate",Parameter!$C$23,IF(Calib2!J24="Ore and concentrate",Parameter!$C$21,IF(F24="Smelter",Parameter!$C$10,IF(F24="Refinary",Parameter!$C$12,Parameter!$C$15))))</f>
        <v>12.466000000000001</v>
      </c>
      <c r="AF24">
        <f>IF(J24="Concentrate",Parameter!$C$24,IF(Calib2!J24="Ore and concentrate",Parameter!$C$22,IF(F24="Smelter",Parameter!$C$11,IF(F24="Refinary",Parameter!$C$13,Parameter!$C$16))))</f>
        <v>1.518</v>
      </c>
      <c r="AG24" t="str">
        <f t="shared" si="0"/>
        <v/>
      </c>
      <c r="AH24" t="str">
        <f t="shared" si="1"/>
        <v/>
      </c>
      <c r="AK24" t="s">
        <v>234</v>
      </c>
      <c r="AL24" t="s">
        <v>234</v>
      </c>
      <c r="AM24" t="s">
        <v>103</v>
      </c>
      <c r="AN24" t="s">
        <v>236</v>
      </c>
    </row>
    <row r="25" spans="1:42" hidden="1" x14ac:dyDescent="0.35">
      <c r="A25">
        <v>2249</v>
      </c>
      <c r="B25" t="s">
        <v>166</v>
      </c>
      <c r="C25" t="s">
        <v>167</v>
      </c>
      <c r="D25" t="s">
        <v>27</v>
      </c>
      <c r="E25" t="s">
        <v>168</v>
      </c>
      <c r="F25" t="s">
        <v>268</v>
      </c>
      <c r="G25" t="s">
        <v>278</v>
      </c>
      <c r="H25" t="s">
        <v>33</v>
      </c>
      <c r="I25" t="s">
        <v>34</v>
      </c>
      <c r="J25" t="s">
        <v>38</v>
      </c>
      <c r="K25" t="s">
        <v>36</v>
      </c>
      <c r="L25" t="s">
        <v>36</v>
      </c>
      <c r="M25">
        <v>2017</v>
      </c>
      <c r="N25" t="s">
        <v>37</v>
      </c>
      <c r="O25" t="s">
        <v>41</v>
      </c>
      <c r="P25" t="s">
        <v>42</v>
      </c>
      <c r="R25" t="s">
        <v>134</v>
      </c>
      <c r="S25">
        <v>-13.06861</v>
      </c>
      <c r="T25">
        <v>28.32583</v>
      </c>
      <c r="U25" t="s">
        <v>44</v>
      </c>
      <c r="V25" t="s">
        <v>62</v>
      </c>
      <c r="W25" t="s">
        <v>46</v>
      </c>
      <c r="X25" t="s">
        <v>47</v>
      </c>
      <c r="Y25" t="s">
        <v>169</v>
      </c>
      <c r="Z25" t="s">
        <v>43</v>
      </c>
      <c r="AA25" t="s">
        <v>53</v>
      </c>
      <c r="AB25" s="2">
        <v>40000</v>
      </c>
      <c r="AC25" t="s">
        <v>232</v>
      </c>
      <c r="AD25">
        <f>IF(ISBLANK(AB25), "", AB25*Parameter!$H$3)</f>
        <v>32000</v>
      </c>
      <c r="AE25">
        <f>IF(J25="Concentrate",Parameter!$C$23,IF(Calib2!J25="Ore and concentrate",Parameter!$C$21,IF(F25="Smelter",Parameter!$C$10,IF(F25="Refinary",Parameter!$C$12,Parameter!$C$15))))</f>
        <v>12.466000000000001</v>
      </c>
      <c r="AF25">
        <f>IF(J25="Concentrate",Parameter!$C$24,IF(Calib2!J25="Ore and concentrate",Parameter!$C$22,IF(F25="Smelter",Parameter!$C$11,IF(F25="Refinary",Parameter!$C$13,Parameter!$C$16))))</f>
        <v>1.518</v>
      </c>
      <c r="AG25">
        <f t="shared" si="0"/>
        <v>398.91200000000003</v>
      </c>
      <c r="AH25">
        <f t="shared" si="1"/>
        <v>48.576000000000001</v>
      </c>
      <c r="AM25" s="2">
        <v>34000</v>
      </c>
      <c r="AN25" t="s">
        <v>236</v>
      </c>
    </row>
    <row r="26" spans="1:42" x14ac:dyDescent="0.35">
      <c r="A26">
        <v>2251</v>
      </c>
      <c r="B26" t="s">
        <v>170</v>
      </c>
      <c r="C26" t="s">
        <v>171</v>
      </c>
      <c r="D26" t="s">
        <v>27</v>
      </c>
      <c r="E26" s="3" t="s">
        <v>172</v>
      </c>
      <c r="F26" s="3"/>
      <c r="G26" s="3"/>
      <c r="H26" s="3" t="s">
        <v>29</v>
      </c>
      <c r="I26" s="3" t="s">
        <v>34</v>
      </c>
      <c r="J26" s="3" t="s">
        <v>82</v>
      </c>
      <c r="K26" s="3" t="s">
        <v>36</v>
      </c>
      <c r="L26" s="3" t="s">
        <v>36</v>
      </c>
      <c r="M26" s="3">
        <v>2017</v>
      </c>
      <c r="N26" s="3" t="s">
        <v>37</v>
      </c>
      <c r="O26" s="3" t="s">
        <v>39</v>
      </c>
      <c r="P26" s="3" t="s">
        <v>174</v>
      </c>
      <c r="Q26" s="3" t="s">
        <v>173</v>
      </c>
      <c r="R26" s="3" t="s">
        <v>175</v>
      </c>
      <c r="S26" s="3">
        <v>-15.925446000000001</v>
      </c>
      <c r="T26" s="3">
        <v>28.129807</v>
      </c>
      <c r="U26" s="3" t="s">
        <v>61</v>
      </c>
      <c r="V26" s="3" t="s">
        <v>50</v>
      </c>
      <c r="W26" s="3" t="s">
        <v>46</v>
      </c>
      <c r="X26" s="3" t="s">
        <v>176</v>
      </c>
      <c r="Y26" s="3" t="s">
        <v>177</v>
      </c>
      <c r="Z26" s="3" t="s">
        <v>43</v>
      </c>
      <c r="AA26" s="3" t="s">
        <v>178</v>
      </c>
      <c r="AB26" s="4">
        <v>1700</v>
      </c>
      <c r="AC26" s="3" t="s">
        <v>232</v>
      </c>
      <c r="AD26">
        <f>IF(ISBLANK(AB26), "", AB26*Parameter!$H$3)</f>
        <v>1360</v>
      </c>
      <c r="AE26">
        <f>IF(J26="Concentrate",Parameter!$C$23,IF(Calib2!J26="Ore and concentrate",Parameter!$C$21,IF(F26="Smelter",Parameter!$C$10,IF(F26="Refinary",Parameter!$C$12,Parameter!$C$15))))</f>
        <v>7.2849999999999998E-2</v>
      </c>
      <c r="AF26">
        <f>IF(J26="Concentrate",Parameter!$C$24,IF(Calib2!J26="Ore and concentrate",Parameter!$C$22,IF(F26="Smelter",Parameter!$C$11,IF(F26="Refinary",Parameter!$C$13,Parameter!$C$16))))</f>
        <v>1.333E-2</v>
      </c>
      <c r="AG26">
        <f t="shared" si="0"/>
        <v>9.9075999999999997E-2</v>
      </c>
      <c r="AH26">
        <f t="shared" si="1"/>
        <v>1.8128799999999997E-2</v>
      </c>
      <c r="AI26" s="2">
        <v>175000</v>
      </c>
      <c r="AJ26" s="2">
        <v>312500</v>
      </c>
      <c r="AK26" s="5" t="s">
        <v>103</v>
      </c>
      <c r="AL26" s="5" t="s">
        <v>103</v>
      </c>
    </row>
    <row r="27" spans="1:42" hidden="1" x14ac:dyDescent="0.35">
      <c r="A27">
        <v>2253</v>
      </c>
      <c r="B27" t="s">
        <v>179</v>
      </c>
      <c r="C27" t="s">
        <v>180</v>
      </c>
      <c r="D27" t="s">
        <v>27</v>
      </c>
      <c r="E27" t="s">
        <v>181</v>
      </c>
      <c r="F27" t="s">
        <v>257</v>
      </c>
      <c r="H27" t="s">
        <v>29</v>
      </c>
      <c r="I27" t="s">
        <v>34</v>
      </c>
      <c r="J27" t="s">
        <v>38</v>
      </c>
      <c r="K27" t="s">
        <v>36</v>
      </c>
      <c r="L27" t="s">
        <v>36</v>
      </c>
      <c r="M27">
        <v>2017</v>
      </c>
      <c r="N27" t="s">
        <v>37</v>
      </c>
      <c r="O27" t="s">
        <v>41</v>
      </c>
      <c r="P27" t="s">
        <v>43</v>
      </c>
      <c r="R27" t="s">
        <v>182</v>
      </c>
      <c r="S27">
        <v>-12.72194</v>
      </c>
      <c r="T27">
        <v>27.968019999999999</v>
      </c>
      <c r="U27" t="s">
        <v>44</v>
      </c>
      <c r="V27" t="s">
        <v>62</v>
      </c>
      <c r="W27" t="s">
        <v>46</v>
      </c>
      <c r="X27" t="s">
        <v>63</v>
      </c>
      <c r="Y27" t="s">
        <v>64</v>
      </c>
      <c r="Z27" t="s">
        <v>65</v>
      </c>
      <c r="AA27" t="s">
        <v>53</v>
      </c>
      <c r="AB27" s="2">
        <v>600000</v>
      </c>
      <c r="AC27" t="s">
        <v>232</v>
      </c>
      <c r="AD27">
        <f>IF(ISBLANK(AB27), "", AB27*Parameter!$H$3)</f>
        <v>480000</v>
      </c>
      <c r="AE27">
        <f>IF(J27="Concentrate",Parameter!$C$23,IF(Calib2!J27="Ore and concentrate",Parameter!$C$21,IF(F27="Smelter",Parameter!$C$10,IF(F27="Refinary",Parameter!$C$12,Parameter!$C$15))))</f>
        <v>9.266</v>
      </c>
      <c r="AF27">
        <f>IF(J27="Concentrate",Parameter!$C$24,IF(Calib2!J27="Ore and concentrate",Parameter!$C$22,IF(F27="Smelter",Parameter!$C$11,IF(F27="Refinary",Parameter!$C$13,Parameter!$C$16))))</f>
        <v>1.518</v>
      </c>
      <c r="AG27">
        <f t="shared" si="0"/>
        <v>4447.68</v>
      </c>
      <c r="AH27">
        <f t="shared" si="1"/>
        <v>728.64</v>
      </c>
    </row>
    <row r="28" spans="1:42" hidden="1" x14ac:dyDescent="0.35">
      <c r="A28">
        <v>2257</v>
      </c>
      <c r="B28" t="s">
        <v>183</v>
      </c>
      <c r="C28" t="s">
        <v>184</v>
      </c>
      <c r="D28" t="s">
        <v>27</v>
      </c>
      <c r="E28" t="s">
        <v>185</v>
      </c>
      <c r="F28" t="s">
        <v>257</v>
      </c>
      <c r="H28" t="s">
        <v>33</v>
      </c>
      <c r="I28" t="s">
        <v>34</v>
      </c>
      <c r="J28" t="s">
        <v>38</v>
      </c>
      <c r="K28" t="s">
        <v>36</v>
      </c>
      <c r="L28" t="s">
        <v>36</v>
      </c>
      <c r="M28">
        <v>2017</v>
      </c>
      <c r="N28" t="s">
        <v>37</v>
      </c>
      <c r="O28" t="s">
        <v>41</v>
      </c>
      <c r="P28" t="s">
        <v>195</v>
      </c>
      <c r="R28" t="s">
        <v>96</v>
      </c>
      <c r="S28">
        <v>-12.531000000000001</v>
      </c>
      <c r="T28">
        <v>27.855</v>
      </c>
      <c r="U28" t="s">
        <v>44</v>
      </c>
      <c r="V28" t="s">
        <v>62</v>
      </c>
      <c r="W28" t="s">
        <v>46</v>
      </c>
      <c r="X28" t="s">
        <v>97</v>
      </c>
      <c r="Y28" t="s">
        <v>98</v>
      </c>
      <c r="Z28" t="s">
        <v>99</v>
      </c>
      <c r="AA28" t="s">
        <v>53</v>
      </c>
      <c r="AB28" s="2">
        <v>311000</v>
      </c>
      <c r="AC28" t="s">
        <v>232</v>
      </c>
      <c r="AD28">
        <f>IF(ISBLANK(AB28), "", AB28*Parameter!$H$3)</f>
        <v>248800</v>
      </c>
      <c r="AE28">
        <f>IF(J28="Concentrate",Parameter!$C$23,IF(Calib2!J28="Ore and concentrate",Parameter!$C$21,IF(F28="Smelter",Parameter!$C$10,IF(F28="Refinary",Parameter!$C$12,Parameter!$C$15))))</f>
        <v>9.266</v>
      </c>
      <c r="AF28">
        <f>IF(J28="Concentrate",Parameter!$C$24,IF(Calib2!J28="Ore and concentrate",Parameter!$C$22,IF(F28="Smelter",Parameter!$C$11,IF(F28="Refinary",Parameter!$C$13,Parameter!$C$16))))</f>
        <v>1.518</v>
      </c>
      <c r="AG28">
        <f t="shared" si="0"/>
        <v>2305.3807999999999</v>
      </c>
      <c r="AH28">
        <f t="shared" si="1"/>
        <v>377.67840000000001</v>
      </c>
    </row>
    <row r="29" spans="1:42" x14ac:dyDescent="0.35">
      <c r="A29">
        <v>2258</v>
      </c>
      <c r="B29" t="s">
        <v>186</v>
      </c>
      <c r="C29" t="s">
        <v>187</v>
      </c>
      <c r="D29" t="s">
        <v>27</v>
      </c>
      <c r="E29" t="s">
        <v>188</v>
      </c>
      <c r="G29" t="s">
        <v>284</v>
      </c>
      <c r="H29" t="s">
        <v>29</v>
      </c>
      <c r="I29" t="s">
        <v>34</v>
      </c>
      <c r="J29" t="s">
        <v>82</v>
      </c>
      <c r="K29" t="s">
        <v>36</v>
      </c>
      <c r="L29" t="s">
        <v>36</v>
      </c>
      <c r="M29">
        <v>2017</v>
      </c>
      <c r="N29" t="s">
        <v>37</v>
      </c>
      <c r="O29" t="s">
        <v>41</v>
      </c>
      <c r="P29" s="13" t="s">
        <v>95</v>
      </c>
      <c r="R29" t="s">
        <v>96</v>
      </c>
      <c r="S29">
        <v>-12.536110000000001</v>
      </c>
      <c r="T29">
        <v>27.833120000000001</v>
      </c>
      <c r="U29" t="s">
        <v>44</v>
      </c>
      <c r="V29" t="s">
        <v>45</v>
      </c>
      <c r="W29" t="s">
        <v>46</v>
      </c>
      <c r="X29" t="s">
        <v>97</v>
      </c>
      <c r="Y29" t="s">
        <v>98</v>
      </c>
      <c r="Z29" t="s">
        <v>99</v>
      </c>
      <c r="AA29" t="s">
        <v>53</v>
      </c>
      <c r="AB29" s="2">
        <v>4500000</v>
      </c>
      <c r="AC29" t="s">
        <v>232</v>
      </c>
      <c r="AD29">
        <f>IF(ISBLANK(AB29), "", AB29*Parameter!$H$3)/2</f>
        <v>1800000</v>
      </c>
      <c r="AE29">
        <f>IF(J29="Concentrate",Parameter!$C$23,IF(Calib2!J29="Ore and concentrate",Parameter!$C$21,IF(F29="Smelter",Parameter!$C$10,IF(F29="Refinary",Parameter!$C$12,Parameter!$C$15))))</f>
        <v>7.2849999999999998E-2</v>
      </c>
      <c r="AF29">
        <f>IF(J29="Concentrate",Parameter!$C$24,IF(Calib2!J29="Ore and concentrate",Parameter!$C$22,IF(F29="Smelter",Parameter!$C$11,IF(F29="Refinary",Parameter!$C$13,Parameter!$C$16))))</f>
        <v>1.333E-2</v>
      </c>
      <c r="AG29">
        <f t="shared" si="0"/>
        <v>131.13</v>
      </c>
      <c r="AH29">
        <f t="shared" si="1"/>
        <v>23.994</v>
      </c>
      <c r="AI29" s="2"/>
      <c r="AJ29" s="2"/>
      <c r="AK29" s="1"/>
      <c r="AL29" s="1"/>
      <c r="AO29" s="2">
        <v>4500000</v>
      </c>
      <c r="AP29" t="s">
        <v>236</v>
      </c>
    </row>
    <row r="30" spans="1:42" hidden="1" x14ac:dyDescent="0.35">
      <c r="A30">
        <v>2259</v>
      </c>
      <c r="B30" t="s">
        <v>189</v>
      </c>
      <c r="C30" t="s">
        <v>190</v>
      </c>
      <c r="D30" t="s">
        <v>27</v>
      </c>
      <c r="E30" t="s">
        <v>191</v>
      </c>
      <c r="F30" t="s">
        <v>268</v>
      </c>
      <c r="G30" t="s">
        <v>278</v>
      </c>
      <c r="H30" t="s">
        <v>33</v>
      </c>
      <c r="I30" t="s">
        <v>34</v>
      </c>
      <c r="J30" t="s">
        <v>38</v>
      </c>
      <c r="K30" t="s">
        <v>36</v>
      </c>
      <c r="L30" t="s">
        <v>36</v>
      </c>
      <c r="M30">
        <v>2017</v>
      </c>
      <c r="N30" t="s">
        <v>37</v>
      </c>
      <c r="O30" t="s">
        <v>41</v>
      </c>
      <c r="P30" t="s">
        <v>42</v>
      </c>
      <c r="R30" t="s">
        <v>96</v>
      </c>
      <c r="S30">
        <v>-12.566381</v>
      </c>
      <c r="T30">
        <v>27.814871</v>
      </c>
      <c r="U30" t="s">
        <v>44</v>
      </c>
      <c r="V30" t="s">
        <v>45</v>
      </c>
      <c r="W30" t="s">
        <v>46</v>
      </c>
      <c r="X30" t="s">
        <v>97</v>
      </c>
      <c r="Y30" t="s">
        <v>98</v>
      </c>
      <c r="Z30" t="s">
        <v>99</v>
      </c>
      <c r="AA30" t="s">
        <v>53</v>
      </c>
      <c r="AB30" s="2">
        <v>80000</v>
      </c>
      <c r="AC30" t="s">
        <v>232</v>
      </c>
      <c r="AD30">
        <f>IF(ISBLANK(AB30), "", AB30*Parameter!$H$3)</f>
        <v>64000</v>
      </c>
      <c r="AE30">
        <f>IF(J30="Concentrate",Parameter!$C$23,IF(Calib2!J30="Ore and concentrate",Parameter!$C$21,IF(F30="Smelter",Parameter!$C$10,IF(F30="Refinary",Parameter!$C$12,Parameter!$C$15))))</f>
        <v>12.466000000000001</v>
      </c>
      <c r="AF30">
        <f>IF(J30="Concentrate",Parameter!$C$24,IF(Calib2!J30="Ore and concentrate",Parameter!$C$22,IF(F30="Smelter",Parameter!$C$11,IF(F30="Refinary",Parameter!$C$13,Parameter!$C$16))))</f>
        <v>1.518</v>
      </c>
      <c r="AG30">
        <f t="shared" si="0"/>
        <v>797.82400000000007</v>
      </c>
      <c r="AH30">
        <f t="shared" si="1"/>
        <v>97.152000000000001</v>
      </c>
      <c r="AM30" t="s">
        <v>239</v>
      </c>
      <c r="AN30" t="s">
        <v>236</v>
      </c>
    </row>
    <row r="31" spans="1:42" x14ac:dyDescent="0.35">
      <c r="A31">
        <v>2260</v>
      </c>
      <c r="B31" t="s">
        <v>192</v>
      </c>
      <c r="C31" t="s">
        <v>193</v>
      </c>
      <c r="D31" t="s">
        <v>27</v>
      </c>
      <c r="E31" t="s">
        <v>194</v>
      </c>
      <c r="G31" t="s">
        <v>283</v>
      </c>
      <c r="H31" t="s">
        <v>29</v>
      </c>
      <c r="I31" t="s">
        <v>34</v>
      </c>
      <c r="J31" t="s">
        <v>82</v>
      </c>
      <c r="K31" t="s">
        <v>36</v>
      </c>
      <c r="L31" t="s">
        <v>36</v>
      </c>
      <c r="M31">
        <v>2017</v>
      </c>
      <c r="N31" t="s">
        <v>37</v>
      </c>
      <c r="O31" t="s">
        <v>41</v>
      </c>
      <c r="P31" t="s">
        <v>43</v>
      </c>
      <c r="R31" t="s">
        <v>96</v>
      </c>
      <c r="S31">
        <v>-12.507612999999999</v>
      </c>
      <c r="T31">
        <v>27.875482000000002</v>
      </c>
      <c r="U31" t="s">
        <v>44</v>
      </c>
      <c r="V31" t="s">
        <v>50</v>
      </c>
      <c r="W31" t="s">
        <v>46</v>
      </c>
      <c r="X31" t="s">
        <v>97</v>
      </c>
      <c r="Y31" t="s">
        <v>98</v>
      </c>
      <c r="Z31" t="s">
        <v>99</v>
      </c>
      <c r="AA31" t="s">
        <v>53</v>
      </c>
      <c r="AB31" s="2">
        <v>2800000</v>
      </c>
      <c r="AC31" t="s">
        <v>232</v>
      </c>
      <c r="AD31">
        <f>IF(ISBLANK(AB31), "", AB31*Parameter!$H$3)</f>
        <v>2240000</v>
      </c>
      <c r="AE31">
        <f>IF(J31="Concentrate",Parameter!$C$23,IF(Calib2!J31="Ore and concentrate",Parameter!$C$21,IF(F31="Smelter",Parameter!$C$10,IF(F31="Refinary",Parameter!$C$12,Parameter!$C$15))))</f>
        <v>7.2849999999999998E-2</v>
      </c>
      <c r="AF31">
        <f>IF(J31="Concentrate",Parameter!$C$24,IF(Calib2!J31="Ore and concentrate",Parameter!$C$22,IF(F31="Smelter",Parameter!$C$11,IF(F31="Refinary",Parameter!$C$13,Parameter!$C$16))))</f>
        <v>1.333E-2</v>
      </c>
      <c r="AG31">
        <f t="shared" si="0"/>
        <v>163.184</v>
      </c>
      <c r="AH31">
        <f t="shared" si="1"/>
        <v>29.859200000000001</v>
      </c>
      <c r="AI31" s="2">
        <v>2820706</v>
      </c>
      <c r="AJ31" s="2">
        <v>2820706</v>
      </c>
      <c r="AK31" s="1">
        <v>65544</v>
      </c>
      <c r="AL31" s="1">
        <v>65544</v>
      </c>
      <c r="AO31" s="2">
        <v>2800000</v>
      </c>
      <c r="AP31" t="s">
        <v>236</v>
      </c>
    </row>
    <row r="32" spans="1:42" hidden="1" x14ac:dyDescent="0.35">
      <c r="A32">
        <v>2262</v>
      </c>
      <c r="B32" t="s">
        <v>196</v>
      </c>
      <c r="C32" t="s">
        <v>43</v>
      </c>
      <c r="D32" t="s">
        <v>27</v>
      </c>
      <c r="E32" t="s">
        <v>197</v>
      </c>
      <c r="F32" t="s">
        <v>268</v>
      </c>
      <c r="G32" t="s">
        <v>277</v>
      </c>
      <c r="H32" t="s">
        <v>33</v>
      </c>
      <c r="I32" t="s">
        <v>34</v>
      </c>
      <c r="J32" t="s">
        <v>38</v>
      </c>
      <c r="K32" t="s">
        <v>36</v>
      </c>
      <c r="L32" t="s">
        <v>36</v>
      </c>
      <c r="M32">
        <v>2017</v>
      </c>
      <c r="N32" t="s">
        <v>37</v>
      </c>
      <c r="O32" t="s">
        <v>41</v>
      </c>
      <c r="P32" t="s">
        <v>42</v>
      </c>
      <c r="R32" t="s">
        <v>200</v>
      </c>
      <c r="S32">
        <v>-12.843</v>
      </c>
      <c r="T32">
        <v>28.204999999999998</v>
      </c>
      <c r="U32" t="s">
        <v>44</v>
      </c>
      <c r="V32" t="s">
        <v>62</v>
      </c>
      <c r="W32" t="s">
        <v>46</v>
      </c>
      <c r="X32" t="s">
        <v>156</v>
      </c>
      <c r="Y32" t="s">
        <v>157</v>
      </c>
      <c r="Z32" t="s">
        <v>158</v>
      </c>
      <c r="AA32" t="s">
        <v>53</v>
      </c>
      <c r="AB32" s="2">
        <v>15000</v>
      </c>
      <c r="AC32" t="s">
        <v>232</v>
      </c>
      <c r="AD32">
        <f>IF(ISBLANK(AB32), "", AB32*Parameter!$H$3)</f>
        <v>12000</v>
      </c>
      <c r="AE32">
        <f>IF(J32="Concentrate",Parameter!$C$23,IF(Calib2!J32="Ore and concentrate",Parameter!$C$21,IF(F32="Smelter",Parameter!$C$10,IF(F32="Refinary",Parameter!$C$12,Parameter!$C$15))))</f>
        <v>12.466000000000001</v>
      </c>
      <c r="AF32">
        <f>IF(J32="Concentrate",Parameter!$C$24,IF(Calib2!J32="Ore and concentrate",Parameter!$C$22,IF(F32="Smelter",Parameter!$C$11,IF(F32="Refinary",Parameter!$C$13,Parameter!$C$16))))</f>
        <v>1.518</v>
      </c>
      <c r="AG32">
        <f t="shared" si="0"/>
        <v>149.59200000000001</v>
      </c>
      <c r="AH32">
        <f t="shared" si="1"/>
        <v>18.216000000000001</v>
      </c>
      <c r="AI32" t="s">
        <v>103</v>
      </c>
      <c r="AJ32" t="s">
        <v>103</v>
      </c>
      <c r="AK32" s="5" t="s">
        <v>103</v>
      </c>
      <c r="AL32" s="5" t="s">
        <v>103</v>
      </c>
    </row>
    <row r="33" spans="1:38" hidden="1" x14ac:dyDescent="0.35">
      <c r="A33">
        <v>2263</v>
      </c>
      <c r="B33" t="s">
        <v>196</v>
      </c>
      <c r="C33" t="s">
        <v>198</v>
      </c>
      <c r="D33" t="s">
        <v>27</v>
      </c>
      <c r="E33" t="s">
        <v>199</v>
      </c>
      <c r="F33" t="s">
        <v>269</v>
      </c>
      <c r="G33" t="s">
        <v>259</v>
      </c>
      <c r="H33" t="s">
        <v>33</v>
      </c>
      <c r="I33" t="s">
        <v>34</v>
      </c>
      <c r="J33" t="s">
        <v>38</v>
      </c>
      <c r="K33" t="s">
        <v>36</v>
      </c>
      <c r="L33" t="s">
        <v>36</v>
      </c>
      <c r="M33">
        <v>2017</v>
      </c>
      <c r="N33" t="s">
        <v>37</v>
      </c>
      <c r="O33" t="s">
        <v>41</v>
      </c>
      <c r="P33" t="s">
        <v>42</v>
      </c>
      <c r="R33" t="s">
        <v>201</v>
      </c>
      <c r="S33">
        <v>-12.843</v>
      </c>
      <c r="T33">
        <v>28.204999999999998</v>
      </c>
      <c r="U33" t="s">
        <v>44</v>
      </c>
      <c r="V33" t="s">
        <v>62</v>
      </c>
      <c r="W33" t="s">
        <v>46</v>
      </c>
      <c r="X33" t="s">
        <v>97</v>
      </c>
      <c r="Y33" t="s">
        <v>98</v>
      </c>
      <c r="Z33" t="s">
        <v>99</v>
      </c>
      <c r="AA33" t="s">
        <v>53</v>
      </c>
      <c r="AB33" s="2">
        <v>300000</v>
      </c>
      <c r="AC33" t="s">
        <v>232</v>
      </c>
      <c r="AD33">
        <f>IF(ISBLANK(AB33), "", AB33*Parameter!$H$3)</f>
        <v>240000</v>
      </c>
      <c r="AE33">
        <f>IF(J33="Concentrate",Parameter!$C$23,IF(Calib2!J33="Ore and concentrate",Parameter!$C$21,IF(F33="Smelter",Parameter!$C$10,IF(F33="Refinary",Parameter!$C$12,Parameter!$C$15))))</f>
        <v>3.2</v>
      </c>
      <c r="AF33">
        <f>IF(J33="Concentrate",Parameter!$C$24,IF(Calib2!J33="Ore and concentrate",Parameter!$C$22,IF(F33="Smelter",Parameter!$C$11,IF(F33="Refinary",Parameter!$C$13,Parameter!$C$16))))</f>
        <v>0</v>
      </c>
      <c r="AG33">
        <f t="shared" si="0"/>
        <v>768</v>
      </c>
      <c r="AH33">
        <f t="shared" si="1"/>
        <v>0</v>
      </c>
      <c r="AI33" t="s">
        <v>103</v>
      </c>
      <c r="AJ33" t="s">
        <v>103</v>
      </c>
      <c r="AK33" s="5" t="s">
        <v>103</v>
      </c>
      <c r="AL33" s="5" t="s">
        <v>103</v>
      </c>
    </row>
    <row r="34" spans="1:38" x14ac:dyDescent="0.35">
      <c r="A34">
        <v>2266</v>
      </c>
      <c r="B34" t="s">
        <v>202</v>
      </c>
      <c r="C34" t="s">
        <v>203</v>
      </c>
      <c r="D34" t="s">
        <v>27</v>
      </c>
      <c r="E34" t="s">
        <v>204</v>
      </c>
      <c r="G34" t="s">
        <v>284</v>
      </c>
      <c r="H34" t="s">
        <v>29</v>
      </c>
      <c r="I34" t="s">
        <v>34</v>
      </c>
      <c r="J34" t="s">
        <v>82</v>
      </c>
      <c r="K34" t="s">
        <v>129</v>
      </c>
      <c r="L34" t="s">
        <v>129</v>
      </c>
      <c r="M34">
        <v>2017</v>
      </c>
      <c r="N34" t="s">
        <v>37</v>
      </c>
      <c r="O34" t="s">
        <v>41</v>
      </c>
      <c r="P34" t="s">
        <v>206</v>
      </c>
      <c r="R34" t="s">
        <v>200</v>
      </c>
      <c r="S34">
        <v>-12.851025999999999</v>
      </c>
      <c r="T34">
        <v>28.207404</v>
      </c>
      <c r="U34" t="s">
        <v>44</v>
      </c>
      <c r="V34" t="s">
        <v>50</v>
      </c>
      <c r="W34" t="s">
        <v>46</v>
      </c>
      <c r="X34" t="s">
        <v>156</v>
      </c>
      <c r="Y34" t="s">
        <v>157</v>
      </c>
      <c r="Z34" t="s">
        <v>158</v>
      </c>
      <c r="AA34" t="s">
        <v>53</v>
      </c>
      <c r="AB34" s="2">
        <v>5500000</v>
      </c>
      <c r="AC34" t="s">
        <v>232</v>
      </c>
      <c r="AD34">
        <f>IF(ISBLANK(AB34), "", AB34*Parameter!$H$3)/7</f>
        <v>628571.42857142852</v>
      </c>
      <c r="AE34">
        <f>IF(J34="Concentrate",Parameter!$C$23,IF(Calib2!J34="Ore and concentrate",Parameter!$C$21,IF(F34="Smelter",Parameter!$C$10,IF(F34="Refinary",Parameter!$C$12,Parameter!$C$15))))</f>
        <v>7.2849999999999998E-2</v>
      </c>
      <c r="AF34">
        <f>IF(J34="Concentrate",Parameter!$C$24,IF(Calib2!J34="Ore and concentrate",Parameter!$C$22,IF(F34="Smelter",Parameter!$C$11,IF(F34="Refinary",Parameter!$C$13,Parameter!$C$16))))</f>
        <v>1.333E-2</v>
      </c>
      <c r="AG34">
        <f t="shared" si="0"/>
        <v>45.791428571428568</v>
      </c>
      <c r="AH34">
        <f t="shared" si="1"/>
        <v>8.3788571428571412</v>
      </c>
      <c r="AI34" t="s">
        <v>103</v>
      </c>
      <c r="AJ34" t="s">
        <v>103</v>
      </c>
      <c r="AK34" s="1">
        <v>55068</v>
      </c>
      <c r="AL34" s="1">
        <v>17900</v>
      </c>
    </row>
    <row r="35" spans="1:38" x14ac:dyDescent="0.35">
      <c r="A35">
        <v>2267</v>
      </c>
      <c r="B35" t="s">
        <v>202</v>
      </c>
      <c r="C35" t="s">
        <v>203</v>
      </c>
      <c r="D35" t="s">
        <v>27</v>
      </c>
      <c r="E35" t="s">
        <v>205</v>
      </c>
      <c r="G35" t="s">
        <v>284</v>
      </c>
      <c r="H35" t="s">
        <v>29</v>
      </c>
      <c r="I35" t="s">
        <v>34</v>
      </c>
      <c r="J35" t="s">
        <v>82</v>
      </c>
      <c r="K35" t="s">
        <v>129</v>
      </c>
      <c r="L35" t="s">
        <v>129</v>
      </c>
      <c r="M35">
        <v>2017</v>
      </c>
      <c r="N35" t="s">
        <v>37</v>
      </c>
      <c r="O35" t="s">
        <v>41</v>
      </c>
      <c r="P35" t="s">
        <v>206</v>
      </c>
      <c r="R35" t="s">
        <v>200</v>
      </c>
      <c r="S35">
        <v>-12.851025999999999</v>
      </c>
      <c r="T35">
        <v>28.207404</v>
      </c>
      <c r="U35" t="s">
        <v>44</v>
      </c>
      <c r="V35" t="s">
        <v>50</v>
      </c>
      <c r="W35" t="s">
        <v>46</v>
      </c>
      <c r="X35" t="s">
        <v>156</v>
      </c>
      <c r="Y35" t="s">
        <v>157</v>
      </c>
      <c r="Z35" t="s">
        <v>158</v>
      </c>
      <c r="AA35" t="s">
        <v>53</v>
      </c>
      <c r="AB35" s="2">
        <v>5500000</v>
      </c>
      <c r="AC35" t="s">
        <v>232</v>
      </c>
      <c r="AD35">
        <f>IF(ISBLANK(AB35), "", AB35*Parameter!$H$3)/7</f>
        <v>628571.42857142852</v>
      </c>
      <c r="AE35">
        <f>IF(J35="Concentrate",Parameter!$C$23,IF(Calib2!J35="Ore and concentrate",Parameter!$C$21,IF(F35="Smelter",Parameter!$C$10,IF(F35="Refinary",Parameter!$C$12,Parameter!$C$15))))</f>
        <v>7.2849999999999998E-2</v>
      </c>
      <c r="AF35">
        <f>IF(J35="Concentrate",Parameter!$C$24,IF(Calib2!J35="Ore and concentrate",Parameter!$C$22,IF(F35="Smelter",Parameter!$C$11,IF(F35="Refinary",Parameter!$C$13,Parameter!$C$16))))</f>
        <v>1.333E-2</v>
      </c>
      <c r="AG35">
        <f t="shared" si="0"/>
        <v>45.791428571428568</v>
      </c>
      <c r="AH35">
        <f t="shared" si="1"/>
        <v>8.3788571428571412</v>
      </c>
    </row>
    <row r="36" spans="1:38" x14ac:dyDescent="0.35">
      <c r="A36">
        <v>2269</v>
      </c>
      <c r="B36" t="s">
        <v>207</v>
      </c>
      <c r="C36" t="s">
        <v>208</v>
      </c>
      <c r="D36" t="s">
        <v>27</v>
      </c>
      <c r="E36" t="s">
        <v>209</v>
      </c>
      <c r="G36" t="s">
        <v>283</v>
      </c>
      <c r="H36" t="s">
        <v>29</v>
      </c>
      <c r="I36" t="s">
        <v>34</v>
      </c>
      <c r="J36" t="s">
        <v>82</v>
      </c>
      <c r="K36" t="s">
        <v>129</v>
      </c>
      <c r="L36" t="s">
        <v>129</v>
      </c>
      <c r="M36">
        <v>2017</v>
      </c>
      <c r="N36" t="s">
        <v>37</v>
      </c>
      <c r="O36" t="s">
        <v>41</v>
      </c>
      <c r="P36" t="s">
        <v>206</v>
      </c>
      <c r="R36" t="s">
        <v>200</v>
      </c>
      <c r="S36">
        <v>-12.805249999999999</v>
      </c>
      <c r="T36">
        <v>28.185835999999998</v>
      </c>
      <c r="U36" t="s">
        <v>61</v>
      </c>
      <c r="V36" t="s">
        <v>45</v>
      </c>
      <c r="W36" t="s">
        <v>46</v>
      </c>
      <c r="X36" t="s">
        <v>156</v>
      </c>
      <c r="Y36" t="s">
        <v>157</v>
      </c>
      <c r="Z36" t="s">
        <v>158</v>
      </c>
      <c r="AA36" t="s">
        <v>53</v>
      </c>
      <c r="AB36" s="2">
        <v>5500000</v>
      </c>
      <c r="AC36" t="s">
        <v>232</v>
      </c>
      <c r="AD36">
        <f>IF(ISBLANK(AB36), "", AB36*Parameter!$H$3)/7</f>
        <v>628571.42857142852</v>
      </c>
      <c r="AE36">
        <f>IF(J36="Concentrate",Parameter!$C$23,IF(Calib2!J36="Ore and concentrate",Parameter!$C$21,IF(F36="Smelter",Parameter!$C$10,IF(F36="Refinary",Parameter!$C$12,Parameter!$C$15))))</f>
        <v>7.2849999999999998E-2</v>
      </c>
      <c r="AF36">
        <f>IF(J36="Concentrate",Parameter!$C$24,IF(Calib2!J36="Ore and concentrate",Parameter!$C$22,IF(F36="Smelter",Parameter!$C$11,IF(F36="Refinary",Parameter!$C$13,Parameter!$C$16))))</f>
        <v>1.333E-2</v>
      </c>
      <c r="AG36">
        <f t="shared" si="0"/>
        <v>45.791428571428568</v>
      </c>
      <c r="AH36">
        <f t="shared" si="1"/>
        <v>8.3788571428571412</v>
      </c>
    </row>
    <row r="37" spans="1:38" x14ac:dyDescent="0.35">
      <c r="A37">
        <v>2271</v>
      </c>
      <c r="B37" t="s">
        <v>210</v>
      </c>
      <c r="C37" t="s">
        <v>211</v>
      </c>
      <c r="D37" t="s">
        <v>27</v>
      </c>
      <c r="E37" t="s">
        <v>212</v>
      </c>
      <c r="G37" t="s">
        <v>283</v>
      </c>
      <c r="H37" t="s">
        <v>29</v>
      </c>
      <c r="I37" t="s">
        <v>34</v>
      </c>
      <c r="J37" t="s">
        <v>82</v>
      </c>
      <c r="K37" t="s">
        <v>129</v>
      </c>
      <c r="L37" t="s">
        <v>129</v>
      </c>
      <c r="M37">
        <v>2017</v>
      </c>
      <c r="N37" t="s">
        <v>37</v>
      </c>
      <c r="O37" t="s">
        <v>41</v>
      </c>
      <c r="P37" t="s">
        <v>206</v>
      </c>
      <c r="R37" t="s">
        <v>200</v>
      </c>
      <c r="S37">
        <v>-12.796917000000001</v>
      </c>
      <c r="T37">
        <v>28.178775999999999</v>
      </c>
      <c r="U37" t="s">
        <v>61</v>
      </c>
      <c r="V37" t="s">
        <v>133</v>
      </c>
      <c r="W37" t="s">
        <v>46</v>
      </c>
      <c r="X37" t="s">
        <v>156</v>
      </c>
      <c r="Y37" t="s">
        <v>157</v>
      </c>
      <c r="Z37" t="s">
        <v>158</v>
      </c>
      <c r="AA37" t="s">
        <v>53</v>
      </c>
      <c r="AB37" s="2">
        <v>5500000</v>
      </c>
      <c r="AC37" t="s">
        <v>232</v>
      </c>
      <c r="AD37">
        <f>IF(ISBLANK(AB37), "", AB37*Parameter!$H$3)/7</f>
        <v>628571.42857142852</v>
      </c>
      <c r="AE37">
        <f>IF(J37="Concentrate",Parameter!$C$23,IF(Calib2!J37="Ore and concentrate",Parameter!$C$21,IF(F37="Smelter",Parameter!$C$10,IF(F37="Refinary",Parameter!$C$12,Parameter!$C$15))))</f>
        <v>7.2849999999999998E-2</v>
      </c>
      <c r="AF37">
        <f>IF(J37="Concentrate",Parameter!$C$24,IF(Calib2!J37="Ore and concentrate",Parameter!$C$22,IF(F37="Smelter",Parameter!$C$11,IF(F37="Refinary",Parameter!$C$13,Parameter!$C$16))))</f>
        <v>1.333E-2</v>
      </c>
      <c r="AG37">
        <f t="shared" si="0"/>
        <v>45.791428571428568</v>
      </c>
      <c r="AH37">
        <f t="shared" si="1"/>
        <v>8.3788571428571412</v>
      </c>
    </row>
    <row r="38" spans="1:38" x14ac:dyDescent="0.35">
      <c r="A38">
        <v>2273</v>
      </c>
      <c r="B38" t="s">
        <v>213</v>
      </c>
      <c r="C38" t="s">
        <v>214</v>
      </c>
      <c r="D38" t="s">
        <v>27</v>
      </c>
      <c r="E38" t="s">
        <v>215</v>
      </c>
      <c r="G38" t="s">
        <v>284</v>
      </c>
      <c r="H38" t="s">
        <v>29</v>
      </c>
      <c r="I38" t="s">
        <v>34</v>
      </c>
      <c r="J38" t="s">
        <v>82</v>
      </c>
      <c r="K38" t="s">
        <v>129</v>
      </c>
      <c r="L38" t="s">
        <v>129</v>
      </c>
      <c r="M38">
        <v>2017</v>
      </c>
      <c r="N38" t="s">
        <v>37</v>
      </c>
      <c r="O38" t="s">
        <v>41</v>
      </c>
      <c r="P38" t="s">
        <v>206</v>
      </c>
      <c r="R38" t="s">
        <v>200</v>
      </c>
      <c r="S38">
        <v>-12.77556</v>
      </c>
      <c r="T38">
        <v>28.161052000000002</v>
      </c>
      <c r="U38" t="s">
        <v>61</v>
      </c>
      <c r="V38" t="s">
        <v>216</v>
      </c>
      <c r="W38" t="s">
        <v>46</v>
      </c>
      <c r="X38" t="s">
        <v>156</v>
      </c>
      <c r="Y38" t="s">
        <v>157</v>
      </c>
      <c r="Z38" t="s">
        <v>158</v>
      </c>
      <c r="AA38" t="s">
        <v>53</v>
      </c>
      <c r="AB38" s="2">
        <v>5500000</v>
      </c>
      <c r="AC38" t="s">
        <v>232</v>
      </c>
      <c r="AD38">
        <f>IF(ISBLANK(AB38), "", AB38*Parameter!$H$3)/7</f>
        <v>628571.42857142852</v>
      </c>
      <c r="AE38">
        <f>IF(J38="Concentrate",Parameter!$C$23,IF(Calib2!J38="Ore and concentrate",Parameter!$C$21,IF(F38="Smelter",Parameter!$C$10,IF(F38="Refinary",Parameter!$C$12,Parameter!$C$15))))</f>
        <v>7.2849999999999998E-2</v>
      </c>
      <c r="AF38">
        <f>IF(J38="Concentrate",Parameter!$C$24,IF(Calib2!J38="Ore and concentrate",Parameter!$C$22,IF(F38="Smelter",Parameter!$C$11,IF(F38="Refinary",Parameter!$C$13,Parameter!$C$16))))</f>
        <v>1.333E-2</v>
      </c>
      <c r="AG38">
        <f t="shared" si="0"/>
        <v>45.791428571428568</v>
      </c>
      <c r="AH38">
        <f t="shared" si="1"/>
        <v>8.3788571428571412</v>
      </c>
    </row>
    <row r="39" spans="1:38" x14ac:dyDescent="0.35">
      <c r="A39">
        <v>2276</v>
      </c>
      <c r="B39" t="s">
        <v>217</v>
      </c>
      <c r="C39" t="s">
        <v>43</v>
      </c>
      <c r="D39" t="s">
        <v>27</v>
      </c>
      <c r="E39" t="s">
        <v>218</v>
      </c>
      <c r="G39" t="s">
        <v>283</v>
      </c>
      <c r="H39" t="s">
        <v>29</v>
      </c>
      <c r="I39" t="s">
        <v>34</v>
      </c>
      <c r="J39" t="s">
        <v>82</v>
      </c>
      <c r="K39" t="s">
        <v>129</v>
      </c>
      <c r="L39" t="s">
        <v>129</v>
      </c>
      <c r="M39">
        <v>2017</v>
      </c>
      <c r="N39" t="s">
        <v>37</v>
      </c>
      <c r="O39" t="s">
        <v>41</v>
      </c>
      <c r="P39" t="s">
        <v>206</v>
      </c>
      <c r="R39" t="s">
        <v>200</v>
      </c>
      <c r="S39">
        <v>-12.854466</v>
      </c>
      <c r="T39">
        <v>28.212122999999998</v>
      </c>
      <c r="U39" t="s">
        <v>61</v>
      </c>
      <c r="V39" t="s">
        <v>45</v>
      </c>
      <c r="W39" t="s">
        <v>46</v>
      </c>
      <c r="X39" t="s">
        <v>156</v>
      </c>
      <c r="Y39" t="s">
        <v>157</v>
      </c>
      <c r="Z39" t="s">
        <v>158</v>
      </c>
      <c r="AA39" t="s">
        <v>53</v>
      </c>
      <c r="AB39" s="2">
        <v>5500000</v>
      </c>
      <c r="AC39" t="s">
        <v>232</v>
      </c>
      <c r="AD39">
        <f>IF(ISBLANK(AB39), "", AB39*Parameter!$H$3)/7</f>
        <v>628571.42857142852</v>
      </c>
      <c r="AE39">
        <f>IF(J39="Concentrate",Parameter!$C$23,IF(Calib2!J39="Ore and concentrate",Parameter!$C$21,IF(F39="Smelter",Parameter!$C$10,IF(F39="Refinary",Parameter!$C$12,Parameter!$C$15))))</f>
        <v>7.2849999999999998E-2</v>
      </c>
      <c r="AF39">
        <f>IF(J39="Concentrate",Parameter!$C$24,IF(Calib2!J39="Ore and concentrate",Parameter!$C$22,IF(F39="Smelter",Parameter!$C$11,IF(F39="Refinary",Parameter!$C$13,Parameter!$C$16))))</f>
        <v>1.333E-2</v>
      </c>
      <c r="AG39">
        <f t="shared" si="0"/>
        <v>45.791428571428568</v>
      </c>
      <c r="AH39">
        <f t="shared" si="1"/>
        <v>8.3788571428571412</v>
      </c>
    </row>
    <row r="40" spans="1:38" x14ac:dyDescent="0.35">
      <c r="A40">
        <v>2277</v>
      </c>
      <c r="B40" t="s">
        <v>217</v>
      </c>
      <c r="C40" t="s">
        <v>219</v>
      </c>
      <c r="D40" t="s">
        <v>27</v>
      </c>
      <c r="E40" t="s">
        <v>220</v>
      </c>
      <c r="G40" t="s">
        <v>283</v>
      </c>
      <c r="H40" t="s">
        <v>29</v>
      </c>
      <c r="I40" t="s">
        <v>34</v>
      </c>
      <c r="J40" t="s">
        <v>82</v>
      </c>
      <c r="K40" t="s">
        <v>129</v>
      </c>
      <c r="L40" t="s">
        <v>129</v>
      </c>
      <c r="M40">
        <v>2017</v>
      </c>
      <c r="N40" t="s">
        <v>37</v>
      </c>
      <c r="O40" t="s">
        <v>41</v>
      </c>
      <c r="P40" t="s">
        <v>206</v>
      </c>
      <c r="R40" t="s">
        <v>200</v>
      </c>
      <c r="S40">
        <v>-12.854466</v>
      </c>
      <c r="T40">
        <v>28.212122999999998</v>
      </c>
      <c r="U40" t="s">
        <v>61</v>
      </c>
      <c r="V40" t="s">
        <v>45</v>
      </c>
      <c r="W40" t="s">
        <v>46</v>
      </c>
      <c r="X40" t="s">
        <v>156</v>
      </c>
      <c r="Y40" t="s">
        <v>157</v>
      </c>
      <c r="Z40" t="s">
        <v>158</v>
      </c>
      <c r="AA40" t="s">
        <v>53</v>
      </c>
      <c r="AB40" s="2">
        <v>5500000</v>
      </c>
      <c r="AC40" t="s">
        <v>232</v>
      </c>
      <c r="AD40">
        <f>IF(ISBLANK(AB40), "", AB40*Parameter!$H$3)/7</f>
        <v>628571.42857142852</v>
      </c>
      <c r="AE40">
        <f>IF(J40="Concentrate",Parameter!$C$23,IF(Calib2!J40="Ore and concentrate",Parameter!$C$21,IF(F40="Smelter",Parameter!$C$10,IF(F40="Refinary",Parameter!$C$12,Parameter!$C$15))))</f>
        <v>7.2849999999999998E-2</v>
      </c>
      <c r="AF40">
        <f>IF(J40="Concentrate",Parameter!$C$24,IF(Calib2!J40="Ore and concentrate",Parameter!$C$22,IF(F40="Smelter",Parameter!$C$11,IF(F40="Refinary",Parameter!$C$13,Parameter!$C$16))))</f>
        <v>1.333E-2</v>
      </c>
      <c r="AG40">
        <f t="shared" si="0"/>
        <v>45.791428571428568</v>
      </c>
      <c r="AH40">
        <f t="shared" si="1"/>
        <v>8.3788571428571412</v>
      </c>
    </row>
    <row r="41" spans="1:38" hidden="1" x14ac:dyDescent="0.35">
      <c r="A41">
        <v>2280</v>
      </c>
      <c r="B41" t="s">
        <v>221</v>
      </c>
      <c r="C41" t="s">
        <v>43</v>
      </c>
      <c r="D41" t="s">
        <v>27</v>
      </c>
      <c r="E41" t="s">
        <v>222</v>
      </c>
      <c r="F41" t="s">
        <v>268</v>
      </c>
      <c r="G41" t="s">
        <v>276</v>
      </c>
      <c r="H41" t="s">
        <v>33</v>
      </c>
      <c r="I41" t="s">
        <v>34</v>
      </c>
      <c r="J41" t="s">
        <v>38</v>
      </c>
      <c r="K41" t="s">
        <v>36</v>
      </c>
      <c r="L41" t="s">
        <v>36</v>
      </c>
      <c r="M41">
        <v>2017</v>
      </c>
      <c r="N41" t="s">
        <v>37</v>
      </c>
      <c r="O41" t="s">
        <v>41</v>
      </c>
      <c r="P41" t="s">
        <v>226</v>
      </c>
      <c r="R41" t="s">
        <v>227</v>
      </c>
      <c r="S41">
        <v>-14.459279</v>
      </c>
      <c r="T41">
        <v>28.436986999999998</v>
      </c>
      <c r="U41" t="s">
        <v>61</v>
      </c>
      <c r="V41" t="s">
        <v>228</v>
      </c>
      <c r="W41" t="s">
        <v>46</v>
      </c>
      <c r="X41" t="s">
        <v>229</v>
      </c>
      <c r="Y41" t="s">
        <v>230</v>
      </c>
      <c r="Z41" t="s">
        <v>43</v>
      </c>
      <c r="AA41" t="s">
        <v>159</v>
      </c>
      <c r="AB41" s="2">
        <v>14000</v>
      </c>
      <c r="AC41" t="s">
        <v>232</v>
      </c>
      <c r="AD41">
        <f>IF(ISBLANK(AB41), "", AB41*Parameter!$H$3)</f>
        <v>11200</v>
      </c>
      <c r="AE41">
        <f>IF(J41="Concentrate",Parameter!$C$23,IF(Calib2!J41="Ore and concentrate",Parameter!$C$21,IF(F41="Smelter",Parameter!$C$10,IF(F41="Refinary",Parameter!$C$12,Parameter!$C$15))))</f>
        <v>12.466000000000001</v>
      </c>
      <c r="AF41">
        <f>IF(J41="Concentrate",Parameter!$C$24,IF(Calib2!J41="Ore and concentrate",Parameter!$C$22,IF(F41="Smelter",Parameter!$C$11,IF(F41="Refinary",Parameter!$C$13,Parameter!$C$16))))</f>
        <v>1.518</v>
      </c>
      <c r="AG41">
        <f t="shared" si="0"/>
        <v>139.61920000000001</v>
      </c>
      <c r="AH41">
        <f t="shared" si="1"/>
        <v>17.0016</v>
      </c>
    </row>
    <row r="42" spans="1:38" x14ac:dyDescent="0.35">
      <c r="A42">
        <v>2281</v>
      </c>
      <c r="B42" t="s">
        <v>223</v>
      </c>
      <c r="C42" t="s">
        <v>224</v>
      </c>
      <c r="D42" t="s">
        <v>27</v>
      </c>
      <c r="E42" t="s">
        <v>225</v>
      </c>
      <c r="H42" t="s">
        <v>29</v>
      </c>
      <c r="I42" t="s">
        <v>34</v>
      </c>
      <c r="J42" t="s">
        <v>82</v>
      </c>
      <c r="K42" t="s">
        <v>36</v>
      </c>
      <c r="L42" t="s">
        <v>36</v>
      </c>
      <c r="M42">
        <v>2017</v>
      </c>
      <c r="N42" t="s">
        <v>103</v>
      </c>
      <c r="O42" t="s">
        <v>41</v>
      </c>
      <c r="P42" t="s">
        <v>43</v>
      </c>
      <c r="R42" t="s">
        <v>115</v>
      </c>
      <c r="S42">
        <v>-12.256487</v>
      </c>
      <c r="T42">
        <v>25.300218000000001</v>
      </c>
      <c r="U42" t="s">
        <v>61</v>
      </c>
      <c r="V42" t="s">
        <v>133</v>
      </c>
      <c r="W42" t="s">
        <v>46</v>
      </c>
      <c r="X42" t="s">
        <v>109</v>
      </c>
      <c r="Y42" t="s">
        <v>110</v>
      </c>
      <c r="Z42" t="s">
        <v>49</v>
      </c>
      <c r="AA42" t="s">
        <v>111</v>
      </c>
      <c r="AB42" s="2"/>
      <c r="AC42" t="s">
        <v>232</v>
      </c>
      <c r="AD42" t="str">
        <f>IF(ISBLANK(AB42), "", AB42*Parameter!$H$3)</f>
        <v/>
      </c>
      <c r="AE42">
        <f>IF(J42="Concentrate",Parameter!$C$23,IF(Calib2!J42="Ore and concentrate",Parameter!$C$21,IF(F42="Smelter",Parameter!$C$10,IF(F42="Refinary",Parameter!$C$12,Parameter!$C$15))))</f>
        <v>7.2849999999999998E-2</v>
      </c>
      <c r="AF42">
        <f>IF(J42="Concentrate",Parameter!$C$24,IF(Calib2!J42="Ore and concentrate",Parameter!$C$22,IF(F42="Smelter",Parameter!$C$11,IF(F42="Refinary",Parameter!$C$13,Parameter!$C$16))))</f>
        <v>1.333E-2</v>
      </c>
      <c r="AG42" t="str">
        <f t="shared" si="0"/>
        <v/>
      </c>
      <c r="AH42" t="str">
        <f t="shared" si="1"/>
        <v/>
      </c>
      <c r="AI42" s="2">
        <v>56329000</v>
      </c>
      <c r="AJ42" s="2">
        <v>56589000</v>
      </c>
      <c r="AK42" s="1">
        <v>232688</v>
      </c>
      <c r="AL42" s="1">
        <v>251216</v>
      </c>
    </row>
  </sheetData>
  <autoFilter ref="A1:AP42" xr:uid="{00000000-0001-0000-0000-000000000000}">
    <filterColumn colId="9">
      <filters blank="1">
        <filter val="Ore and concentrate"/>
        <filter val="Ore and concentrate, Cu content"/>
      </filters>
    </filterColumn>
    <filterColumn colId="34" showButton="0"/>
    <filterColumn colId="35" showButton="0"/>
    <filterColumn colId="36" showButton="0"/>
    <filterColumn colId="38" showButton="0"/>
    <filterColumn colId="39" showButton="0"/>
    <filterColumn colId="40" showButton="0"/>
  </autoFilter>
  <mergeCells count="5">
    <mergeCell ref="AI1:AL1"/>
    <mergeCell ref="AI2:AJ2"/>
    <mergeCell ref="AM2:AN2"/>
    <mergeCell ref="AO2:AP2"/>
    <mergeCell ref="AM1:AP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C1D6-49C1-4BDF-AC2D-508002C9C95C}">
  <sheetPr filterMode="1"/>
  <dimension ref="A1:AP42"/>
  <sheetViews>
    <sheetView topLeftCell="J1" workbookViewId="0">
      <selection activeCell="E54" sqref="E54"/>
    </sheetView>
  </sheetViews>
  <sheetFormatPr baseColWidth="10" defaultColWidth="9.1796875" defaultRowHeight="14.5" x14ac:dyDescent="0.35"/>
  <cols>
    <col min="1" max="3" width="0" hidden="1" customWidth="1"/>
    <col min="5" max="5" width="37.81640625" customWidth="1"/>
    <col min="6" max="6" width="17.7265625" bestFit="1" customWidth="1"/>
    <col min="7" max="7" width="32.54296875" bestFit="1" customWidth="1"/>
    <col min="10" max="10" width="13.81640625" customWidth="1"/>
    <col min="11" max="12" width="0" hidden="1" customWidth="1"/>
    <col min="14" max="15" width="0" hidden="1" customWidth="1"/>
    <col min="16" max="16" width="40.26953125" customWidth="1"/>
    <col min="17" max="17" width="26.54296875" customWidth="1"/>
    <col min="22" max="26" width="0" hidden="1" customWidth="1"/>
    <col min="28" max="28" width="10.1796875" bestFit="1" customWidth="1"/>
    <col min="35" max="35" width="12" customWidth="1"/>
    <col min="36" max="36" width="10.1796875" bestFit="1" customWidth="1"/>
  </cols>
  <sheetData>
    <row r="1" spans="1:42" ht="3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267</v>
      </c>
      <c r="G1" t="s">
        <v>273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271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231</v>
      </c>
      <c r="AD1" t="s">
        <v>280</v>
      </c>
      <c r="AE1" s="11" t="s">
        <v>261</v>
      </c>
      <c r="AF1" s="11" t="s">
        <v>262</v>
      </c>
      <c r="AG1" s="11" t="s">
        <v>263</v>
      </c>
      <c r="AH1" s="11" t="s">
        <v>264</v>
      </c>
      <c r="AI1" s="51" t="s">
        <v>233</v>
      </c>
      <c r="AJ1" s="51"/>
      <c r="AK1" s="51"/>
      <c r="AL1" s="51"/>
      <c r="AM1" s="52" t="s">
        <v>235</v>
      </c>
      <c r="AN1" s="52"/>
      <c r="AO1" s="52"/>
      <c r="AP1" s="52"/>
    </row>
    <row r="2" spans="1:42" hidden="1" x14ac:dyDescent="0.35">
      <c r="AI2" s="51" t="s">
        <v>240</v>
      </c>
      <c r="AJ2" s="51"/>
      <c r="AK2" s="6" t="s">
        <v>241</v>
      </c>
      <c r="AL2" s="6" t="s">
        <v>241</v>
      </c>
      <c r="AM2" s="52" t="s">
        <v>242</v>
      </c>
      <c r="AN2" s="52"/>
      <c r="AO2" s="52" t="s">
        <v>243</v>
      </c>
      <c r="AP2" s="52"/>
    </row>
    <row r="3" spans="1:42" hidden="1" x14ac:dyDescent="0.35">
      <c r="A3">
        <v>2201</v>
      </c>
      <c r="B3" t="s">
        <v>25</v>
      </c>
      <c r="C3" t="s">
        <v>26</v>
      </c>
      <c r="D3" t="s">
        <v>27</v>
      </c>
      <c r="E3" t="s">
        <v>28</v>
      </c>
      <c r="G3" t="s">
        <v>283</v>
      </c>
      <c r="H3" t="s">
        <v>29</v>
      </c>
      <c r="I3" t="s">
        <v>34</v>
      </c>
      <c r="J3" t="s">
        <v>82</v>
      </c>
      <c r="K3" t="s">
        <v>36</v>
      </c>
      <c r="L3" t="s">
        <v>36</v>
      </c>
      <c r="M3">
        <v>2017</v>
      </c>
      <c r="N3" t="s">
        <v>37</v>
      </c>
      <c r="O3" t="s">
        <v>39</v>
      </c>
      <c r="P3" t="s">
        <v>40</v>
      </c>
      <c r="Q3" t="s">
        <v>272</v>
      </c>
      <c r="R3" t="s">
        <v>43</v>
      </c>
      <c r="S3">
        <v>-13.04861</v>
      </c>
      <c r="T3">
        <v>28.338059999999999</v>
      </c>
      <c r="U3" t="s">
        <v>44</v>
      </c>
      <c r="V3" t="s">
        <v>45</v>
      </c>
      <c r="W3" t="s">
        <v>46</v>
      </c>
      <c r="X3" t="s">
        <v>47</v>
      </c>
      <c r="Y3" t="s">
        <v>48</v>
      </c>
      <c r="Z3" t="s">
        <v>49</v>
      </c>
      <c r="AA3" t="s">
        <v>53</v>
      </c>
      <c r="AB3" s="2">
        <v>1500000</v>
      </c>
      <c r="AC3" t="s">
        <v>232</v>
      </c>
      <c r="AD3">
        <f>IF(ISBLANK(AB3), "", AB3*Parameter!$H$3)</f>
        <v>1200000</v>
      </c>
      <c r="AE3">
        <f>IF(J3="Concentrate",Parameter!$C$23,IF(Calib3!J3="Ore and concentrate",Parameter!$C$21,IF(F3="Smelter",Parameter!$C$10,IF(F3="Refinary",Parameter!$C$12,Parameter!$C$15))))</f>
        <v>7.2849999999999998E-2</v>
      </c>
      <c r="AF3">
        <f>IF(J3="Concentrate",Parameter!$C$24,IF(Calib3!J3="Ore and concentrate",Parameter!$C$22,IF(F3="Smelter",Parameter!$C$11,IF(F3="Refinary",Parameter!$C$13,Parameter!$C$16))))</f>
        <v>1.333E-2</v>
      </c>
      <c r="AG3">
        <f>IF(AD3="","", AD3*AE3/1000)</f>
        <v>87.42</v>
      </c>
      <c r="AH3">
        <f>IF((AD3=""),"", AD3*AF3/1000)</f>
        <v>15.996</v>
      </c>
      <c r="AI3" t="s">
        <v>103</v>
      </c>
      <c r="AJ3" t="s">
        <v>103</v>
      </c>
      <c r="AK3" s="1">
        <v>13836</v>
      </c>
      <c r="AL3" s="1">
        <v>13612</v>
      </c>
      <c r="AM3" t="s">
        <v>238</v>
      </c>
      <c r="AN3" t="s">
        <v>236</v>
      </c>
      <c r="AO3" s="2">
        <v>725000</v>
      </c>
      <c r="AP3" t="s">
        <v>236</v>
      </c>
    </row>
    <row r="4" spans="1:42" x14ac:dyDescent="0.35">
      <c r="A4">
        <v>2202</v>
      </c>
      <c r="B4" t="s">
        <v>30</v>
      </c>
      <c r="C4" t="s">
        <v>31</v>
      </c>
      <c r="D4" t="s">
        <v>27</v>
      </c>
      <c r="E4" t="s">
        <v>32</v>
      </c>
      <c r="F4" t="s">
        <v>268</v>
      </c>
      <c r="G4" t="s">
        <v>275</v>
      </c>
      <c r="H4" t="s">
        <v>33</v>
      </c>
      <c r="I4" t="s">
        <v>34</v>
      </c>
      <c r="J4" t="s">
        <v>38</v>
      </c>
      <c r="K4" t="s">
        <v>36</v>
      </c>
      <c r="L4" t="s">
        <v>36</v>
      </c>
      <c r="M4">
        <v>2017</v>
      </c>
      <c r="N4" t="s">
        <v>37</v>
      </c>
      <c r="O4" t="s">
        <v>41</v>
      </c>
      <c r="P4" t="s">
        <v>42</v>
      </c>
      <c r="R4" t="s">
        <v>43</v>
      </c>
      <c r="S4">
        <v>-13.042299999999999</v>
      </c>
      <c r="T4">
        <v>28.709353</v>
      </c>
      <c r="U4" t="s">
        <v>44</v>
      </c>
      <c r="V4" t="s">
        <v>50</v>
      </c>
      <c r="W4" t="s">
        <v>46</v>
      </c>
      <c r="X4" t="s">
        <v>51</v>
      </c>
      <c r="Y4" t="s">
        <v>52</v>
      </c>
      <c r="Z4" t="s">
        <v>43</v>
      </c>
      <c r="AA4" t="s">
        <v>53</v>
      </c>
      <c r="AB4" s="2">
        <v>52000</v>
      </c>
      <c r="AC4" t="s">
        <v>232</v>
      </c>
      <c r="AD4">
        <f>IF(ISBLANK(AB4), "", AB4*Parameter!$H$3)</f>
        <v>41600</v>
      </c>
      <c r="AE4">
        <f>IF(J4="Concentrate",Parameter!$C$23,IF(Calib3!J4="Ore and concentrate",Parameter!$C$21,IF(F4="Smelter",Parameter!$C$10,IF(F4="Refinary",Parameter!$C$12,Parameter!$C$15))))</f>
        <v>12.466000000000001</v>
      </c>
      <c r="AF4">
        <f>IF(J4="Concentrate",Parameter!$C$24,IF(Calib3!J4="Ore and concentrate",Parameter!$C$22,IF(F4="Smelter",Parameter!$C$11,IF(F4="Refinary",Parameter!$C$13,Parameter!$C$16))))</f>
        <v>1.518</v>
      </c>
      <c r="AG4">
        <f t="shared" ref="AG4:AG42" si="0">IF(AD4="","", AD4*AE4/1000)</f>
        <v>518.5856</v>
      </c>
      <c r="AH4">
        <f t="shared" ref="AH4:AH42" si="1">IF((AD4=""),"", AD4*AF4/1000)</f>
        <v>63.148800000000001</v>
      </c>
      <c r="AK4" t="s">
        <v>234</v>
      </c>
      <c r="AL4" t="s">
        <v>234</v>
      </c>
      <c r="AM4" s="2">
        <v>10000</v>
      </c>
      <c r="AN4" t="s">
        <v>236</v>
      </c>
    </row>
    <row r="5" spans="1:42" x14ac:dyDescent="0.35">
      <c r="A5">
        <v>2205</v>
      </c>
      <c r="B5" t="s">
        <v>54</v>
      </c>
      <c r="C5" t="s">
        <v>55</v>
      </c>
      <c r="D5" t="s">
        <v>27</v>
      </c>
      <c r="E5" t="s">
        <v>56</v>
      </c>
      <c r="F5" t="s">
        <v>268</v>
      </c>
      <c r="H5" t="s">
        <v>33</v>
      </c>
      <c r="I5" t="s">
        <v>34</v>
      </c>
      <c r="J5" t="s">
        <v>38</v>
      </c>
      <c r="K5" t="s">
        <v>36</v>
      </c>
      <c r="L5" t="s">
        <v>36</v>
      </c>
      <c r="M5">
        <v>2017</v>
      </c>
      <c r="N5" t="s">
        <v>37</v>
      </c>
      <c r="O5" t="s">
        <v>41</v>
      </c>
      <c r="P5" t="s">
        <v>42</v>
      </c>
      <c r="R5" t="s">
        <v>43</v>
      </c>
      <c r="S5">
        <v>-12.649976000000001</v>
      </c>
      <c r="T5">
        <v>28.041173000000001</v>
      </c>
      <c r="U5" t="s">
        <v>61</v>
      </c>
      <c r="V5" t="s">
        <v>62</v>
      </c>
      <c r="W5" t="s">
        <v>46</v>
      </c>
      <c r="X5" t="s">
        <v>63</v>
      </c>
      <c r="Y5" t="s">
        <v>64</v>
      </c>
      <c r="Z5" t="s">
        <v>65</v>
      </c>
      <c r="AA5" t="s">
        <v>53</v>
      </c>
      <c r="AB5" s="2">
        <v>8000</v>
      </c>
      <c r="AC5" t="s">
        <v>232</v>
      </c>
      <c r="AD5">
        <f>IF(ISBLANK(AB5), "", AB5*Parameter!$H$3)</f>
        <v>6400</v>
      </c>
      <c r="AE5">
        <f>IF(J5="Concentrate",Parameter!$C$23,IF(Calib3!J5="Ore and concentrate",Parameter!$C$21,IF(F5="Smelter",Parameter!$C$10,IF(F5="Refinary",Parameter!$C$12,Parameter!$C$15))))</f>
        <v>12.466000000000001</v>
      </c>
      <c r="AF5">
        <f>IF(J5="Concentrate",Parameter!$C$24,IF(Calib3!J5="Ore and concentrate",Parameter!$C$22,IF(F5="Smelter",Parameter!$C$11,IF(F5="Refinary",Parameter!$C$13,Parameter!$C$16))))</f>
        <v>1.518</v>
      </c>
      <c r="AG5">
        <f t="shared" si="0"/>
        <v>79.78240000000001</v>
      </c>
      <c r="AH5">
        <f t="shared" si="1"/>
        <v>9.7152000000000012</v>
      </c>
      <c r="AI5" t="s">
        <v>103</v>
      </c>
      <c r="AJ5" t="s">
        <v>103</v>
      </c>
      <c r="AK5" s="1">
        <v>66005</v>
      </c>
      <c r="AL5" s="1">
        <v>40163</v>
      </c>
    </row>
    <row r="6" spans="1:42" s="3" customFormat="1" x14ac:dyDescent="0.35">
      <c r="A6" s="3">
        <v>2206</v>
      </c>
      <c r="B6" s="3" t="s">
        <v>54</v>
      </c>
      <c r="C6" s="3" t="s">
        <v>43</v>
      </c>
      <c r="D6" s="3" t="s">
        <v>27</v>
      </c>
      <c r="E6" s="3" t="s">
        <v>57</v>
      </c>
      <c r="F6" t="s">
        <v>268</v>
      </c>
      <c r="G6"/>
      <c r="H6" s="3" t="s">
        <v>33</v>
      </c>
      <c r="I6" s="3" t="s">
        <v>34</v>
      </c>
      <c r="J6" s="3" t="s">
        <v>38</v>
      </c>
      <c r="K6" s="3" t="s">
        <v>36</v>
      </c>
      <c r="L6" s="3" t="s">
        <v>36</v>
      </c>
      <c r="M6" s="3">
        <v>2017</v>
      </c>
      <c r="N6" s="3" t="s">
        <v>37</v>
      </c>
      <c r="O6" s="3" t="s">
        <v>41</v>
      </c>
      <c r="P6" s="3" t="s">
        <v>59</v>
      </c>
      <c r="R6" s="3" t="s">
        <v>66</v>
      </c>
      <c r="S6" s="3">
        <v>-12.649976000000001</v>
      </c>
      <c r="T6" s="3">
        <v>28.041173000000001</v>
      </c>
      <c r="U6" s="3" t="s">
        <v>61</v>
      </c>
      <c r="V6" s="3" t="s">
        <v>50</v>
      </c>
      <c r="W6" s="3" t="s">
        <v>46</v>
      </c>
      <c r="X6" s="3" t="s">
        <v>67</v>
      </c>
      <c r="Y6" s="3" t="s">
        <v>68</v>
      </c>
      <c r="Z6" s="3" t="s">
        <v>69</v>
      </c>
      <c r="AA6" s="3" t="s">
        <v>53</v>
      </c>
      <c r="AB6" s="4">
        <v>27000</v>
      </c>
      <c r="AC6" s="3" t="s">
        <v>232</v>
      </c>
      <c r="AD6">
        <f>IF(ISBLANK(AB6), "", AB6*Parameter!$H$3)</f>
        <v>21600</v>
      </c>
      <c r="AE6">
        <f>IF(J6="Concentrate",Parameter!$C$23,IF(Calib3!J6="Ore and concentrate",Parameter!$C$21,IF(F6="Smelter",Parameter!$C$10,IF(F6="Refinary",Parameter!$C$12,Parameter!$C$15))))</f>
        <v>12.466000000000001</v>
      </c>
      <c r="AF6">
        <f>IF(J6="Concentrate",Parameter!$C$24,IF(Calib3!J6="Ore and concentrate",Parameter!$C$22,IF(F6="Smelter",Parameter!$C$11,IF(F6="Refinary",Parameter!$C$13,Parameter!$C$16))))</f>
        <v>1.518</v>
      </c>
      <c r="AG6">
        <f t="shared" si="0"/>
        <v>269.26560000000006</v>
      </c>
      <c r="AH6">
        <f t="shared" si="1"/>
        <v>32.788800000000002</v>
      </c>
    </row>
    <row r="7" spans="1:42" x14ac:dyDescent="0.35">
      <c r="A7">
        <v>2207</v>
      </c>
      <c r="B7" t="s">
        <v>54</v>
      </c>
      <c r="C7" t="s">
        <v>43</v>
      </c>
      <c r="D7" t="s">
        <v>27</v>
      </c>
      <c r="E7" t="s">
        <v>58</v>
      </c>
      <c r="F7" t="s">
        <v>257</v>
      </c>
      <c r="H7" t="s">
        <v>33</v>
      </c>
      <c r="I7" t="s">
        <v>34</v>
      </c>
      <c r="J7" t="s">
        <v>38</v>
      </c>
      <c r="K7" t="s">
        <v>36</v>
      </c>
      <c r="L7" t="s">
        <v>36</v>
      </c>
      <c r="M7">
        <v>2017</v>
      </c>
      <c r="N7" t="s">
        <v>37</v>
      </c>
      <c r="O7" t="s">
        <v>41</v>
      </c>
      <c r="P7" t="s">
        <v>60</v>
      </c>
      <c r="R7" t="s">
        <v>43</v>
      </c>
      <c r="S7">
        <v>-12.649976000000001</v>
      </c>
      <c r="T7">
        <v>28.041173000000001</v>
      </c>
      <c r="U7" t="s">
        <v>61</v>
      </c>
      <c r="V7" t="s">
        <v>50</v>
      </c>
      <c r="W7" t="s">
        <v>46</v>
      </c>
      <c r="X7" t="s">
        <v>70</v>
      </c>
      <c r="Y7" t="s">
        <v>71</v>
      </c>
      <c r="Z7" t="s">
        <v>72</v>
      </c>
      <c r="AA7" t="s">
        <v>53</v>
      </c>
      <c r="AB7" s="2">
        <v>250000</v>
      </c>
      <c r="AC7" t="s">
        <v>232</v>
      </c>
      <c r="AD7">
        <f>IF(ISBLANK(AB7), "", AB7*Parameter!$H$3)</f>
        <v>200000</v>
      </c>
      <c r="AE7">
        <f>IF(J7="Concentrate",Parameter!$C$23,IF(Calib3!J7="Ore and concentrate",Parameter!$C$21,IF(F7="Smelter",Parameter!$C$10,IF(F7="Refinary",Parameter!$C$12,Parameter!$C$15))))</f>
        <v>9.266</v>
      </c>
      <c r="AF7">
        <f>IF(J7="Concentrate",Parameter!$C$24,IF(Calib3!J7="Ore and concentrate",Parameter!$C$22,IF(F7="Smelter",Parameter!$C$11,IF(F7="Refinary",Parameter!$C$13,Parameter!$C$16))))</f>
        <v>1.518</v>
      </c>
      <c r="AG7">
        <f t="shared" si="0"/>
        <v>1853.2</v>
      </c>
      <c r="AH7">
        <f t="shared" si="1"/>
        <v>303.60000000000002</v>
      </c>
      <c r="AK7" s="5" t="s">
        <v>103</v>
      </c>
      <c r="AL7" s="5" t="s">
        <v>103</v>
      </c>
    </row>
    <row r="8" spans="1:42" hidden="1" x14ac:dyDescent="0.35">
      <c r="A8">
        <v>2209</v>
      </c>
      <c r="B8" t="s">
        <v>73</v>
      </c>
      <c r="C8" t="s">
        <v>74</v>
      </c>
      <c r="D8" t="s">
        <v>27</v>
      </c>
      <c r="E8" t="s">
        <v>75</v>
      </c>
      <c r="H8" t="s">
        <v>29</v>
      </c>
      <c r="I8" t="s">
        <v>34</v>
      </c>
      <c r="J8" t="s">
        <v>82</v>
      </c>
      <c r="K8" t="s">
        <v>36</v>
      </c>
      <c r="L8" t="s">
        <v>36</v>
      </c>
      <c r="M8">
        <v>2017</v>
      </c>
      <c r="N8" t="s">
        <v>37</v>
      </c>
      <c r="O8" t="s">
        <v>41</v>
      </c>
      <c r="P8" s="12" t="s">
        <v>83</v>
      </c>
      <c r="Q8" s="2">
        <f>Parameter!$H$1/Parameter!$H$2*Calib3!AD8</f>
        <v>35464</v>
      </c>
      <c r="R8" t="s">
        <v>85</v>
      </c>
      <c r="S8">
        <v>-12.658916</v>
      </c>
      <c r="T8">
        <v>28.047927000000001</v>
      </c>
      <c r="U8" t="s">
        <v>61</v>
      </c>
      <c r="V8" t="s">
        <v>45</v>
      </c>
      <c r="W8" t="s">
        <v>46</v>
      </c>
      <c r="X8" t="s">
        <v>86</v>
      </c>
      <c r="Y8" t="s">
        <v>87</v>
      </c>
      <c r="Z8" t="s">
        <v>88</v>
      </c>
      <c r="AA8" t="s">
        <v>53</v>
      </c>
      <c r="AB8" s="2">
        <v>2145000</v>
      </c>
      <c r="AC8" t="s">
        <v>232</v>
      </c>
      <c r="AD8">
        <f>IF(ISBLANK(AB8), "", AB8*Parameter!$H$3)</f>
        <v>1716000</v>
      </c>
      <c r="AE8">
        <f>IF(J8="Concentrate",Parameter!$C$23,IF(Calib3!J8="Ore and concentrate",Parameter!$C$21,IF(F8="Smelter",Parameter!$C$10,IF(F8="Refinary",Parameter!$C$12,Parameter!$C$15))))</f>
        <v>7.2849999999999998E-2</v>
      </c>
      <c r="AF8">
        <f>IF(J8="Concentrate",Parameter!$C$24,IF(Calib3!J8="Ore and concentrate",Parameter!$C$22,IF(F8="Smelter",Parameter!$C$11,IF(F8="Refinary",Parameter!$C$13,Parameter!$C$16))))</f>
        <v>1.333E-2</v>
      </c>
      <c r="AG8">
        <f t="shared" si="0"/>
        <v>125.0106</v>
      </c>
      <c r="AH8">
        <f t="shared" si="1"/>
        <v>22.874279999999999</v>
      </c>
      <c r="AK8" t="s">
        <v>234</v>
      </c>
      <c r="AL8" t="s">
        <v>234</v>
      </c>
    </row>
    <row r="9" spans="1:42" hidden="1" x14ac:dyDescent="0.35">
      <c r="A9">
        <v>2210</v>
      </c>
      <c r="B9" t="s">
        <v>76</v>
      </c>
      <c r="C9" t="s">
        <v>77</v>
      </c>
      <c r="D9" t="s">
        <v>27</v>
      </c>
      <c r="E9" t="s">
        <v>78</v>
      </c>
      <c r="H9" t="s">
        <v>29</v>
      </c>
      <c r="I9" t="s">
        <v>34</v>
      </c>
      <c r="J9" t="s">
        <v>82</v>
      </c>
      <c r="K9" t="s">
        <v>36</v>
      </c>
      <c r="L9" t="s">
        <v>36</v>
      </c>
      <c r="M9">
        <v>2017</v>
      </c>
      <c r="N9" t="s">
        <v>37</v>
      </c>
      <c r="O9" t="s">
        <v>41</v>
      </c>
      <c r="P9" t="s">
        <v>43</v>
      </c>
      <c r="R9" t="s">
        <v>89</v>
      </c>
      <c r="S9">
        <v>-12.657999999999999</v>
      </c>
      <c r="T9">
        <v>28.103000000000002</v>
      </c>
      <c r="U9" t="s">
        <v>44</v>
      </c>
      <c r="V9" t="s">
        <v>45</v>
      </c>
      <c r="W9" t="s">
        <v>46</v>
      </c>
      <c r="X9" t="s">
        <v>86</v>
      </c>
      <c r="Y9" t="s">
        <v>87</v>
      </c>
      <c r="Z9" t="s">
        <v>88</v>
      </c>
      <c r="AA9" t="s">
        <v>53</v>
      </c>
      <c r="AB9" s="2">
        <v>990000</v>
      </c>
      <c r="AC9" t="s">
        <v>232</v>
      </c>
      <c r="AD9">
        <f>IF(ISBLANK(AB9), "", AB9*Parameter!$H$3)</f>
        <v>792000</v>
      </c>
      <c r="AE9">
        <f>IF(J9="Concentrate",Parameter!$C$23,IF(Calib3!J9="Ore and concentrate",Parameter!$C$21,IF(F9="Smelter",Parameter!$C$10,IF(F9="Refinary",Parameter!$C$12,Parameter!$C$15))))</f>
        <v>7.2849999999999998E-2</v>
      </c>
      <c r="AF9">
        <f>IF(J9="Concentrate",Parameter!$C$24,IF(Calib3!J9="Ore and concentrate",Parameter!$C$22,IF(F9="Smelter",Parameter!$C$11,IF(F9="Refinary",Parameter!$C$13,Parameter!$C$16))))</f>
        <v>1.333E-2</v>
      </c>
      <c r="AG9">
        <f t="shared" si="0"/>
        <v>57.697199999999995</v>
      </c>
      <c r="AH9">
        <f t="shared" si="1"/>
        <v>10.557360000000001</v>
      </c>
      <c r="AK9" s="5" t="s">
        <v>103</v>
      </c>
      <c r="AL9" s="5" t="s">
        <v>103</v>
      </c>
      <c r="AM9" s="2">
        <v>450000</v>
      </c>
      <c r="AN9" t="s">
        <v>236</v>
      </c>
      <c r="AO9" s="2">
        <v>8400</v>
      </c>
      <c r="AP9" t="s">
        <v>236</v>
      </c>
    </row>
    <row r="10" spans="1:42" hidden="1" x14ac:dyDescent="0.35">
      <c r="A10">
        <v>2211</v>
      </c>
      <c r="B10" t="s">
        <v>79</v>
      </c>
      <c r="C10" t="s">
        <v>80</v>
      </c>
      <c r="D10" t="s">
        <v>27</v>
      </c>
      <c r="E10" t="s">
        <v>81</v>
      </c>
      <c r="H10" t="s">
        <v>29</v>
      </c>
      <c r="I10" t="s">
        <v>34</v>
      </c>
      <c r="J10" t="s">
        <v>82</v>
      </c>
      <c r="K10" t="s">
        <v>36</v>
      </c>
      <c r="L10" t="s">
        <v>36</v>
      </c>
      <c r="M10">
        <v>2017</v>
      </c>
      <c r="N10" t="s">
        <v>37</v>
      </c>
      <c r="O10" t="s">
        <v>41</v>
      </c>
      <c r="P10" t="s">
        <v>84</v>
      </c>
      <c r="R10" t="s">
        <v>90</v>
      </c>
      <c r="S10">
        <v>-12.913955</v>
      </c>
      <c r="T10">
        <v>28.079191000000002</v>
      </c>
      <c r="U10" t="s">
        <v>44</v>
      </c>
      <c r="V10" t="s">
        <v>45</v>
      </c>
      <c r="W10" t="s">
        <v>46</v>
      </c>
      <c r="X10" t="s">
        <v>67</v>
      </c>
      <c r="Y10" t="s">
        <v>91</v>
      </c>
      <c r="Z10" t="s">
        <v>88</v>
      </c>
      <c r="AA10" t="s">
        <v>53</v>
      </c>
      <c r="AB10" s="2">
        <v>600000</v>
      </c>
      <c r="AC10" t="s">
        <v>232</v>
      </c>
      <c r="AD10">
        <f>IF(ISBLANK(AB10), "", AB10*Parameter!$H$3)</f>
        <v>480000</v>
      </c>
      <c r="AE10">
        <f>IF(J10="Concentrate",Parameter!$C$23,IF(Calib3!J10="Ore and concentrate",Parameter!$C$21,IF(F10="Smelter",Parameter!$C$10,IF(F10="Refinary",Parameter!$C$12,Parameter!$C$15))))</f>
        <v>7.2849999999999998E-2</v>
      </c>
      <c r="AF10">
        <f>IF(J10="Concentrate",Parameter!$C$24,IF(Calib3!J10="Ore and concentrate",Parameter!$C$22,IF(F10="Smelter",Parameter!$C$11,IF(F10="Refinary",Parameter!$C$13,Parameter!$C$16))))</f>
        <v>1.333E-2</v>
      </c>
      <c r="AG10">
        <f t="shared" si="0"/>
        <v>34.968000000000004</v>
      </c>
      <c r="AH10">
        <f t="shared" si="1"/>
        <v>6.3983999999999996</v>
      </c>
      <c r="AI10" s="2">
        <v>188916</v>
      </c>
      <c r="AJ10" t="s">
        <v>103</v>
      </c>
      <c r="AK10" s="1">
        <v>3051</v>
      </c>
      <c r="AL10" s="1">
        <v>8023</v>
      </c>
      <c r="AO10" s="2">
        <v>16500</v>
      </c>
      <c r="AP10" t="s">
        <v>236</v>
      </c>
    </row>
    <row r="11" spans="1:42" hidden="1" x14ac:dyDescent="0.35">
      <c r="A11">
        <v>2214</v>
      </c>
      <c r="B11" t="s">
        <v>92</v>
      </c>
      <c r="C11" t="s">
        <v>93</v>
      </c>
      <c r="D11" t="s">
        <v>27</v>
      </c>
      <c r="E11" t="s">
        <v>94</v>
      </c>
      <c r="G11" t="s">
        <v>284</v>
      </c>
      <c r="H11" t="s">
        <v>29</v>
      </c>
      <c r="I11" t="s">
        <v>34</v>
      </c>
      <c r="J11" t="s">
        <v>82</v>
      </c>
      <c r="K11" t="s">
        <v>36</v>
      </c>
      <c r="L11" t="s">
        <v>36</v>
      </c>
      <c r="M11">
        <v>2017</v>
      </c>
      <c r="N11" t="s">
        <v>37</v>
      </c>
      <c r="O11" t="s">
        <v>41</v>
      </c>
      <c r="P11" s="13" t="s">
        <v>95</v>
      </c>
      <c r="R11" t="s">
        <v>96</v>
      </c>
      <c r="S11">
        <v>-12.509245</v>
      </c>
      <c r="T11">
        <v>27.909251999999999</v>
      </c>
      <c r="U11" t="s">
        <v>44</v>
      </c>
      <c r="V11" t="s">
        <v>45</v>
      </c>
      <c r="W11" t="s">
        <v>46</v>
      </c>
      <c r="X11" t="s">
        <v>97</v>
      </c>
      <c r="Y11" t="s">
        <v>98</v>
      </c>
      <c r="Z11" t="s">
        <v>99</v>
      </c>
      <c r="AA11" t="s">
        <v>53</v>
      </c>
      <c r="AB11" s="2">
        <v>4500000</v>
      </c>
      <c r="AC11" t="s">
        <v>232</v>
      </c>
      <c r="AD11">
        <f>IF(ISBLANK(AB11), "", AB11*Parameter!$H$3)/2</f>
        <v>1800000</v>
      </c>
      <c r="AE11">
        <f>IF(J11="Concentrate",Parameter!$C$23,IF(Calib3!J11="Ore and concentrate",Parameter!$C$21,IF(F11="Smelter",Parameter!$C$10,IF(F11="Refinary",Parameter!$C$12,Parameter!$C$15))))</f>
        <v>7.2849999999999998E-2</v>
      </c>
      <c r="AF11">
        <f>IF(J11="Concentrate",Parameter!$C$24,IF(Calib3!J11="Ore and concentrate",Parameter!$C$22,IF(F11="Smelter",Parameter!$C$11,IF(F11="Refinary",Parameter!$C$13,Parameter!$C$16))))</f>
        <v>1.333E-2</v>
      </c>
      <c r="AG11">
        <f t="shared" si="0"/>
        <v>131.13</v>
      </c>
      <c r="AH11">
        <f t="shared" si="1"/>
        <v>23.994</v>
      </c>
    </row>
    <row r="12" spans="1:42" hidden="1" x14ac:dyDescent="0.35">
      <c r="A12">
        <v>2223</v>
      </c>
      <c r="B12" t="s">
        <v>100</v>
      </c>
      <c r="C12" t="s">
        <v>101</v>
      </c>
      <c r="D12" t="s">
        <v>27</v>
      </c>
      <c r="E12" t="s">
        <v>102</v>
      </c>
      <c r="G12" t="s">
        <v>284</v>
      </c>
      <c r="H12" t="s">
        <v>29</v>
      </c>
      <c r="I12" t="s">
        <v>34</v>
      </c>
      <c r="J12" t="s">
        <v>82</v>
      </c>
      <c r="K12" t="s">
        <v>36</v>
      </c>
      <c r="L12" t="s">
        <v>36</v>
      </c>
      <c r="M12">
        <v>2017</v>
      </c>
      <c r="N12" t="s">
        <v>103</v>
      </c>
      <c r="O12" t="s">
        <v>41</v>
      </c>
      <c r="P12" t="s">
        <v>43</v>
      </c>
      <c r="R12" t="s">
        <v>96</v>
      </c>
      <c r="S12">
        <v>-12.407088999999999</v>
      </c>
      <c r="T12">
        <v>27.880268999999998</v>
      </c>
      <c r="U12" t="s">
        <v>61</v>
      </c>
      <c r="V12" t="s">
        <v>50</v>
      </c>
      <c r="W12" t="s">
        <v>46</v>
      </c>
      <c r="X12" t="s">
        <v>97</v>
      </c>
      <c r="Y12" t="s">
        <v>98</v>
      </c>
      <c r="Z12" t="s">
        <v>99</v>
      </c>
      <c r="AA12" t="s">
        <v>53</v>
      </c>
      <c r="AB12" s="2"/>
      <c r="AC12" t="s">
        <v>232</v>
      </c>
      <c r="AD12" t="str">
        <f>IF(ISBLANK(AB12), "", AB12*Parameter!$H$3)</f>
        <v/>
      </c>
      <c r="AE12">
        <f>IF(J12="Concentrate",Parameter!$C$23,IF(Calib3!J12="Ore and concentrate",Parameter!$C$21,IF(F12="Smelter",Parameter!$C$10,IF(F12="Refinary",Parameter!$C$12,Parameter!$C$15))))</f>
        <v>7.2849999999999998E-2</v>
      </c>
      <c r="AF12">
        <f>IF(J12="Concentrate",Parameter!$C$24,IF(Calib3!J12="Ore and concentrate",Parameter!$C$22,IF(F12="Smelter",Parameter!$C$11,IF(F12="Refinary",Parameter!$C$13,Parameter!$C$16))))</f>
        <v>1.333E-2</v>
      </c>
      <c r="AG12" t="str">
        <f t="shared" si="0"/>
        <v/>
      </c>
      <c r="AH12" t="str">
        <f t="shared" si="1"/>
        <v/>
      </c>
    </row>
    <row r="13" spans="1:42" hidden="1" x14ac:dyDescent="0.35">
      <c r="A13">
        <v>2228</v>
      </c>
      <c r="B13" t="s">
        <v>104</v>
      </c>
      <c r="C13" t="s">
        <v>105</v>
      </c>
      <c r="D13" t="s">
        <v>27</v>
      </c>
      <c r="E13" t="s">
        <v>106</v>
      </c>
      <c r="H13" t="s">
        <v>29</v>
      </c>
      <c r="I13" t="s">
        <v>34</v>
      </c>
      <c r="J13" t="s">
        <v>82</v>
      </c>
      <c r="K13" t="s">
        <v>36</v>
      </c>
      <c r="L13" t="s">
        <v>36</v>
      </c>
      <c r="M13">
        <v>2017</v>
      </c>
      <c r="N13" t="s">
        <v>37</v>
      </c>
      <c r="O13" t="s">
        <v>41</v>
      </c>
      <c r="P13" s="12" t="s">
        <v>107</v>
      </c>
      <c r="Q13" s="2">
        <f>Calib3!AD13</f>
        <v>9600000</v>
      </c>
      <c r="R13" t="s">
        <v>108</v>
      </c>
      <c r="S13">
        <v>-12.093786</v>
      </c>
      <c r="T13">
        <v>26.429832999999999</v>
      </c>
      <c r="U13" t="s">
        <v>61</v>
      </c>
      <c r="V13" t="s">
        <v>50</v>
      </c>
      <c r="W13" t="s">
        <v>46</v>
      </c>
      <c r="X13" t="s">
        <v>109</v>
      </c>
      <c r="Y13" t="s">
        <v>110</v>
      </c>
      <c r="Z13" t="s">
        <v>49</v>
      </c>
      <c r="AA13" t="s">
        <v>111</v>
      </c>
      <c r="AB13" s="2">
        <v>12000000</v>
      </c>
      <c r="AC13" t="s">
        <v>232</v>
      </c>
      <c r="AD13">
        <f>IF(ISBLANK(AB13), "", AB13*Parameter!$H$3)</f>
        <v>9600000</v>
      </c>
      <c r="AE13">
        <f>IF(J13="Concentrate",Parameter!$C$23,IF(Calib3!J13="Ore and concentrate",Parameter!$C$21,IF(F13="Smelter",Parameter!$C$10,IF(F13="Refinary",Parameter!$C$12,Parameter!$C$15))))</f>
        <v>7.2849999999999998E-2</v>
      </c>
      <c r="AF13">
        <f>IF(J13="Concentrate",Parameter!$C$24,IF(Calib3!J13="Ore and concentrate",Parameter!$C$22,IF(F13="Smelter",Parameter!$C$11,IF(F13="Refinary",Parameter!$C$13,Parameter!$C$16))))</f>
        <v>1.333E-2</v>
      </c>
      <c r="AG13">
        <f t="shared" si="0"/>
        <v>699.36</v>
      </c>
      <c r="AH13">
        <f t="shared" si="1"/>
        <v>127.968</v>
      </c>
      <c r="AI13" s="2">
        <v>28151000</v>
      </c>
      <c r="AJ13" s="2">
        <v>29134000</v>
      </c>
      <c r="AK13" s="1">
        <v>202159</v>
      </c>
      <c r="AL13" s="1">
        <v>221487</v>
      </c>
    </row>
    <row r="14" spans="1:42" x14ac:dyDescent="0.35">
      <c r="A14">
        <v>2230</v>
      </c>
      <c r="B14" t="s">
        <v>112</v>
      </c>
      <c r="C14" t="s">
        <v>113</v>
      </c>
      <c r="D14" t="s">
        <v>27</v>
      </c>
      <c r="E14" t="s">
        <v>114</v>
      </c>
      <c r="F14" t="s">
        <v>257</v>
      </c>
      <c r="H14" t="s">
        <v>33</v>
      </c>
      <c r="I14" t="s">
        <v>34</v>
      </c>
      <c r="J14" t="s">
        <v>38</v>
      </c>
      <c r="K14" t="s">
        <v>36</v>
      </c>
      <c r="L14" t="s">
        <v>36</v>
      </c>
      <c r="M14">
        <v>2017</v>
      </c>
      <c r="N14" t="s">
        <v>37</v>
      </c>
      <c r="O14" t="s">
        <v>41</v>
      </c>
      <c r="P14" t="s">
        <v>42</v>
      </c>
      <c r="R14" t="s">
        <v>115</v>
      </c>
      <c r="S14">
        <v>-12.088361000000001</v>
      </c>
      <c r="T14">
        <v>26.408977</v>
      </c>
      <c r="U14" t="s">
        <v>61</v>
      </c>
      <c r="V14" t="s">
        <v>50</v>
      </c>
      <c r="W14" t="s">
        <v>46</v>
      </c>
      <c r="X14" t="s">
        <v>109</v>
      </c>
      <c r="Y14" t="s">
        <v>110</v>
      </c>
      <c r="Z14" t="s">
        <v>49</v>
      </c>
      <c r="AA14" t="s">
        <v>111</v>
      </c>
      <c r="AB14" s="2">
        <v>340000</v>
      </c>
      <c r="AC14" t="s">
        <v>232</v>
      </c>
      <c r="AD14">
        <f>IF(ISBLANK(AB14), "", AB14*Parameter!$H$3)</f>
        <v>272000</v>
      </c>
      <c r="AE14">
        <f>IF(J14="Concentrate",Parameter!$C$23,IF(Calib3!J14="Ore and concentrate",Parameter!$C$21,IF(F14="Smelter",Parameter!$C$10,IF(F14="Refinary",Parameter!$C$12,Parameter!$C$15))))</f>
        <v>9.266</v>
      </c>
      <c r="AF14">
        <f>IF(J14="Concentrate",Parameter!$C$24,IF(Calib3!J14="Ore and concentrate",Parameter!$C$22,IF(F14="Smelter",Parameter!$C$11,IF(F14="Refinary",Parameter!$C$13,Parameter!$C$16))))</f>
        <v>1.518</v>
      </c>
      <c r="AG14">
        <f t="shared" si="0"/>
        <v>2520.3519999999999</v>
      </c>
      <c r="AH14">
        <f t="shared" si="1"/>
        <v>412.89600000000002</v>
      </c>
    </row>
    <row r="15" spans="1:42" hidden="1" x14ac:dyDescent="0.35">
      <c r="A15">
        <v>2234</v>
      </c>
      <c r="B15" t="s">
        <v>116</v>
      </c>
      <c r="C15" t="s">
        <v>117</v>
      </c>
      <c r="D15" t="s">
        <v>27</v>
      </c>
      <c r="E15" t="s">
        <v>118</v>
      </c>
      <c r="H15" t="s">
        <v>29</v>
      </c>
      <c r="I15" t="s">
        <v>34</v>
      </c>
      <c r="J15" t="s">
        <v>82</v>
      </c>
      <c r="K15" t="s">
        <v>36</v>
      </c>
      <c r="L15" t="s">
        <v>36</v>
      </c>
      <c r="M15">
        <v>2017</v>
      </c>
      <c r="N15" t="s">
        <v>37</v>
      </c>
      <c r="O15" t="s">
        <v>41</v>
      </c>
      <c r="P15" t="s">
        <v>43</v>
      </c>
      <c r="R15" t="s">
        <v>132</v>
      </c>
      <c r="S15">
        <v>-12.378788999999999</v>
      </c>
      <c r="T15">
        <v>27.826968000000001</v>
      </c>
      <c r="U15" t="s">
        <v>61</v>
      </c>
      <c r="V15" t="s">
        <v>133</v>
      </c>
      <c r="W15" t="s">
        <v>46</v>
      </c>
      <c r="X15" t="s">
        <v>97</v>
      </c>
      <c r="Y15" t="s">
        <v>98</v>
      </c>
      <c r="Z15" t="s">
        <v>99</v>
      </c>
      <c r="AA15" t="s">
        <v>53</v>
      </c>
      <c r="AB15" s="2">
        <v>2400000</v>
      </c>
      <c r="AC15" t="s">
        <v>232</v>
      </c>
      <c r="AD15">
        <f>IF(ISBLANK(AB15), "", AB15*Parameter!$H$3)</f>
        <v>1920000</v>
      </c>
      <c r="AE15">
        <f>IF(J15="Concentrate",Parameter!$C$23,IF(Calib3!J15="Ore and concentrate",Parameter!$C$21,IF(F15="Smelter",Parameter!$C$10,IF(F15="Refinary",Parameter!$C$12,Parameter!$C$15))))</f>
        <v>7.2849999999999998E-2</v>
      </c>
      <c r="AF15">
        <f>IF(J15="Concentrate",Parameter!$C$24,IF(Calib3!J15="Ore and concentrate",Parameter!$C$22,IF(F15="Smelter",Parameter!$C$11,IF(F15="Refinary",Parameter!$C$13,Parameter!$C$16))))</f>
        <v>1.333E-2</v>
      </c>
      <c r="AG15">
        <f t="shared" si="0"/>
        <v>139.87200000000001</v>
      </c>
      <c r="AH15">
        <f t="shared" si="1"/>
        <v>25.593599999999999</v>
      </c>
      <c r="AM15" s="2">
        <v>50000</v>
      </c>
      <c r="AN15" s="2"/>
      <c r="AO15" s="2">
        <v>220000</v>
      </c>
    </row>
    <row r="16" spans="1:42" hidden="1" x14ac:dyDescent="0.35">
      <c r="A16">
        <v>2235</v>
      </c>
      <c r="B16" t="s">
        <v>119</v>
      </c>
      <c r="C16" t="s">
        <v>43</v>
      </c>
      <c r="D16" t="s">
        <v>27</v>
      </c>
      <c r="E16" t="s">
        <v>120</v>
      </c>
      <c r="G16" t="s">
        <v>281</v>
      </c>
      <c r="H16" t="s">
        <v>29</v>
      </c>
      <c r="I16" t="s">
        <v>34</v>
      </c>
      <c r="J16" t="s">
        <v>82</v>
      </c>
      <c r="K16" t="s">
        <v>129</v>
      </c>
      <c r="L16" t="s">
        <v>129</v>
      </c>
      <c r="M16">
        <v>2017</v>
      </c>
      <c r="N16" t="s">
        <v>37</v>
      </c>
      <c r="O16" t="s">
        <v>41</v>
      </c>
      <c r="P16" s="12" t="s">
        <v>130</v>
      </c>
      <c r="Q16" s="2">
        <f>Parameter!$H$1/Parameter!$H$2*Calib3!AD16</f>
        <v>8266.6666666666661</v>
      </c>
      <c r="R16" t="s">
        <v>134</v>
      </c>
      <c r="S16">
        <v>-13.068863</v>
      </c>
      <c r="T16">
        <v>28.322908999999999</v>
      </c>
      <c r="U16" t="s">
        <v>61</v>
      </c>
      <c r="V16" t="s">
        <v>133</v>
      </c>
      <c r="W16" t="s">
        <v>46</v>
      </c>
      <c r="X16" t="s">
        <v>47</v>
      </c>
      <c r="Y16" t="s">
        <v>48</v>
      </c>
      <c r="Z16" t="s">
        <v>49</v>
      </c>
      <c r="AA16" t="s">
        <v>53</v>
      </c>
      <c r="AB16" s="2">
        <v>500000</v>
      </c>
      <c r="AC16" t="s">
        <v>232</v>
      </c>
      <c r="AD16">
        <f>IF(ISBLANK(AB16), "", AB16*Parameter!$H$3)</f>
        <v>400000</v>
      </c>
      <c r="AE16">
        <f>IF(J16="Concentrate",Parameter!$C$23,IF(Calib3!J16="Ore and concentrate",Parameter!$C$21,IF(F16="Smelter",Parameter!$C$10,IF(F16="Refinary",Parameter!$C$12,Parameter!$C$15))))</f>
        <v>7.2849999999999998E-2</v>
      </c>
      <c r="AF16">
        <f>IF(J16="Concentrate",Parameter!$C$24,IF(Calib3!J16="Ore and concentrate",Parameter!$C$22,IF(F16="Smelter",Parameter!$C$11,IF(F16="Refinary",Parameter!$C$13,Parameter!$C$16))))</f>
        <v>1.333E-2</v>
      </c>
      <c r="AG16">
        <f t="shared" si="0"/>
        <v>29.14</v>
      </c>
      <c r="AH16">
        <f t="shared" si="1"/>
        <v>5.3319999999999999</v>
      </c>
    </row>
    <row r="17" spans="1:42" hidden="1" x14ac:dyDescent="0.35">
      <c r="A17">
        <v>2236</v>
      </c>
      <c r="B17" t="s">
        <v>119</v>
      </c>
      <c r="C17" t="s">
        <v>121</v>
      </c>
      <c r="D17" t="s">
        <v>27</v>
      </c>
      <c r="E17" t="s">
        <v>122</v>
      </c>
      <c r="H17" t="s">
        <v>29</v>
      </c>
      <c r="I17" t="s">
        <v>34</v>
      </c>
      <c r="J17" t="s">
        <v>82</v>
      </c>
      <c r="K17" t="s">
        <v>36</v>
      </c>
      <c r="L17" t="s">
        <v>36</v>
      </c>
      <c r="M17">
        <v>2017</v>
      </c>
      <c r="N17" t="s">
        <v>37</v>
      </c>
      <c r="O17" t="s">
        <v>41</v>
      </c>
      <c r="P17" t="s">
        <v>43</v>
      </c>
      <c r="R17" t="s">
        <v>134</v>
      </c>
      <c r="S17">
        <v>-13.068863</v>
      </c>
      <c r="T17">
        <v>28.322908999999999</v>
      </c>
      <c r="U17" t="s">
        <v>61</v>
      </c>
      <c r="V17" t="s">
        <v>133</v>
      </c>
      <c r="W17" t="s">
        <v>46</v>
      </c>
      <c r="X17" t="s">
        <v>47</v>
      </c>
      <c r="Y17" t="s">
        <v>48</v>
      </c>
      <c r="Z17" t="s">
        <v>49</v>
      </c>
      <c r="AA17" t="s">
        <v>53</v>
      </c>
      <c r="AB17" s="2">
        <v>4500000</v>
      </c>
      <c r="AC17" t="s">
        <v>232</v>
      </c>
      <c r="AD17">
        <f>IF(ISBLANK(AB17), "", AB17*Parameter!$H$3)</f>
        <v>3600000</v>
      </c>
      <c r="AE17">
        <f>IF(J17="Concentrate",Parameter!$C$23,IF(Calib3!J17="Ore and concentrate",Parameter!$C$21,IF(F17="Smelter",Parameter!$C$10,IF(F17="Refinary",Parameter!$C$12,Parameter!$C$15))))</f>
        <v>7.2849999999999998E-2</v>
      </c>
      <c r="AF17">
        <f>IF(J17="Concentrate",Parameter!$C$24,IF(Calib3!J17="Ore and concentrate",Parameter!$C$22,IF(F17="Smelter",Parameter!$C$11,IF(F17="Refinary",Parameter!$C$13,Parameter!$C$16))))</f>
        <v>1.333E-2</v>
      </c>
      <c r="AG17">
        <f t="shared" si="0"/>
        <v>262.26</v>
      </c>
      <c r="AH17">
        <f t="shared" si="1"/>
        <v>47.988</v>
      </c>
    </row>
    <row r="18" spans="1:42" hidden="1" x14ac:dyDescent="0.35">
      <c r="A18">
        <v>2237</v>
      </c>
      <c r="B18" t="s">
        <v>123</v>
      </c>
      <c r="C18" t="s">
        <v>124</v>
      </c>
      <c r="D18" t="s">
        <v>27</v>
      </c>
      <c r="E18" t="s">
        <v>125</v>
      </c>
      <c r="H18" t="s">
        <v>29</v>
      </c>
      <c r="I18" t="s">
        <v>34</v>
      </c>
      <c r="J18" t="s">
        <v>82</v>
      </c>
      <c r="K18" t="s">
        <v>36</v>
      </c>
      <c r="L18" t="s">
        <v>36</v>
      </c>
      <c r="M18">
        <v>2017</v>
      </c>
      <c r="N18" t="s">
        <v>37</v>
      </c>
      <c r="O18" t="s">
        <v>41</v>
      </c>
      <c r="P18" s="12" t="s">
        <v>131</v>
      </c>
      <c r="Q18" s="2">
        <f>Parameter!$H$1/Parameter!$H$2*Calib3!AD18</f>
        <v>41333.333333333336</v>
      </c>
      <c r="R18" t="s">
        <v>135</v>
      </c>
      <c r="S18">
        <v>-12.294129999999999</v>
      </c>
      <c r="T18">
        <v>27.765612000000001</v>
      </c>
      <c r="U18" t="s">
        <v>61</v>
      </c>
      <c r="V18" t="s">
        <v>50</v>
      </c>
      <c r="W18" t="s">
        <v>46</v>
      </c>
      <c r="X18" t="s">
        <v>136</v>
      </c>
      <c r="Y18" t="s">
        <v>137</v>
      </c>
      <c r="Z18" t="s">
        <v>138</v>
      </c>
      <c r="AA18" t="s">
        <v>53</v>
      </c>
      <c r="AB18" s="2">
        <v>2500000</v>
      </c>
      <c r="AC18" t="s">
        <v>232</v>
      </c>
      <c r="AD18">
        <f>IF(ISBLANK(AB18), "", AB18*Parameter!$H$3)</f>
        <v>2000000</v>
      </c>
      <c r="AE18">
        <f>IF(J18="Concentrate",Parameter!$C$23,IF(Calib3!J18="Ore and concentrate",Parameter!$C$21,IF(F18="Smelter",Parameter!$C$10,IF(F18="Refinary",Parameter!$C$12,Parameter!$C$15))))</f>
        <v>7.2849999999999998E-2</v>
      </c>
      <c r="AF18">
        <f>IF(J18="Concentrate",Parameter!$C$24,IF(Calib3!J18="Ore and concentrate",Parameter!$C$22,IF(F18="Smelter",Parameter!$C$11,IF(F18="Refinary",Parameter!$C$13,Parameter!$C$16))))</f>
        <v>1.333E-2</v>
      </c>
      <c r="AG18">
        <f t="shared" si="0"/>
        <v>145.69999999999999</v>
      </c>
      <c r="AH18">
        <f t="shared" si="1"/>
        <v>26.66</v>
      </c>
      <c r="AI18" s="2">
        <v>2654100</v>
      </c>
      <c r="AJ18" s="2">
        <v>2520000</v>
      </c>
      <c r="AK18" s="1">
        <v>45584</v>
      </c>
      <c r="AL18" s="1">
        <v>43659</v>
      </c>
    </row>
    <row r="19" spans="1:42" hidden="1" x14ac:dyDescent="0.35">
      <c r="A19">
        <v>2238</v>
      </c>
      <c r="B19" t="s">
        <v>126</v>
      </c>
      <c r="C19" t="s">
        <v>127</v>
      </c>
      <c r="D19" t="s">
        <v>27</v>
      </c>
      <c r="E19" t="s">
        <v>128</v>
      </c>
      <c r="G19" t="s">
        <v>285</v>
      </c>
      <c r="H19" t="s">
        <v>29</v>
      </c>
      <c r="I19" t="s">
        <v>34</v>
      </c>
      <c r="J19" t="s">
        <v>82</v>
      </c>
      <c r="K19" t="s">
        <v>36</v>
      </c>
      <c r="L19" t="s">
        <v>36</v>
      </c>
      <c r="M19">
        <v>2017</v>
      </c>
      <c r="N19" t="s">
        <v>37</v>
      </c>
      <c r="O19" t="s">
        <v>41</v>
      </c>
      <c r="P19" t="s">
        <v>43</v>
      </c>
      <c r="R19" t="s">
        <v>139</v>
      </c>
      <c r="S19">
        <v>-12.230905</v>
      </c>
      <c r="T19">
        <v>25.817114</v>
      </c>
      <c r="U19" t="s">
        <v>61</v>
      </c>
      <c r="V19" t="s">
        <v>45</v>
      </c>
      <c r="W19" t="s">
        <v>46</v>
      </c>
      <c r="X19" t="s">
        <v>140</v>
      </c>
      <c r="Y19" t="s">
        <v>141</v>
      </c>
      <c r="Z19" t="s">
        <v>43</v>
      </c>
      <c r="AA19" t="s">
        <v>111</v>
      </c>
      <c r="AB19" s="2">
        <v>21000000</v>
      </c>
      <c r="AC19" t="s">
        <v>232</v>
      </c>
      <c r="AD19">
        <f>IF(ISBLANK(AB19), "", AB19*Parameter!$H$3)</f>
        <v>16800000</v>
      </c>
      <c r="AE19">
        <f>IF(J19="Concentrate",Parameter!$C$23,IF(Calib3!J19="Ore and concentrate",Parameter!$C$21,IF(F19="Smelter",Parameter!$C$10,IF(F19="Refinary",Parameter!$C$12,Parameter!$C$15))))</f>
        <v>7.2849999999999998E-2</v>
      </c>
      <c r="AF19">
        <f>IF(J19="Concentrate",Parameter!$C$24,IF(Calib3!J19="Ore and concentrate",Parameter!$C$22,IF(F19="Smelter",Parameter!$C$11,IF(F19="Refinary",Parameter!$C$13,Parameter!$C$16))))</f>
        <v>1.333E-2</v>
      </c>
      <c r="AG19">
        <f t="shared" si="0"/>
        <v>1223.8800000000001</v>
      </c>
      <c r="AH19">
        <f t="shared" si="1"/>
        <v>223.94399999999999</v>
      </c>
      <c r="AI19" t="s">
        <v>103</v>
      </c>
      <c r="AJ19" s="2">
        <v>25290000</v>
      </c>
      <c r="AK19" s="1">
        <v>109769</v>
      </c>
      <c r="AL19" s="1">
        <v>125191</v>
      </c>
    </row>
    <row r="20" spans="1:42" hidden="1" x14ac:dyDescent="0.35">
      <c r="A20">
        <v>2243</v>
      </c>
      <c r="B20" t="s">
        <v>142</v>
      </c>
      <c r="C20" t="s">
        <v>143</v>
      </c>
      <c r="D20" t="s">
        <v>27</v>
      </c>
      <c r="E20" t="s">
        <v>144</v>
      </c>
      <c r="G20" t="s">
        <v>286</v>
      </c>
      <c r="H20" t="s">
        <v>29</v>
      </c>
      <c r="I20" t="s">
        <v>34</v>
      </c>
      <c r="J20" t="s">
        <v>82</v>
      </c>
      <c r="K20" t="s">
        <v>36</v>
      </c>
      <c r="L20" t="s">
        <v>36</v>
      </c>
      <c r="M20">
        <v>2017</v>
      </c>
      <c r="N20" t="s">
        <v>103</v>
      </c>
      <c r="O20" t="s">
        <v>41</v>
      </c>
      <c r="P20" t="s">
        <v>151</v>
      </c>
      <c r="R20" t="s">
        <v>43</v>
      </c>
      <c r="S20">
        <v>-13.944326</v>
      </c>
      <c r="T20">
        <v>29.140440000000002</v>
      </c>
      <c r="U20" t="s">
        <v>44</v>
      </c>
      <c r="V20" t="s">
        <v>50</v>
      </c>
      <c r="W20" t="s">
        <v>46</v>
      </c>
      <c r="X20" t="s">
        <v>153</v>
      </c>
      <c r="Y20" t="s">
        <v>154</v>
      </c>
      <c r="Z20" t="s">
        <v>155</v>
      </c>
      <c r="AA20" t="s">
        <v>159</v>
      </c>
      <c r="AB20" s="2"/>
      <c r="AC20" t="s">
        <v>232</v>
      </c>
      <c r="AD20" t="str">
        <f>IF(ISBLANK(AB20), "", AB20*Parameter!$H$3)</f>
        <v/>
      </c>
      <c r="AE20">
        <f>IF(J20="Concentrate",Parameter!$C$23,IF(Calib3!J20="Ore and concentrate",Parameter!$C$21,IF(F20="Smelter",Parameter!$C$10,IF(F20="Refinary",Parameter!$C$12,Parameter!$C$15))))</f>
        <v>7.2849999999999998E-2</v>
      </c>
      <c r="AF20">
        <f>IF(J20="Concentrate",Parameter!$C$24,IF(Calib3!J20="Ore and concentrate",Parameter!$C$22,IF(F20="Smelter",Parameter!$C$11,IF(F20="Refinary",Parameter!$C$13,Parameter!$C$16))))</f>
        <v>1.333E-2</v>
      </c>
      <c r="AG20" t="str">
        <f t="shared" si="0"/>
        <v/>
      </c>
      <c r="AH20" t="str">
        <f t="shared" si="1"/>
        <v/>
      </c>
    </row>
    <row r="21" spans="1:42" x14ac:dyDescent="0.35">
      <c r="A21">
        <v>2244</v>
      </c>
      <c r="B21" t="s">
        <v>145</v>
      </c>
      <c r="C21" t="s">
        <v>146</v>
      </c>
      <c r="D21" t="s">
        <v>27</v>
      </c>
      <c r="E21" t="s">
        <v>147</v>
      </c>
      <c r="F21" t="s">
        <v>257</v>
      </c>
      <c r="G21" t="s">
        <v>274</v>
      </c>
      <c r="H21" t="s">
        <v>33</v>
      </c>
      <c r="I21" t="s">
        <v>34</v>
      </c>
      <c r="J21" t="s">
        <v>38</v>
      </c>
      <c r="K21" t="s">
        <v>36</v>
      </c>
      <c r="L21" t="s">
        <v>36</v>
      </c>
      <c r="M21">
        <v>2017</v>
      </c>
      <c r="N21" t="s">
        <v>37</v>
      </c>
      <c r="O21" t="s">
        <v>41</v>
      </c>
      <c r="P21" t="s">
        <v>152</v>
      </c>
      <c r="R21" t="s">
        <v>43</v>
      </c>
      <c r="S21">
        <v>-12.535</v>
      </c>
      <c r="T21">
        <v>28.234000000000002</v>
      </c>
      <c r="U21" t="s">
        <v>44</v>
      </c>
      <c r="V21" t="s">
        <v>62</v>
      </c>
      <c r="W21" t="s">
        <v>46</v>
      </c>
      <c r="X21" t="s">
        <v>156</v>
      </c>
      <c r="Y21" t="s">
        <v>157</v>
      </c>
      <c r="Z21" t="s">
        <v>158</v>
      </c>
      <c r="AA21" t="s">
        <v>53</v>
      </c>
      <c r="AB21" s="2">
        <v>200000</v>
      </c>
      <c r="AC21" t="s">
        <v>232</v>
      </c>
      <c r="AD21">
        <f>IF(ISBLANK(AB21), "", AB21*Parameter!$H$3)</f>
        <v>160000</v>
      </c>
      <c r="AE21">
        <v>6.9029999999999996</v>
      </c>
      <c r="AF21">
        <v>4.1749999999999998</v>
      </c>
      <c r="AG21">
        <f t="shared" si="0"/>
        <v>1104.48</v>
      </c>
      <c r="AH21">
        <f t="shared" si="1"/>
        <v>668</v>
      </c>
      <c r="AI21" t="s">
        <v>103</v>
      </c>
      <c r="AJ21" t="s">
        <v>103</v>
      </c>
      <c r="AK21" s="5">
        <v>0</v>
      </c>
      <c r="AL21" s="5">
        <v>0</v>
      </c>
    </row>
    <row r="22" spans="1:42" hidden="1" x14ac:dyDescent="0.35">
      <c r="A22">
        <v>2245</v>
      </c>
      <c r="B22" t="s">
        <v>148</v>
      </c>
      <c r="C22" t="s">
        <v>149</v>
      </c>
      <c r="D22" t="s">
        <v>27</v>
      </c>
      <c r="E22" t="s">
        <v>150</v>
      </c>
      <c r="H22" t="s">
        <v>29</v>
      </c>
      <c r="I22" t="s">
        <v>34</v>
      </c>
      <c r="J22" t="s">
        <v>82</v>
      </c>
      <c r="K22" t="s">
        <v>36</v>
      </c>
      <c r="L22" t="s">
        <v>36</v>
      </c>
      <c r="M22">
        <v>2017</v>
      </c>
      <c r="N22" t="s">
        <v>37</v>
      </c>
      <c r="O22" t="s">
        <v>41</v>
      </c>
      <c r="P22" t="s">
        <v>43</v>
      </c>
      <c r="R22" t="s">
        <v>43</v>
      </c>
      <c r="S22">
        <v>-12.542415</v>
      </c>
      <c r="T22">
        <v>28.219801</v>
      </c>
      <c r="U22" t="s">
        <v>44</v>
      </c>
      <c r="V22" t="s">
        <v>50</v>
      </c>
      <c r="W22" t="s">
        <v>46</v>
      </c>
      <c r="X22" t="s">
        <v>156</v>
      </c>
      <c r="Y22" t="s">
        <v>157</v>
      </c>
      <c r="Z22" t="s">
        <v>158</v>
      </c>
      <c r="AA22" t="s">
        <v>53</v>
      </c>
      <c r="AB22" s="2">
        <v>2500000</v>
      </c>
      <c r="AC22" t="s">
        <v>232</v>
      </c>
      <c r="AD22">
        <f>IF(ISBLANK(AB22), "", AB22*Parameter!$H$3)</f>
        <v>2000000</v>
      </c>
      <c r="AE22">
        <f>IF(J22="Concentrate",Parameter!$C$23,IF(Calib3!J22="Ore and concentrate",Parameter!$C$21,IF(F22="Smelter",Parameter!$C$10,IF(F22="Refinary",Parameter!$C$12,Parameter!$C$15))))</f>
        <v>7.2849999999999998E-2</v>
      </c>
      <c r="AF22">
        <f>IF(J22="Concentrate",Parameter!$C$24,IF(Calib3!J22="Ore and concentrate",Parameter!$C$22,IF(F22="Smelter",Parameter!$C$11,IF(F22="Refinary",Parameter!$C$13,Parameter!$C$16))))</f>
        <v>1.333E-2</v>
      </c>
      <c r="AG22">
        <f t="shared" si="0"/>
        <v>145.69999999999999</v>
      </c>
      <c r="AH22">
        <f t="shared" si="1"/>
        <v>26.66</v>
      </c>
      <c r="AI22" s="2">
        <v>1440000</v>
      </c>
      <c r="AJ22" t="s">
        <v>103</v>
      </c>
      <c r="AK22" s="1">
        <v>30551</v>
      </c>
      <c r="AL22" s="1">
        <v>82500</v>
      </c>
      <c r="AM22" s="2">
        <v>125000</v>
      </c>
      <c r="AN22" t="s">
        <v>236</v>
      </c>
      <c r="AO22" s="2">
        <v>2500000</v>
      </c>
      <c r="AP22" t="s">
        <v>236</v>
      </c>
    </row>
    <row r="23" spans="1:42" x14ac:dyDescent="0.35">
      <c r="A23">
        <v>2247</v>
      </c>
      <c r="B23" t="s">
        <v>160</v>
      </c>
      <c r="C23" t="s">
        <v>161</v>
      </c>
      <c r="D23" t="s">
        <v>27</v>
      </c>
      <c r="E23" t="s">
        <v>162</v>
      </c>
      <c r="F23" t="s">
        <v>269</v>
      </c>
      <c r="H23" t="s">
        <v>33</v>
      </c>
      <c r="I23" t="s">
        <v>34</v>
      </c>
      <c r="J23" t="s">
        <v>38</v>
      </c>
      <c r="K23" t="s">
        <v>36</v>
      </c>
      <c r="L23" t="s">
        <v>36</v>
      </c>
      <c r="M23">
        <v>2017</v>
      </c>
      <c r="N23" t="s">
        <v>37</v>
      </c>
      <c r="O23" t="s">
        <v>41</v>
      </c>
      <c r="P23" t="s">
        <v>42</v>
      </c>
      <c r="R23" t="s">
        <v>43</v>
      </c>
      <c r="S23">
        <v>-12.534000000000001</v>
      </c>
      <c r="T23">
        <v>28.236999999999998</v>
      </c>
      <c r="U23" t="s">
        <v>44</v>
      </c>
      <c r="V23" t="s">
        <v>62</v>
      </c>
      <c r="W23" t="s">
        <v>46</v>
      </c>
      <c r="X23" t="s">
        <v>156</v>
      </c>
      <c r="Y23" t="s">
        <v>157</v>
      </c>
      <c r="Z23" t="s">
        <v>158</v>
      </c>
      <c r="AA23" t="s">
        <v>53</v>
      </c>
      <c r="AB23" s="2">
        <v>275000</v>
      </c>
      <c r="AC23" t="s">
        <v>232</v>
      </c>
      <c r="AD23">
        <f>IF(ISBLANK(AB23), "", AB23*Parameter!$H$3)</f>
        <v>220000</v>
      </c>
      <c r="AE23">
        <f>IF(J23="Concentrate",Parameter!$C$23,IF(Calib3!J23="Ore and concentrate",Parameter!$C$21,IF(F23="Smelter",Parameter!$C$10,IF(F23="Refinary",Parameter!$C$12,Parameter!$C$15))))</f>
        <v>3.2</v>
      </c>
      <c r="AF23">
        <f>IF(J23="Concentrate",Parameter!$C$24,IF(Calib3!J23="Ore and concentrate",Parameter!$C$22,IF(F23="Smelter",Parameter!$C$11,IF(F23="Refinary",Parameter!$C$13,Parameter!$C$16))))</f>
        <v>0</v>
      </c>
      <c r="AG23">
        <f t="shared" si="0"/>
        <v>704</v>
      </c>
      <c r="AH23">
        <f t="shared" si="1"/>
        <v>0</v>
      </c>
      <c r="AK23" t="s">
        <v>234</v>
      </c>
      <c r="AL23" t="s">
        <v>234</v>
      </c>
      <c r="AM23" s="2">
        <v>270000</v>
      </c>
      <c r="AN23" t="s">
        <v>236</v>
      </c>
    </row>
    <row r="24" spans="1:42" x14ac:dyDescent="0.35">
      <c r="A24">
        <v>2248</v>
      </c>
      <c r="B24" t="s">
        <v>163</v>
      </c>
      <c r="C24" t="s">
        <v>164</v>
      </c>
      <c r="D24" t="s">
        <v>27</v>
      </c>
      <c r="E24" t="s">
        <v>165</v>
      </c>
      <c r="F24" t="s">
        <v>270</v>
      </c>
      <c r="G24" s="3" t="s">
        <v>279</v>
      </c>
      <c r="H24" t="s">
        <v>33</v>
      </c>
      <c r="I24" t="s">
        <v>34</v>
      </c>
      <c r="J24" t="s">
        <v>38</v>
      </c>
      <c r="K24" t="s">
        <v>36</v>
      </c>
      <c r="L24" t="s">
        <v>36</v>
      </c>
      <c r="M24">
        <v>2017</v>
      </c>
      <c r="N24" t="s">
        <v>103</v>
      </c>
      <c r="O24" t="s">
        <v>41</v>
      </c>
      <c r="P24" t="s">
        <v>43</v>
      </c>
      <c r="R24" t="s">
        <v>237</v>
      </c>
      <c r="S24">
        <v>-12.533671</v>
      </c>
      <c r="T24">
        <v>28.238890999999999</v>
      </c>
      <c r="U24" t="s">
        <v>44</v>
      </c>
      <c r="V24" t="s">
        <v>62</v>
      </c>
      <c r="W24" t="s">
        <v>46</v>
      </c>
      <c r="X24" t="s">
        <v>156</v>
      </c>
      <c r="Y24" t="s">
        <v>157</v>
      </c>
      <c r="Z24" t="s">
        <v>158</v>
      </c>
      <c r="AA24" t="s">
        <v>53</v>
      </c>
      <c r="AB24" s="2"/>
      <c r="AC24" t="s">
        <v>232</v>
      </c>
      <c r="AD24" t="str">
        <f>IF(ISBLANK(AB24), "", AB24*Parameter!$H$3)</f>
        <v/>
      </c>
      <c r="AE24">
        <f>IF(J24="Concentrate",Parameter!$C$23,IF(Calib3!J24="Ore and concentrate",Parameter!$C$21,IF(F24="Smelter",Parameter!$C$10,IF(F24="Refinary",Parameter!$C$12,Parameter!$C$15))))</f>
        <v>12.466000000000001</v>
      </c>
      <c r="AF24">
        <f>IF(J24="Concentrate",Parameter!$C$24,IF(Calib3!J24="Ore and concentrate",Parameter!$C$22,IF(F24="Smelter",Parameter!$C$11,IF(F24="Refinary",Parameter!$C$13,Parameter!$C$16))))</f>
        <v>1.518</v>
      </c>
      <c r="AG24" t="str">
        <f t="shared" si="0"/>
        <v/>
      </c>
      <c r="AH24" t="str">
        <f t="shared" si="1"/>
        <v/>
      </c>
      <c r="AK24" t="s">
        <v>234</v>
      </c>
      <c r="AL24" t="s">
        <v>234</v>
      </c>
      <c r="AM24" t="s">
        <v>103</v>
      </c>
      <c r="AN24" t="s">
        <v>236</v>
      </c>
    </row>
    <row r="25" spans="1:42" x14ac:dyDescent="0.35">
      <c r="A25">
        <v>2249</v>
      </c>
      <c r="B25" t="s">
        <v>166</v>
      </c>
      <c r="C25" t="s">
        <v>167</v>
      </c>
      <c r="D25" t="s">
        <v>27</v>
      </c>
      <c r="E25" t="s">
        <v>168</v>
      </c>
      <c r="F25" t="s">
        <v>268</v>
      </c>
      <c r="G25" t="s">
        <v>278</v>
      </c>
      <c r="H25" t="s">
        <v>33</v>
      </c>
      <c r="I25" t="s">
        <v>34</v>
      </c>
      <c r="J25" t="s">
        <v>38</v>
      </c>
      <c r="K25" t="s">
        <v>36</v>
      </c>
      <c r="L25" t="s">
        <v>36</v>
      </c>
      <c r="M25">
        <v>2017</v>
      </c>
      <c r="N25" t="s">
        <v>37</v>
      </c>
      <c r="O25" t="s">
        <v>41</v>
      </c>
      <c r="P25" t="s">
        <v>42</v>
      </c>
      <c r="R25" t="s">
        <v>134</v>
      </c>
      <c r="S25">
        <v>-13.06861</v>
      </c>
      <c r="T25">
        <v>28.32583</v>
      </c>
      <c r="U25" t="s">
        <v>44</v>
      </c>
      <c r="V25" t="s">
        <v>62</v>
      </c>
      <c r="W25" t="s">
        <v>46</v>
      </c>
      <c r="X25" t="s">
        <v>47</v>
      </c>
      <c r="Y25" t="s">
        <v>169</v>
      </c>
      <c r="Z25" t="s">
        <v>43</v>
      </c>
      <c r="AA25" t="s">
        <v>53</v>
      </c>
      <c r="AB25" s="2">
        <v>40000</v>
      </c>
      <c r="AC25" t="s">
        <v>232</v>
      </c>
      <c r="AD25">
        <f>IF(ISBLANK(AB25), "", AB25*Parameter!$H$3)</f>
        <v>32000</v>
      </c>
      <c r="AE25">
        <f>IF(J25="Concentrate",Parameter!$C$23,IF(Calib3!J25="Ore and concentrate",Parameter!$C$21,IF(F25="Smelter",Parameter!$C$10,IF(F25="Refinary",Parameter!$C$12,Parameter!$C$15))))</f>
        <v>12.466000000000001</v>
      </c>
      <c r="AF25">
        <f>IF(J25="Concentrate",Parameter!$C$24,IF(Calib3!J25="Ore and concentrate",Parameter!$C$22,IF(F25="Smelter",Parameter!$C$11,IF(F25="Refinary",Parameter!$C$13,Parameter!$C$16))))</f>
        <v>1.518</v>
      </c>
      <c r="AG25">
        <f t="shared" si="0"/>
        <v>398.91200000000003</v>
      </c>
      <c r="AH25">
        <f t="shared" si="1"/>
        <v>48.576000000000001</v>
      </c>
      <c r="AM25" s="2">
        <v>34000</v>
      </c>
      <c r="AN25" t="s">
        <v>236</v>
      </c>
    </row>
    <row r="26" spans="1:42" hidden="1" x14ac:dyDescent="0.35">
      <c r="A26">
        <v>2251</v>
      </c>
      <c r="B26" t="s">
        <v>170</v>
      </c>
      <c r="C26" t="s">
        <v>171</v>
      </c>
      <c r="D26" t="s">
        <v>27</v>
      </c>
      <c r="E26" s="3" t="s">
        <v>172</v>
      </c>
      <c r="F26" s="3"/>
      <c r="G26" s="3"/>
      <c r="H26" s="3" t="s">
        <v>29</v>
      </c>
      <c r="I26" s="3" t="s">
        <v>34</v>
      </c>
      <c r="J26" s="3" t="s">
        <v>82</v>
      </c>
      <c r="K26" s="3" t="s">
        <v>36</v>
      </c>
      <c r="L26" s="3" t="s">
        <v>36</v>
      </c>
      <c r="M26" s="3">
        <v>2017</v>
      </c>
      <c r="N26" s="3" t="s">
        <v>37</v>
      </c>
      <c r="O26" s="3" t="s">
        <v>39</v>
      </c>
      <c r="P26" s="3" t="s">
        <v>174</v>
      </c>
      <c r="Q26" s="3" t="s">
        <v>173</v>
      </c>
      <c r="R26" s="3" t="s">
        <v>175</v>
      </c>
      <c r="S26" s="3">
        <v>-15.925446000000001</v>
      </c>
      <c r="T26" s="3">
        <v>28.129807</v>
      </c>
      <c r="U26" s="3" t="s">
        <v>61</v>
      </c>
      <c r="V26" s="3" t="s">
        <v>50</v>
      </c>
      <c r="W26" s="3" t="s">
        <v>46</v>
      </c>
      <c r="X26" s="3" t="s">
        <v>176</v>
      </c>
      <c r="Y26" s="3" t="s">
        <v>177</v>
      </c>
      <c r="Z26" s="3" t="s">
        <v>43</v>
      </c>
      <c r="AA26" s="3" t="s">
        <v>178</v>
      </c>
      <c r="AB26" s="4">
        <v>1700</v>
      </c>
      <c r="AC26" s="3" t="s">
        <v>232</v>
      </c>
      <c r="AD26">
        <f>IF(ISBLANK(AB26), "", AB26*Parameter!$H$3)</f>
        <v>1360</v>
      </c>
      <c r="AE26">
        <f>IF(J26="Concentrate",Parameter!$C$23,IF(Calib3!J26="Ore and concentrate",Parameter!$C$21,IF(F26="Smelter",Parameter!$C$10,IF(F26="Refinary",Parameter!$C$12,Parameter!$C$15))))</f>
        <v>7.2849999999999998E-2</v>
      </c>
      <c r="AF26">
        <f>IF(J26="Concentrate",Parameter!$C$24,IF(Calib3!J26="Ore and concentrate",Parameter!$C$22,IF(F26="Smelter",Parameter!$C$11,IF(F26="Refinary",Parameter!$C$13,Parameter!$C$16))))</f>
        <v>1.333E-2</v>
      </c>
      <c r="AG26">
        <f t="shared" si="0"/>
        <v>9.9075999999999997E-2</v>
      </c>
      <c r="AH26">
        <f t="shared" si="1"/>
        <v>1.8128799999999997E-2</v>
      </c>
      <c r="AI26" s="2">
        <v>175000</v>
      </c>
      <c r="AJ26" s="2">
        <v>312500</v>
      </c>
      <c r="AK26" s="5" t="s">
        <v>103</v>
      </c>
      <c r="AL26" s="5" t="s">
        <v>103</v>
      </c>
    </row>
    <row r="27" spans="1:42" x14ac:dyDescent="0.35">
      <c r="A27">
        <v>2253</v>
      </c>
      <c r="B27" t="s">
        <v>179</v>
      </c>
      <c r="C27" t="s">
        <v>180</v>
      </c>
      <c r="D27" t="s">
        <v>27</v>
      </c>
      <c r="E27" t="s">
        <v>181</v>
      </c>
      <c r="F27" t="s">
        <v>257</v>
      </c>
      <c r="H27" t="s">
        <v>29</v>
      </c>
      <c r="I27" t="s">
        <v>34</v>
      </c>
      <c r="J27" t="s">
        <v>38</v>
      </c>
      <c r="K27" t="s">
        <v>36</v>
      </c>
      <c r="L27" t="s">
        <v>36</v>
      </c>
      <c r="M27">
        <v>2017</v>
      </c>
      <c r="N27" t="s">
        <v>37</v>
      </c>
      <c r="O27" t="s">
        <v>41</v>
      </c>
      <c r="P27" t="s">
        <v>43</v>
      </c>
      <c r="R27" t="s">
        <v>182</v>
      </c>
      <c r="S27">
        <v>-12.72194</v>
      </c>
      <c r="T27">
        <v>27.968019999999999</v>
      </c>
      <c r="U27" t="s">
        <v>44</v>
      </c>
      <c r="V27" t="s">
        <v>62</v>
      </c>
      <c r="W27" t="s">
        <v>46</v>
      </c>
      <c r="X27" t="s">
        <v>63</v>
      </c>
      <c r="Y27" t="s">
        <v>64</v>
      </c>
      <c r="Z27" t="s">
        <v>65</v>
      </c>
      <c r="AA27" t="s">
        <v>53</v>
      </c>
      <c r="AB27" s="2">
        <v>600000</v>
      </c>
      <c r="AC27" t="s">
        <v>232</v>
      </c>
      <c r="AD27">
        <f>IF(ISBLANK(AB27), "", AB27*Parameter!$H$3)</f>
        <v>480000</v>
      </c>
      <c r="AE27">
        <f>IF(J27="Concentrate",Parameter!$C$23,IF(Calib3!J27="Ore and concentrate",Parameter!$C$21,IF(F27="Smelter",Parameter!$C$10,IF(F27="Refinary",Parameter!$C$12,Parameter!$C$15))))</f>
        <v>9.266</v>
      </c>
      <c r="AF27">
        <f>IF(J27="Concentrate",Parameter!$C$24,IF(Calib3!J27="Ore and concentrate",Parameter!$C$22,IF(F27="Smelter",Parameter!$C$11,IF(F27="Refinary",Parameter!$C$13,Parameter!$C$16))))</f>
        <v>1.518</v>
      </c>
      <c r="AG27">
        <f t="shared" si="0"/>
        <v>4447.68</v>
      </c>
      <c r="AH27">
        <f t="shared" si="1"/>
        <v>728.64</v>
      </c>
    </row>
    <row r="28" spans="1:42" x14ac:dyDescent="0.35">
      <c r="A28">
        <v>2257</v>
      </c>
      <c r="B28" t="s">
        <v>183</v>
      </c>
      <c r="C28" t="s">
        <v>184</v>
      </c>
      <c r="D28" t="s">
        <v>27</v>
      </c>
      <c r="E28" t="s">
        <v>185</v>
      </c>
      <c r="F28" t="s">
        <v>257</v>
      </c>
      <c r="H28" t="s">
        <v>33</v>
      </c>
      <c r="I28" t="s">
        <v>34</v>
      </c>
      <c r="J28" t="s">
        <v>38</v>
      </c>
      <c r="K28" t="s">
        <v>36</v>
      </c>
      <c r="L28" t="s">
        <v>36</v>
      </c>
      <c r="M28">
        <v>2017</v>
      </c>
      <c r="N28" t="s">
        <v>37</v>
      </c>
      <c r="O28" t="s">
        <v>41</v>
      </c>
      <c r="P28" t="s">
        <v>195</v>
      </c>
      <c r="R28" t="s">
        <v>96</v>
      </c>
      <c r="S28">
        <v>-12.531000000000001</v>
      </c>
      <c r="T28">
        <v>27.855</v>
      </c>
      <c r="U28" t="s">
        <v>44</v>
      </c>
      <c r="V28" t="s">
        <v>62</v>
      </c>
      <c r="W28" t="s">
        <v>46</v>
      </c>
      <c r="X28" t="s">
        <v>97</v>
      </c>
      <c r="Y28" t="s">
        <v>98</v>
      </c>
      <c r="Z28" t="s">
        <v>99</v>
      </c>
      <c r="AA28" t="s">
        <v>53</v>
      </c>
      <c r="AB28" s="2">
        <v>311000</v>
      </c>
      <c r="AC28" t="s">
        <v>232</v>
      </c>
      <c r="AD28">
        <f>IF(ISBLANK(AB28), "", AB28*Parameter!$H$3)</f>
        <v>248800</v>
      </c>
      <c r="AE28">
        <f>IF(J28="Concentrate",Parameter!$C$23,IF(Calib3!J28="Ore and concentrate",Parameter!$C$21,IF(F28="Smelter",Parameter!$C$10,IF(F28="Refinary",Parameter!$C$12,Parameter!$C$15))))</f>
        <v>9.266</v>
      </c>
      <c r="AF28">
        <f>IF(J28="Concentrate",Parameter!$C$24,IF(Calib3!J28="Ore and concentrate",Parameter!$C$22,IF(F28="Smelter",Parameter!$C$11,IF(F28="Refinary",Parameter!$C$13,Parameter!$C$16))))</f>
        <v>1.518</v>
      </c>
      <c r="AG28">
        <f t="shared" si="0"/>
        <v>2305.3807999999999</v>
      </c>
      <c r="AH28">
        <f t="shared" si="1"/>
        <v>377.67840000000001</v>
      </c>
    </row>
    <row r="29" spans="1:42" hidden="1" x14ac:dyDescent="0.35">
      <c r="A29">
        <v>2258</v>
      </c>
      <c r="B29" t="s">
        <v>186</v>
      </c>
      <c r="C29" t="s">
        <v>187</v>
      </c>
      <c r="D29" t="s">
        <v>27</v>
      </c>
      <c r="E29" t="s">
        <v>188</v>
      </c>
      <c r="G29" t="s">
        <v>284</v>
      </c>
      <c r="H29" t="s">
        <v>29</v>
      </c>
      <c r="I29" t="s">
        <v>34</v>
      </c>
      <c r="J29" t="s">
        <v>82</v>
      </c>
      <c r="K29" t="s">
        <v>36</v>
      </c>
      <c r="L29" t="s">
        <v>36</v>
      </c>
      <c r="M29">
        <v>2017</v>
      </c>
      <c r="N29" t="s">
        <v>37</v>
      </c>
      <c r="O29" t="s">
        <v>41</v>
      </c>
      <c r="P29" s="13" t="s">
        <v>95</v>
      </c>
      <c r="R29" t="s">
        <v>96</v>
      </c>
      <c r="S29">
        <v>-12.536110000000001</v>
      </c>
      <c r="T29">
        <v>27.833120000000001</v>
      </c>
      <c r="U29" t="s">
        <v>44</v>
      </c>
      <c r="V29" t="s">
        <v>45</v>
      </c>
      <c r="W29" t="s">
        <v>46</v>
      </c>
      <c r="X29" t="s">
        <v>97</v>
      </c>
      <c r="Y29" t="s">
        <v>98</v>
      </c>
      <c r="Z29" t="s">
        <v>99</v>
      </c>
      <c r="AA29" t="s">
        <v>53</v>
      </c>
      <c r="AB29" s="2">
        <v>4500000</v>
      </c>
      <c r="AC29" t="s">
        <v>232</v>
      </c>
      <c r="AD29">
        <f>IF(ISBLANK(AB29), "", AB29*Parameter!$H$3)/2</f>
        <v>1800000</v>
      </c>
      <c r="AE29">
        <f>IF(J29="Concentrate",Parameter!$C$23,IF(Calib3!J29="Ore and concentrate",Parameter!$C$21,IF(F29="Smelter",Parameter!$C$10,IF(F29="Refinary",Parameter!$C$12,Parameter!$C$15))))</f>
        <v>7.2849999999999998E-2</v>
      </c>
      <c r="AF29">
        <f>IF(J29="Concentrate",Parameter!$C$24,IF(Calib3!J29="Ore and concentrate",Parameter!$C$22,IF(F29="Smelter",Parameter!$C$11,IF(F29="Refinary",Parameter!$C$13,Parameter!$C$16))))</f>
        <v>1.333E-2</v>
      </c>
      <c r="AG29">
        <f t="shared" si="0"/>
        <v>131.13</v>
      </c>
      <c r="AH29">
        <f t="shared" si="1"/>
        <v>23.994</v>
      </c>
      <c r="AI29" s="2"/>
      <c r="AJ29" s="2"/>
      <c r="AK29" s="1"/>
      <c r="AL29" s="1"/>
      <c r="AO29" s="2">
        <v>4500000</v>
      </c>
      <c r="AP29" t="s">
        <v>236</v>
      </c>
    </row>
    <row r="30" spans="1:42" x14ac:dyDescent="0.35">
      <c r="A30">
        <v>2259</v>
      </c>
      <c r="B30" t="s">
        <v>189</v>
      </c>
      <c r="C30" t="s">
        <v>190</v>
      </c>
      <c r="D30" t="s">
        <v>27</v>
      </c>
      <c r="E30" t="s">
        <v>191</v>
      </c>
      <c r="F30" t="s">
        <v>268</v>
      </c>
      <c r="G30" t="s">
        <v>278</v>
      </c>
      <c r="H30" t="s">
        <v>33</v>
      </c>
      <c r="I30" t="s">
        <v>34</v>
      </c>
      <c r="J30" t="s">
        <v>38</v>
      </c>
      <c r="K30" t="s">
        <v>36</v>
      </c>
      <c r="L30" t="s">
        <v>36</v>
      </c>
      <c r="M30">
        <v>2017</v>
      </c>
      <c r="N30" t="s">
        <v>37</v>
      </c>
      <c r="O30" t="s">
        <v>41</v>
      </c>
      <c r="P30" t="s">
        <v>42</v>
      </c>
      <c r="R30" t="s">
        <v>96</v>
      </c>
      <c r="S30">
        <v>-12.566381</v>
      </c>
      <c r="T30">
        <v>27.814871</v>
      </c>
      <c r="U30" t="s">
        <v>44</v>
      </c>
      <c r="V30" t="s">
        <v>45</v>
      </c>
      <c r="W30" t="s">
        <v>46</v>
      </c>
      <c r="X30" t="s">
        <v>97</v>
      </c>
      <c r="Y30" t="s">
        <v>98</v>
      </c>
      <c r="Z30" t="s">
        <v>99</v>
      </c>
      <c r="AA30" t="s">
        <v>53</v>
      </c>
      <c r="AB30" s="2">
        <v>80000</v>
      </c>
      <c r="AC30" t="s">
        <v>232</v>
      </c>
      <c r="AD30">
        <f>IF(ISBLANK(AB30), "", AB30*Parameter!$H$3)</f>
        <v>64000</v>
      </c>
      <c r="AE30">
        <f>IF(J30="Concentrate",Parameter!$C$23,IF(Calib3!J30="Ore and concentrate",Parameter!$C$21,IF(F30="Smelter",Parameter!$C$10,IF(F30="Refinary",Parameter!$C$12,Parameter!$C$15))))</f>
        <v>12.466000000000001</v>
      </c>
      <c r="AF30">
        <f>IF(J30="Concentrate",Parameter!$C$24,IF(Calib3!J30="Ore and concentrate",Parameter!$C$22,IF(F30="Smelter",Parameter!$C$11,IF(F30="Refinary",Parameter!$C$13,Parameter!$C$16))))</f>
        <v>1.518</v>
      </c>
      <c r="AG30">
        <f t="shared" si="0"/>
        <v>797.82400000000007</v>
      </c>
      <c r="AH30">
        <f t="shared" si="1"/>
        <v>97.152000000000001</v>
      </c>
      <c r="AM30" t="s">
        <v>239</v>
      </c>
      <c r="AN30" t="s">
        <v>236</v>
      </c>
    </row>
    <row r="31" spans="1:42" hidden="1" x14ac:dyDescent="0.35">
      <c r="A31">
        <v>2260</v>
      </c>
      <c r="B31" t="s">
        <v>192</v>
      </c>
      <c r="C31" t="s">
        <v>193</v>
      </c>
      <c r="D31" t="s">
        <v>27</v>
      </c>
      <c r="E31" t="s">
        <v>194</v>
      </c>
      <c r="G31" t="s">
        <v>283</v>
      </c>
      <c r="H31" t="s">
        <v>29</v>
      </c>
      <c r="I31" t="s">
        <v>34</v>
      </c>
      <c r="J31" t="s">
        <v>82</v>
      </c>
      <c r="K31" t="s">
        <v>36</v>
      </c>
      <c r="L31" t="s">
        <v>36</v>
      </c>
      <c r="M31">
        <v>2017</v>
      </c>
      <c r="N31" t="s">
        <v>37</v>
      </c>
      <c r="O31" t="s">
        <v>41</v>
      </c>
      <c r="P31" t="s">
        <v>43</v>
      </c>
      <c r="R31" t="s">
        <v>96</v>
      </c>
      <c r="S31">
        <v>-12.507612999999999</v>
      </c>
      <c r="T31">
        <v>27.875482000000002</v>
      </c>
      <c r="U31" t="s">
        <v>44</v>
      </c>
      <c r="V31" t="s">
        <v>50</v>
      </c>
      <c r="W31" t="s">
        <v>46</v>
      </c>
      <c r="X31" t="s">
        <v>97</v>
      </c>
      <c r="Y31" t="s">
        <v>98</v>
      </c>
      <c r="Z31" t="s">
        <v>99</v>
      </c>
      <c r="AA31" t="s">
        <v>53</v>
      </c>
      <c r="AB31" s="2">
        <v>2800000</v>
      </c>
      <c r="AC31" t="s">
        <v>232</v>
      </c>
      <c r="AD31">
        <f>IF(ISBLANK(AB31), "", AB31*Parameter!$H$3)</f>
        <v>2240000</v>
      </c>
      <c r="AE31">
        <f>IF(J31="Concentrate",Parameter!$C$23,IF(Calib3!J31="Ore and concentrate",Parameter!$C$21,IF(F31="Smelter",Parameter!$C$10,IF(F31="Refinary",Parameter!$C$12,Parameter!$C$15))))</f>
        <v>7.2849999999999998E-2</v>
      </c>
      <c r="AF31">
        <f>IF(J31="Concentrate",Parameter!$C$24,IF(Calib3!J31="Ore and concentrate",Parameter!$C$22,IF(F31="Smelter",Parameter!$C$11,IF(F31="Refinary",Parameter!$C$13,Parameter!$C$16))))</f>
        <v>1.333E-2</v>
      </c>
      <c r="AG31">
        <f t="shared" si="0"/>
        <v>163.184</v>
      </c>
      <c r="AH31">
        <f t="shared" si="1"/>
        <v>29.859200000000001</v>
      </c>
      <c r="AI31" s="2">
        <v>2820706</v>
      </c>
      <c r="AJ31" s="2">
        <v>2820706</v>
      </c>
      <c r="AK31" s="1">
        <v>65544</v>
      </c>
      <c r="AL31" s="1">
        <v>65544</v>
      </c>
      <c r="AO31" s="2">
        <v>2800000</v>
      </c>
      <c r="AP31" t="s">
        <v>236</v>
      </c>
    </row>
    <row r="32" spans="1:42" x14ac:dyDescent="0.35">
      <c r="A32">
        <v>2262</v>
      </c>
      <c r="B32" t="s">
        <v>196</v>
      </c>
      <c r="C32" t="s">
        <v>43</v>
      </c>
      <c r="D32" t="s">
        <v>27</v>
      </c>
      <c r="E32" t="s">
        <v>197</v>
      </c>
      <c r="F32" t="s">
        <v>268</v>
      </c>
      <c r="G32" t="s">
        <v>277</v>
      </c>
      <c r="H32" t="s">
        <v>33</v>
      </c>
      <c r="I32" t="s">
        <v>34</v>
      </c>
      <c r="J32" t="s">
        <v>38</v>
      </c>
      <c r="K32" t="s">
        <v>36</v>
      </c>
      <c r="L32" t="s">
        <v>36</v>
      </c>
      <c r="M32">
        <v>2017</v>
      </c>
      <c r="N32" t="s">
        <v>37</v>
      </c>
      <c r="O32" t="s">
        <v>41</v>
      </c>
      <c r="P32" t="s">
        <v>42</v>
      </c>
      <c r="R32" t="s">
        <v>200</v>
      </c>
      <c r="S32">
        <v>-12.843</v>
      </c>
      <c r="T32">
        <v>28.204999999999998</v>
      </c>
      <c r="U32" t="s">
        <v>44</v>
      </c>
      <c r="V32" t="s">
        <v>62</v>
      </c>
      <c r="W32" t="s">
        <v>46</v>
      </c>
      <c r="X32" t="s">
        <v>156</v>
      </c>
      <c r="Y32" t="s">
        <v>157</v>
      </c>
      <c r="Z32" t="s">
        <v>158</v>
      </c>
      <c r="AA32" t="s">
        <v>53</v>
      </c>
      <c r="AB32" s="2">
        <v>15000</v>
      </c>
      <c r="AC32" t="s">
        <v>232</v>
      </c>
      <c r="AD32">
        <f>IF(ISBLANK(AB32), "", AB32*Parameter!$H$3)</f>
        <v>12000</v>
      </c>
      <c r="AE32">
        <f>IF(J32="Concentrate",Parameter!$C$23,IF(Calib3!J32="Ore and concentrate",Parameter!$C$21,IF(F32="Smelter",Parameter!$C$10,IF(F32="Refinary",Parameter!$C$12,Parameter!$C$15))))</f>
        <v>12.466000000000001</v>
      </c>
      <c r="AF32">
        <f>IF(J32="Concentrate",Parameter!$C$24,IF(Calib3!J32="Ore and concentrate",Parameter!$C$22,IF(F32="Smelter",Parameter!$C$11,IF(F32="Refinary",Parameter!$C$13,Parameter!$C$16))))</f>
        <v>1.518</v>
      </c>
      <c r="AG32">
        <f t="shared" si="0"/>
        <v>149.59200000000001</v>
      </c>
      <c r="AH32">
        <f t="shared" si="1"/>
        <v>18.216000000000001</v>
      </c>
      <c r="AI32" t="s">
        <v>103</v>
      </c>
      <c r="AJ32" t="s">
        <v>103</v>
      </c>
      <c r="AK32" s="5" t="s">
        <v>103</v>
      </c>
      <c r="AL32" s="5" t="s">
        <v>103</v>
      </c>
    </row>
    <row r="33" spans="1:38" x14ac:dyDescent="0.35">
      <c r="A33">
        <v>2263</v>
      </c>
      <c r="B33" t="s">
        <v>196</v>
      </c>
      <c r="C33" t="s">
        <v>198</v>
      </c>
      <c r="D33" t="s">
        <v>27</v>
      </c>
      <c r="E33" t="s">
        <v>199</v>
      </c>
      <c r="F33" t="s">
        <v>269</v>
      </c>
      <c r="G33" t="s">
        <v>259</v>
      </c>
      <c r="H33" t="s">
        <v>33</v>
      </c>
      <c r="I33" t="s">
        <v>34</v>
      </c>
      <c r="J33" t="s">
        <v>38</v>
      </c>
      <c r="K33" t="s">
        <v>36</v>
      </c>
      <c r="L33" t="s">
        <v>36</v>
      </c>
      <c r="M33">
        <v>2017</v>
      </c>
      <c r="N33" t="s">
        <v>37</v>
      </c>
      <c r="O33" t="s">
        <v>41</v>
      </c>
      <c r="P33" t="s">
        <v>42</v>
      </c>
      <c r="R33" t="s">
        <v>201</v>
      </c>
      <c r="S33">
        <v>-12.843</v>
      </c>
      <c r="T33">
        <v>28.204999999999998</v>
      </c>
      <c r="U33" t="s">
        <v>44</v>
      </c>
      <c r="V33" t="s">
        <v>62</v>
      </c>
      <c r="W33" t="s">
        <v>46</v>
      </c>
      <c r="X33" t="s">
        <v>97</v>
      </c>
      <c r="Y33" t="s">
        <v>98</v>
      </c>
      <c r="Z33" t="s">
        <v>99</v>
      </c>
      <c r="AA33" t="s">
        <v>53</v>
      </c>
      <c r="AB33" s="2">
        <v>300000</v>
      </c>
      <c r="AC33" t="s">
        <v>232</v>
      </c>
      <c r="AD33">
        <f>IF(ISBLANK(AB33), "", AB33*Parameter!$H$3)</f>
        <v>240000</v>
      </c>
      <c r="AE33">
        <f>IF(J33="Concentrate",Parameter!$C$23,IF(Calib3!J33="Ore and concentrate",Parameter!$C$21,IF(F33="Smelter",Parameter!$C$10,IF(F33="Refinary",Parameter!$C$12,Parameter!$C$15))))</f>
        <v>3.2</v>
      </c>
      <c r="AF33">
        <f>IF(J33="Concentrate",Parameter!$C$24,IF(Calib3!J33="Ore and concentrate",Parameter!$C$22,IF(F33="Smelter",Parameter!$C$11,IF(F33="Refinary",Parameter!$C$13,Parameter!$C$16))))</f>
        <v>0</v>
      </c>
      <c r="AG33">
        <f t="shared" si="0"/>
        <v>768</v>
      </c>
      <c r="AH33">
        <f t="shared" si="1"/>
        <v>0</v>
      </c>
      <c r="AI33" t="s">
        <v>103</v>
      </c>
      <c r="AJ33" t="s">
        <v>103</v>
      </c>
      <c r="AK33" s="5" t="s">
        <v>103</v>
      </c>
      <c r="AL33" s="5" t="s">
        <v>103</v>
      </c>
    </row>
    <row r="34" spans="1:38" hidden="1" x14ac:dyDescent="0.35">
      <c r="A34">
        <v>2266</v>
      </c>
      <c r="B34" t="s">
        <v>202</v>
      </c>
      <c r="C34" t="s">
        <v>203</v>
      </c>
      <c r="D34" t="s">
        <v>27</v>
      </c>
      <c r="E34" t="s">
        <v>204</v>
      </c>
      <c r="G34" t="s">
        <v>284</v>
      </c>
      <c r="H34" t="s">
        <v>29</v>
      </c>
      <c r="I34" t="s">
        <v>34</v>
      </c>
      <c r="J34" t="s">
        <v>82</v>
      </c>
      <c r="K34" t="s">
        <v>129</v>
      </c>
      <c r="L34" t="s">
        <v>129</v>
      </c>
      <c r="M34">
        <v>2017</v>
      </c>
      <c r="N34" t="s">
        <v>37</v>
      </c>
      <c r="O34" t="s">
        <v>41</v>
      </c>
      <c r="P34" t="s">
        <v>206</v>
      </c>
      <c r="R34" t="s">
        <v>200</v>
      </c>
      <c r="S34">
        <v>-12.851025999999999</v>
      </c>
      <c r="T34">
        <v>28.207404</v>
      </c>
      <c r="U34" t="s">
        <v>44</v>
      </c>
      <c r="V34" t="s">
        <v>50</v>
      </c>
      <c r="W34" t="s">
        <v>46</v>
      </c>
      <c r="X34" t="s">
        <v>156</v>
      </c>
      <c r="Y34" t="s">
        <v>157</v>
      </c>
      <c r="Z34" t="s">
        <v>158</v>
      </c>
      <c r="AA34" t="s">
        <v>53</v>
      </c>
      <c r="AB34" s="2">
        <v>5500000</v>
      </c>
      <c r="AC34" t="s">
        <v>232</v>
      </c>
      <c r="AD34">
        <f>IF(ISBLANK(AB34), "", AB34*Parameter!$H$3)/7</f>
        <v>628571.42857142852</v>
      </c>
      <c r="AE34">
        <f>IF(J34="Concentrate",Parameter!$C$23,IF(Calib3!J34="Ore and concentrate",Parameter!$C$21,IF(F34="Smelter",Parameter!$C$10,IF(F34="Refinary",Parameter!$C$12,Parameter!$C$15))))</f>
        <v>7.2849999999999998E-2</v>
      </c>
      <c r="AF34">
        <f>IF(J34="Concentrate",Parameter!$C$24,IF(Calib3!J34="Ore and concentrate",Parameter!$C$22,IF(F34="Smelter",Parameter!$C$11,IF(F34="Refinary",Parameter!$C$13,Parameter!$C$16))))</f>
        <v>1.333E-2</v>
      </c>
      <c r="AG34">
        <f t="shared" si="0"/>
        <v>45.791428571428568</v>
      </c>
      <c r="AH34">
        <f t="shared" si="1"/>
        <v>8.3788571428571412</v>
      </c>
      <c r="AI34" t="s">
        <v>103</v>
      </c>
      <c r="AJ34" t="s">
        <v>103</v>
      </c>
      <c r="AK34" s="1">
        <v>55068</v>
      </c>
      <c r="AL34" s="1">
        <v>17900</v>
      </c>
    </row>
    <row r="35" spans="1:38" hidden="1" x14ac:dyDescent="0.35">
      <c r="A35">
        <v>2267</v>
      </c>
      <c r="B35" t="s">
        <v>202</v>
      </c>
      <c r="C35" t="s">
        <v>203</v>
      </c>
      <c r="D35" t="s">
        <v>27</v>
      </c>
      <c r="E35" t="s">
        <v>205</v>
      </c>
      <c r="G35" t="s">
        <v>284</v>
      </c>
      <c r="H35" t="s">
        <v>29</v>
      </c>
      <c r="I35" t="s">
        <v>34</v>
      </c>
      <c r="J35" t="s">
        <v>82</v>
      </c>
      <c r="K35" t="s">
        <v>129</v>
      </c>
      <c r="L35" t="s">
        <v>129</v>
      </c>
      <c r="M35">
        <v>2017</v>
      </c>
      <c r="N35" t="s">
        <v>37</v>
      </c>
      <c r="O35" t="s">
        <v>41</v>
      </c>
      <c r="P35" t="s">
        <v>206</v>
      </c>
      <c r="R35" t="s">
        <v>200</v>
      </c>
      <c r="S35">
        <v>-12.851025999999999</v>
      </c>
      <c r="T35">
        <v>28.207404</v>
      </c>
      <c r="U35" t="s">
        <v>44</v>
      </c>
      <c r="V35" t="s">
        <v>50</v>
      </c>
      <c r="W35" t="s">
        <v>46</v>
      </c>
      <c r="X35" t="s">
        <v>156</v>
      </c>
      <c r="Y35" t="s">
        <v>157</v>
      </c>
      <c r="Z35" t="s">
        <v>158</v>
      </c>
      <c r="AA35" t="s">
        <v>53</v>
      </c>
      <c r="AB35" s="2">
        <v>5500000</v>
      </c>
      <c r="AC35" t="s">
        <v>232</v>
      </c>
      <c r="AD35">
        <f>IF(ISBLANK(AB35), "", AB35*Parameter!$H$3)/7</f>
        <v>628571.42857142852</v>
      </c>
      <c r="AE35">
        <f>IF(J35="Concentrate",Parameter!$C$23,IF(Calib3!J35="Ore and concentrate",Parameter!$C$21,IF(F35="Smelter",Parameter!$C$10,IF(F35="Refinary",Parameter!$C$12,Parameter!$C$15))))</f>
        <v>7.2849999999999998E-2</v>
      </c>
      <c r="AF35">
        <f>IF(J35="Concentrate",Parameter!$C$24,IF(Calib3!J35="Ore and concentrate",Parameter!$C$22,IF(F35="Smelter",Parameter!$C$11,IF(F35="Refinary",Parameter!$C$13,Parameter!$C$16))))</f>
        <v>1.333E-2</v>
      </c>
      <c r="AG35">
        <f t="shared" si="0"/>
        <v>45.791428571428568</v>
      </c>
      <c r="AH35">
        <f t="shared" si="1"/>
        <v>8.3788571428571412</v>
      </c>
    </row>
    <row r="36" spans="1:38" hidden="1" x14ac:dyDescent="0.35">
      <c r="A36">
        <v>2269</v>
      </c>
      <c r="B36" t="s">
        <v>207</v>
      </c>
      <c r="C36" t="s">
        <v>208</v>
      </c>
      <c r="D36" t="s">
        <v>27</v>
      </c>
      <c r="E36" t="s">
        <v>209</v>
      </c>
      <c r="G36" t="s">
        <v>283</v>
      </c>
      <c r="H36" t="s">
        <v>29</v>
      </c>
      <c r="I36" t="s">
        <v>34</v>
      </c>
      <c r="J36" t="s">
        <v>82</v>
      </c>
      <c r="K36" t="s">
        <v>129</v>
      </c>
      <c r="L36" t="s">
        <v>129</v>
      </c>
      <c r="M36">
        <v>2017</v>
      </c>
      <c r="N36" t="s">
        <v>37</v>
      </c>
      <c r="O36" t="s">
        <v>41</v>
      </c>
      <c r="P36" t="s">
        <v>206</v>
      </c>
      <c r="R36" t="s">
        <v>200</v>
      </c>
      <c r="S36">
        <v>-12.805249999999999</v>
      </c>
      <c r="T36">
        <v>28.185835999999998</v>
      </c>
      <c r="U36" t="s">
        <v>61</v>
      </c>
      <c r="V36" t="s">
        <v>45</v>
      </c>
      <c r="W36" t="s">
        <v>46</v>
      </c>
      <c r="X36" t="s">
        <v>156</v>
      </c>
      <c r="Y36" t="s">
        <v>157</v>
      </c>
      <c r="Z36" t="s">
        <v>158</v>
      </c>
      <c r="AA36" t="s">
        <v>53</v>
      </c>
      <c r="AB36" s="2">
        <v>5500000</v>
      </c>
      <c r="AC36" t="s">
        <v>232</v>
      </c>
      <c r="AD36">
        <f>IF(ISBLANK(AB36), "", AB36*Parameter!$H$3)/7</f>
        <v>628571.42857142852</v>
      </c>
      <c r="AE36">
        <f>IF(J36="Concentrate",Parameter!$C$23,IF(Calib3!J36="Ore and concentrate",Parameter!$C$21,IF(F36="Smelter",Parameter!$C$10,IF(F36="Refinary",Parameter!$C$12,Parameter!$C$15))))</f>
        <v>7.2849999999999998E-2</v>
      </c>
      <c r="AF36">
        <f>IF(J36="Concentrate",Parameter!$C$24,IF(Calib3!J36="Ore and concentrate",Parameter!$C$22,IF(F36="Smelter",Parameter!$C$11,IF(F36="Refinary",Parameter!$C$13,Parameter!$C$16))))</f>
        <v>1.333E-2</v>
      </c>
      <c r="AG36">
        <f t="shared" si="0"/>
        <v>45.791428571428568</v>
      </c>
      <c r="AH36">
        <f t="shared" si="1"/>
        <v>8.3788571428571412</v>
      </c>
    </row>
    <row r="37" spans="1:38" hidden="1" x14ac:dyDescent="0.35">
      <c r="A37">
        <v>2271</v>
      </c>
      <c r="B37" t="s">
        <v>210</v>
      </c>
      <c r="C37" t="s">
        <v>211</v>
      </c>
      <c r="D37" t="s">
        <v>27</v>
      </c>
      <c r="E37" t="s">
        <v>212</v>
      </c>
      <c r="G37" t="s">
        <v>283</v>
      </c>
      <c r="H37" t="s">
        <v>29</v>
      </c>
      <c r="I37" t="s">
        <v>34</v>
      </c>
      <c r="J37" t="s">
        <v>82</v>
      </c>
      <c r="K37" t="s">
        <v>129</v>
      </c>
      <c r="L37" t="s">
        <v>129</v>
      </c>
      <c r="M37">
        <v>2017</v>
      </c>
      <c r="N37" t="s">
        <v>37</v>
      </c>
      <c r="O37" t="s">
        <v>41</v>
      </c>
      <c r="P37" t="s">
        <v>206</v>
      </c>
      <c r="R37" t="s">
        <v>200</v>
      </c>
      <c r="S37">
        <v>-12.796917000000001</v>
      </c>
      <c r="T37">
        <v>28.178775999999999</v>
      </c>
      <c r="U37" t="s">
        <v>61</v>
      </c>
      <c r="V37" t="s">
        <v>133</v>
      </c>
      <c r="W37" t="s">
        <v>46</v>
      </c>
      <c r="X37" t="s">
        <v>156</v>
      </c>
      <c r="Y37" t="s">
        <v>157</v>
      </c>
      <c r="Z37" t="s">
        <v>158</v>
      </c>
      <c r="AA37" t="s">
        <v>53</v>
      </c>
      <c r="AB37" s="2">
        <v>5500000</v>
      </c>
      <c r="AC37" t="s">
        <v>232</v>
      </c>
      <c r="AD37">
        <f>IF(ISBLANK(AB37), "", AB37*Parameter!$H$3)/7</f>
        <v>628571.42857142852</v>
      </c>
      <c r="AE37">
        <f>IF(J37="Concentrate",Parameter!$C$23,IF(Calib3!J37="Ore and concentrate",Parameter!$C$21,IF(F37="Smelter",Parameter!$C$10,IF(F37="Refinary",Parameter!$C$12,Parameter!$C$15))))</f>
        <v>7.2849999999999998E-2</v>
      </c>
      <c r="AF37">
        <f>IF(J37="Concentrate",Parameter!$C$24,IF(Calib3!J37="Ore and concentrate",Parameter!$C$22,IF(F37="Smelter",Parameter!$C$11,IF(F37="Refinary",Parameter!$C$13,Parameter!$C$16))))</f>
        <v>1.333E-2</v>
      </c>
      <c r="AG37">
        <f t="shared" si="0"/>
        <v>45.791428571428568</v>
      </c>
      <c r="AH37">
        <f t="shared" si="1"/>
        <v>8.3788571428571412</v>
      </c>
    </row>
    <row r="38" spans="1:38" hidden="1" x14ac:dyDescent="0.35">
      <c r="A38">
        <v>2273</v>
      </c>
      <c r="B38" t="s">
        <v>213</v>
      </c>
      <c r="C38" t="s">
        <v>214</v>
      </c>
      <c r="D38" t="s">
        <v>27</v>
      </c>
      <c r="E38" t="s">
        <v>215</v>
      </c>
      <c r="G38" t="s">
        <v>284</v>
      </c>
      <c r="H38" t="s">
        <v>29</v>
      </c>
      <c r="I38" t="s">
        <v>34</v>
      </c>
      <c r="J38" t="s">
        <v>82</v>
      </c>
      <c r="K38" t="s">
        <v>129</v>
      </c>
      <c r="L38" t="s">
        <v>129</v>
      </c>
      <c r="M38">
        <v>2017</v>
      </c>
      <c r="N38" t="s">
        <v>37</v>
      </c>
      <c r="O38" t="s">
        <v>41</v>
      </c>
      <c r="P38" t="s">
        <v>206</v>
      </c>
      <c r="R38" t="s">
        <v>200</v>
      </c>
      <c r="S38">
        <v>-12.77556</v>
      </c>
      <c r="T38">
        <v>28.161052000000002</v>
      </c>
      <c r="U38" t="s">
        <v>61</v>
      </c>
      <c r="V38" t="s">
        <v>216</v>
      </c>
      <c r="W38" t="s">
        <v>46</v>
      </c>
      <c r="X38" t="s">
        <v>156</v>
      </c>
      <c r="Y38" t="s">
        <v>157</v>
      </c>
      <c r="Z38" t="s">
        <v>158</v>
      </c>
      <c r="AA38" t="s">
        <v>53</v>
      </c>
      <c r="AB38" s="2">
        <v>5500000</v>
      </c>
      <c r="AC38" t="s">
        <v>232</v>
      </c>
      <c r="AD38">
        <f>IF(ISBLANK(AB38), "", AB38*Parameter!$H$3)/7</f>
        <v>628571.42857142852</v>
      </c>
      <c r="AE38">
        <f>IF(J38="Concentrate",Parameter!$C$23,IF(Calib3!J38="Ore and concentrate",Parameter!$C$21,IF(F38="Smelter",Parameter!$C$10,IF(F38="Refinary",Parameter!$C$12,Parameter!$C$15))))</f>
        <v>7.2849999999999998E-2</v>
      </c>
      <c r="AF38">
        <f>IF(J38="Concentrate",Parameter!$C$24,IF(Calib3!J38="Ore and concentrate",Parameter!$C$22,IF(F38="Smelter",Parameter!$C$11,IF(F38="Refinary",Parameter!$C$13,Parameter!$C$16))))</f>
        <v>1.333E-2</v>
      </c>
      <c r="AG38">
        <f t="shared" si="0"/>
        <v>45.791428571428568</v>
      </c>
      <c r="AH38">
        <f t="shared" si="1"/>
        <v>8.3788571428571412</v>
      </c>
    </row>
    <row r="39" spans="1:38" hidden="1" x14ac:dyDescent="0.35">
      <c r="A39">
        <v>2276</v>
      </c>
      <c r="B39" t="s">
        <v>217</v>
      </c>
      <c r="C39" t="s">
        <v>43</v>
      </c>
      <c r="D39" t="s">
        <v>27</v>
      </c>
      <c r="E39" t="s">
        <v>218</v>
      </c>
      <c r="G39" t="s">
        <v>283</v>
      </c>
      <c r="H39" t="s">
        <v>29</v>
      </c>
      <c r="I39" t="s">
        <v>34</v>
      </c>
      <c r="J39" t="s">
        <v>82</v>
      </c>
      <c r="K39" t="s">
        <v>129</v>
      </c>
      <c r="L39" t="s">
        <v>129</v>
      </c>
      <c r="M39">
        <v>2017</v>
      </c>
      <c r="N39" t="s">
        <v>37</v>
      </c>
      <c r="O39" t="s">
        <v>41</v>
      </c>
      <c r="P39" t="s">
        <v>206</v>
      </c>
      <c r="R39" t="s">
        <v>200</v>
      </c>
      <c r="S39">
        <v>-12.854466</v>
      </c>
      <c r="T39">
        <v>28.212122999999998</v>
      </c>
      <c r="U39" t="s">
        <v>61</v>
      </c>
      <c r="V39" t="s">
        <v>45</v>
      </c>
      <c r="W39" t="s">
        <v>46</v>
      </c>
      <c r="X39" t="s">
        <v>156</v>
      </c>
      <c r="Y39" t="s">
        <v>157</v>
      </c>
      <c r="Z39" t="s">
        <v>158</v>
      </c>
      <c r="AA39" t="s">
        <v>53</v>
      </c>
      <c r="AB39" s="2">
        <v>5500000</v>
      </c>
      <c r="AC39" t="s">
        <v>232</v>
      </c>
      <c r="AD39">
        <f>IF(ISBLANK(AB39), "", AB39*Parameter!$H$3)/7</f>
        <v>628571.42857142852</v>
      </c>
      <c r="AE39">
        <f>IF(J39="Concentrate",Parameter!$C$23,IF(Calib3!J39="Ore and concentrate",Parameter!$C$21,IF(F39="Smelter",Parameter!$C$10,IF(F39="Refinary",Parameter!$C$12,Parameter!$C$15))))</f>
        <v>7.2849999999999998E-2</v>
      </c>
      <c r="AF39">
        <f>IF(J39="Concentrate",Parameter!$C$24,IF(Calib3!J39="Ore and concentrate",Parameter!$C$22,IF(F39="Smelter",Parameter!$C$11,IF(F39="Refinary",Parameter!$C$13,Parameter!$C$16))))</f>
        <v>1.333E-2</v>
      </c>
      <c r="AG39">
        <f t="shared" si="0"/>
        <v>45.791428571428568</v>
      </c>
      <c r="AH39">
        <f t="shared" si="1"/>
        <v>8.3788571428571412</v>
      </c>
    </row>
    <row r="40" spans="1:38" hidden="1" x14ac:dyDescent="0.35">
      <c r="A40">
        <v>2277</v>
      </c>
      <c r="B40" t="s">
        <v>217</v>
      </c>
      <c r="C40" t="s">
        <v>219</v>
      </c>
      <c r="D40" t="s">
        <v>27</v>
      </c>
      <c r="E40" t="s">
        <v>220</v>
      </c>
      <c r="G40" t="s">
        <v>283</v>
      </c>
      <c r="H40" t="s">
        <v>29</v>
      </c>
      <c r="I40" t="s">
        <v>34</v>
      </c>
      <c r="J40" t="s">
        <v>82</v>
      </c>
      <c r="K40" t="s">
        <v>129</v>
      </c>
      <c r="L40" t="s">
        <v>129</v>
      </c>
      <c r="M40">
        <v>2017</v>
      </c>
      <c r="N40" t="s">
        <v>37</v>
      </c>
      <c r="O40" t="s">
        <v>41</v>
      </c>
      <c r="P40" t="s">
        <v>206</v>
      </c>
      <c r="R40" t="s">
        <v>200</v>
      </c>
      <c r="S40">
        <v>-12.854466</v>
      </c>
      <c r="T40">
        <v>28.212122999999998</v>
      </c>
      <c r="U40" t="s">
        <v>61</v>
      </c>
      <c r="V40" t="s">
        <v>45</v>
      </c>
      <c r="W40" t="s">
        <v>46</v>
      </c>
      <c r="X40" t="s">
        <v>156</v>
      </c>
      <c r="Y40" t="s">
        <v>157</v>
      </c>
      <c r="Z40" t="s">
        <v>158</v>
      </c>
      <c r="AA40" t="s">
        <v>53</v>
      </c>
      <c r="AB40" s="2">
        <v>5500000</v>
      </c>
      <c r="AC40" t="s">
        <v>232</v>
      </c>
      <c r="AD40">
        <f>IF(ISBLANK(AB40), "", AB40*Parameter!$H$3)/7</f>
        <v>628571.42857142852</v>
      </c>
      <c r="AE40">
        <f>IF(J40="Concentrate",Parameter!$C$23,IF(Calib3!J40="Ore and concentrate",Parameter!$C$21,IF(F40="Smelter",Parameter!$C$10,IF(F40="Refinary",Parameter!$C$12,Parameter!$C$15))))</f>
        <v>7.2849999999999998E-2</v>
      </c>
      <c r="AF40">
        <f>IF(J40="Concentrate",Parameter!$C$24,IF(Calib3!J40="Ore and concentrate",Parameter!$C$22,IF(F40="Smelter",Parameter!$C$11,IF(F40="Refinary",Parameter!$C$13,Parameter!$C$16))))</f>
        <v>1.333E-2</v>
      </c>
      <c r="AG40">
        <f t="shared" si="0"/>
        <v>45.791428571428568</v>
      </c>
      <c r="AH40">
        <f t="shared" si="1"/>
        <v>8.3788571428571412</v>
      </c>
    </row>
    <row r="41" spans="1:38" x14ac:dyDescent="0.35">
      <c r="A41">
        <v>2280</v>
      </c>
      <c r="B41" t="s">
        <v>221</v>
      </c>
      <c r="C41" t="s">
        <v>43</v>
      </c>
      <c r="D41" t="s">
        <v>27</v>
      </c>
      <c r="E41" t="s">
        <v>222</v>
      </c>
      <c r="F41" t="s">
        <v>268</v>
      </c>
      <c r="G41" t="s">
        <v>276</v>
      </c>
      <c r="H41" t="s">
        <v>33</v>
      </c>
      <c r="I41" t="s">
        <v>34</v>
      </c>
      <c r="J41" t="s">
        <v>38</v>
      </c>
      <c r="K41" t="s">
        <v>36</v>
      </c>
      <c r="L41" t="s">
        <v>36</v>
      </c>
      <c r="M41">
        <v>2017</v>
      </c>
      <c r="N41" t="s">
        <v>37</v>
      </c>
      <c r="O41" t="s">
        <v>41</v>
      </c>
      <c r="P41" t="s">
        <v>226</v>
      </c>
      <c r="R41" t="s">
        <v>227</v>
      </c>
      <c r="S41">
        <v>-14.459279</v>
      </c>
      <c r="T41">
        <v>28.436986999999998</v>
      </c>
      <c r="U41" t="s">
        <v>61</v>
      </c>
      <c r="V41" t="s">
        <v>228</v>
      </c>
      <c r="W41" t="s">
        <v>46</v>
      </c>
      <c r="X41" t="s">
        <v>229</v>
      </c>
      <c r="Y41" t="s">
        <v>230</v>
      </c>
      <c r="Z41" t="s">
        <v>43</v>
      </c>
      <c r="AA41" t="s">
        <v>159</v>
      </c>
      <c r="AB41" s="2">
        <v>14000</v>
      </c>
      <c r="AC41" t="s">
        <v>232</v>
      </c>
      <c r="AD41">
        <f>IF(ISBLANK(AB41), "", AB41*Parameter!$H$3)</f>
        <v>11200</v>
      </c>
      <c r="AE41">
        <f>IF(J41="Concentrate",Parameter!$C$23,IF(Calib3!J41="Ore and concentrate",Parameter!$C$21,IF(F41="Smelter",Parameter!$C$10,IF(F41="Refinary",Parameter!$C$12,Parameter!$C$15))))</f>
        <v>12.466000000000001</v>
      </c>
      <c r="AF41">
        <f>IF(J41="Concentrate",Parameter!$C$24,IF(Calib3!J41="Ore and concentrate",Parameter!$C$22,IF(F41="Smelter",Parameter!$C$11,IF(F41="Refinary",Parameter!$C$13,Parameter!$C$16))))</f>
        <v>1.518</v>
      </c>
      <c r="AG41">
        <f t="shared" si="0"/>
        <v>139.61920000000001</v>
      </c>
      <c r="AH41">
        <f t="shared" si="1"/>
        <v>17.0016</v>
      </c>
    </row>
    <row r="42" spans="1:38" hidden="1" x14ac:dyDescent="0.35">
      <c r="A42">
        <v>2281</v>
      </c>
      <c r="B42" t="s">
        <v>223</v>
      </c>
      <c r="C42" t="s">
        <v>224</v>
      </c>
      <c r="D42" t="s">
        <v>27</v>
      </c>
      <c r="E42" t="s">
        <v>225</v>
      </c>
      <c r="H42" t="s">
        <v>29</v>
      </c>
      <c r="I42" t="s">
        <v>34</v>
      </c>
      <c r="J42" t="s">
        <v>82</v>
      </c>
      <c r="K42" t="s">
        <v>36</v>
      </c>
      <c r="L42" t="s">
        <v>36</v>
      </c>
      <c r="M42">
        <v>2017</v>
      </c>
      <c r="N42" t="s">
        <v>103</v>
      </c>
      <c r="O42" t="s">
        <v>41</v>
      </c>
      <c r="P42" t="s">
        <v>43</v>
      </c>
      <c r="R42" t="s">
        <v>115</v>
      </c>
      <c r="S42">
        <v>-12.256487</v>
      </c>
      <c r="T42">
        <v>25.300218000000001</v>
      </c>
      <c r="U42" t="s">
        <v>61</v>
      </c>
      <c r="V42" t="s">
        <v>133</v>
      </c>
      <c r="W42" t="s">
        <v>46</v>
      </c>
      <c r="X42" t="s">
        <v>109</v>
      </c>
      <c r="Y42" t="s">
        <v>110</v>
      </c>
      <c r="Z42" t="s">
        <v>49</v>
      </c>
      <c r="AA42" t="s">
        <v>111</v>
      </c>
      <c r="AB42" s="2"/>
      <c r="AC42" t="s">
        <v>232</v>
      </c>
      <c r="AD42" t="str">
        <f>IF(ISBLANK(AB42), "", AB42*Parameter!$H$3)</f>
        <v/>
      </c>
      <c r="AE42">
        <f>IF(J42="Concentrate",Parameter!$C$23,IF(Calib3!J42="Ore and concentrate",Parameter!$C$21,IF(F42="Smelter",Parameter!$C$10,IF(F42="Refinary",Parameter!$C$12,Parameter!$C$15))))</f>
        <v>7.2849999999999998E-2</v>
      </c>
      <c r="AF42">
        <f>IF(J42="Concentrate",Parameter!$C$24,IF(Calib3!J42="Ore and concentrate",Parameter!$C$22,IF(F42="Smelter",Parameter!$C$11,IF(F42="Refinary",Parameter!$C$13,Parameter!$C$16))))</f>
        <v>1.333E-2</v>
      </c>
      <c r="AG42" t="str">
        <f t="shared" si="0"/>
        <v/>
      </c>
      <c r="AH42" t="str">
        <f t="shared" si="1"/>
        <v/>
      </c>
      <c r="AI42" s="2">
        <v>56329000</v>
      </c>
      <c r="AJ42" s="2">
        <v>56589000</v>
      </c>
      <c r="AK42" s="1">
        <v>232688</v>
      </c>
      <c r="AL42" s="1">
        <v>251216</v>
      </c>
    </row>
  </sheetData>
  <autoFilter ref="A1:AP42" xr:uid="{00000000-0001-0000-0000-000000000000}">
    <filterColumn colId="9">
      <filters>
        <filter val="Metal"/>
      </filters>
    </filterColumn>
    <filterColumn colId="34" showButton="0"/>
    <filterColumn colId="35" showButton="0"/>
    <filterColumn colId="36" showButton="0"/>
    <filterColumn colId="38" showButton="0"/>
    <filterColumn colId="39" showButton="0"/>
    <filterColumn colId="40" showButton="0"/>
  </autoFilter>
  <mergeCells count="5">
    <mergeCell ref="AI1:AL1"/>
    <mergeCell ref="AM1:AP1"/>
    <mergeCell ref="AI2:AJ2"/>
    <mergeCell ref="AM2:AN2"/>
    <mergeCell ref="AO2:AP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E4326-0946-43B0-9D66-323EF561E464}">
  <dimension ref="A1:AR55"/>
  <sheetViews>
    <sheetView topLeftCell="E8" workbookViewId="0">
      <selection activeCell="E54" sqref="E54"/>
    </sheetView>
  </sheetViews>
  <sheetFormatPr baseColWidth="10" defaultColWidth="9.1796875" defaultRowHeight="14.5" x14ac:dyDescent="0.35"/>
  <cols>
    <col min="1" max="4" width="9.1796875" hidden="1" customWidth="1"/>
    <col min="5" max="5" width="37.81640625" customWidth="1"/>
    <col min="6" max="6" width="17.7265625" bestFit="1" customWidth="1"/>
    <col min="7" max="7" width="25.26953125" customWidth="1"/>
    <col min="8" max="9" width="0" hidden="1" customWidth="1"/>
    <col min="10" max="10" width="13.81640625" customWidth="1"/>
    <col min="11" max="12" width="0" hidden="1" customWidth="1"/>
    <col min="14" max="15" width="0" hidden="1" customWidth="1"/>
    <col min="16" max="16" width="40.26953125" customWidth="1"/>
    <col min="17" max="17" width="26.54296875" customWidth="1"/>
    <col min="19" max="27" width="0" hidden="1" customWidth="1"/>
    <col min="28" max="28" width="10.1796875" bestFit="1" customWidth="1"/>
    <col min="29" max="29" width="0" hidden="1" customWidth="1"/>
    <col min="35" max="35" width="9.1796875" style="2"/>
    <col min="37" max="37" width="12" customWidth="1"/>
    <col min="38" max="38" width="10.1796875" bestFit="1" customWidth="1"/>
  </cols>
  <sheetData>
    <row r="1" spans="1:44" ht="3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267</v>
      </c>
      <c r="G1" t="s">
        <v>273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271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231</v>
      </c>
      <c r="AD1" t="s">
        <v>280</v>
      </c>
      <c r="AE1" s="11" t="s">
        <v>261</v>
      </c>
      <c r="AF1" s="11" t="s">
        <v>262</v>
      </c>
      <c r="AG1" s="11" t="s">
        <v>263</v>
      </c>
      <c r="AH1" s="11" t="s">
        <v>264</v>
      </c>
      <c r="AI1" s="20" t="s">
        <v>295</v>
      </c>
      <c r="AJ1" s="19" t="s">
        <v>296</v>
      </c>
      <c r="AK1" s="51" t="s">
        <v>233</v>
      </c>
      <c r="AL1" s="51"/>
      <c r="AM1" s="51"/>
      <c r="AN1" s="51"/>
      <c r="AO1" s="52" t="s">
        <v>235</v>
      </c>
      <c r="AP1" s="52"/>
      <c r="AQ1" s="52"/>
      <c r="AR1" s="52"/>
    </row>
    <row r="2" spans="1:44" x14ac:dyDescent="0.35">
      <c r="AK2" s="51" t="s">
        <v>240</v>
      </c>
      <c r="AL2" s="51"/>
      <c r="AM2" s="6" t="s">
        <v>241</v>
      </c>
      <c r="AN2" s="6" t="s">
        <v>241</v>
      </c>
      <c r="AO2" s="52" t="s">
        <v>242</v>
      </c>
      <c r="AP2" s="52"/>
      <c r="AQ2" s="52" t="s">
        <v>243</v>
      </c>
      <c r="AR2" s="52"/>
    </row>
    <row r="3" spans="1:44" x14ac:dyDescent="0.35">
      <c r="A3">
        <v>2201</v>
      </c>
      <c r="B3" t="s">
        <v>25</v>
      </c>
      <c r="C3" t="s">
        <v>26</v>
      </c>
      <c r="D3" t="s">
        <v>27</v>
      </c>
      <c r="E3" t="s">
        <v>28</v>
      </c>
      <c r="G3" t="s">
        <v>283</v>
      </c>
      <c r="H3" t="s">
        <v>29</v>
      </c>
      <c r="I3" t="s">
        <v>34</v>
      </c>
      <c r="J3" t="s">
        <v>82</v>
      </c>
      <c r="K3" t="s">
        <v>36</v>
      </c>
      <c r="L3" t="s">
        <v>36</v>
      </c>
      <c r="M3">
        <v>2017</v>
      </c>
      <c r="N3" t="s">
        <v>37</v>
      </c>
      <c r="O3" t="s">
        <v>39</v>
      </c>
      <c r="P3" t="s">
        <v>40</v>
      </c>
      <c r="Q3" t="s">
        <v>272</v>
      </c>
      <c r="R3" t="s">
        <v>43</v>
      </c>
      <c r="S3">
        <v>-13.04861</v>
      </c>
      <c r="T3">
        <v>28.338059999999999</v>
      </c>
      <c r="U3" t="s">
        <v>44</v>
      </c>
      <c r="V3" t="s">
        <v>45</v>
      </c>
      <c r="W3" t="s">
        <v>46</v>
      </c>
      <c r="X3" t="s">
        <v>47</v>
      </c>
      <c r="Y3" t="s">
        <v>48</v>
      </c>
      <c r="Z3" t="s">
        <v>49</v>
      </c>
      <c r="AA3" t="s">
        <v>53</v>
      </c>
      <c r="AB3" s="2">
        <v>1500000</v>
      </c>
      <c r="AC3" t="s">
        <v>232</v>
      </c>
      <c r="AD3">
        <f>IF(ISBLANK(AB3), "", AB3*Parameter!$H$3)</f>
        <v>1200000</v>
      </c>
      <c r="AE3">
        <f>IF(J3="Concentrate",Parameter!$C$23,IF(Calib4!J3="Ore and concentrate",Parameter!$C$21,IF(F3="Smelter",Parameter!$C$10,IF(F3="Refinary",Parameter!$C$12,Parameter!$C$15))))</f>
        <v>7.2849999999999998E-2</v>
      </c>
      <c r="AF3">
        <f>IF(J3="Concentrate",Parameter!$C$24,IF(Calib4!J3="Ore and concentrate",Parameter!$C$22,IF(F3="Smelter",Parameter!$C$11,IF(F3="Refinary",Parameter!$C$13,Parameter!$C$16))))</f>
        <v>1.333E-2</v>
      </c>
      <c r="AG3">
        <f>IF(AD3="","", AD3*AE3/1000)</f>
        <v>87.42</v>
      </c>
      <c r="AH3">
        <f>IF((AD3=""),"", AD3*AF3/1000)</f>
        <v>15.996</v>
      </c>
      <c r="AI3" s="2">
        <f>AD3*Parameter!$H$1</f>
        <v>7440</v>
      </c>
      <c r="AJ3" s="2">
        <v>1294</v>
      </c>
      <c r="AK3" t="s">
        <v>103</v>
      </c>
      <c r="AL3" t="s">
        <v>103</v>
      </c>
      <c r="AM3" s="1">
        <v>13836</v>
      </c>
      <c r="AN3" s="1">
        <v>13612</v>
      </c>
      <c r="AO3" t="s">
        <v>238</v>
      </c>
      <c r="AP3" t="s">
        <v>236</v>
      </c>
      <c r="AQ3" s="2">
        <v>725000</v>
      </c>
      <c r="AR3" t="s">
        <v>236</v>
      </c>
    </row>
    <row r="4" spans="1:44" x14ac:dyDescent="0.35">
      <c r="A4">
        <v>2202</v>
      </c>
      <c r="B4" t="s">
        <v>30</v>
      </c>
      <c r="C4" t="s">
        <v>31</v>
      </c>
      <c r="D4" t="s">
        <v>27</v>
      </c>
      <c r="E4" t="s">
        <v>32</v>
      </c>
      <c r="F4" t="s">
        <v>268</v>
      </c>
      <c r="G4" t="s">
        <v>275</v>
      </c>
      <c r="H4" t="s">
        <v>33</v>
      </c>
      <c r="I4" t="s">
        <v>34</v>
      </c>
      <c r="J4" t="s">
        <v>38</v>
      </c>
      <c r="K4" t="s">
        <v>36</v>
      </c>
      <c r="L4" t="s">
        <v>36</v>
      </c>
      <c r="M4">
        <v>2017</v>
      </c>
      <c r="N4" t="s">
        <v>37</v>
      </c>
      <c r="O4" t="s">
        <v>41</v>
      </c>
      <c r="P4" t="s">
        <v>42</v>
      </c>
      <c r="R4" t="s">
        <v>43</v>
      </c>
      <c r="S4">
        <v>-13.042299999999999</v>
      </c>
      <c r="T4">
        <v>28.709353</v>
      </c>
      <c r="U4" t="s">
        <v>44</v>
      </c>
      <c r="V4" t="s">
        <v>50</v>
      </c>
      <c r="W4" t="s">
        <v>46</v>
      </c>
      <c r="X4" t="s">
        <v>51</v>
      </c>
      <c r="Y4" t="s">
        <v>52</v>
      </c>
      <c r="Z4" t="s">
        <v>43</v>
      </c>
      <c r="AA4" t="s">
        <v>53</v>
      </c>
      <c r="AB4" s="2">
        <v>52000</v>
      </c>
      <c r="AC4" t="s">
        <v>232</v>
      </c>
      <c r="AD4">
        <f>IF(ISBLANK(AB4), "", AB4*Parameter!$H$3)</f>
        <v>41600</v>
      </c>
      <c r="AE4">
        <f>IF(J4="Concentrate",Parameter!$C$23,IF(Calib4!J4="Ore and concentrate",Parameter!$C$21,IF(F4="Smelter",Parameter!$C$10,IF(F4="Refinary",Parameter!$C$12,Parameter!$C$15))))</f>
        <v>12.466000000000001</v>
      </c>
      <c r="AF4">
        <f>IF(J4="Concentrate",Parameter!$C$24,IF(Calib4!J4="Ore and concentrate",Parameter!$C$22,IF(F4="Smelter",Parameter!$C$11,IF(F4="Refinary",Parameter!$C$13,Parameter!$C$16))))</f>
        <v>1.518</v>
      </c>
      <c r="AG4">
        <f t="shared" ref="AG4:AG42" si="0">IF(AD4="","", AD4*AE4/1000)</f>
        <v>518.5856</v>
      </c>
      <c r="AH4">
        <f t="shared" ref="AH4:AH42" si="1">IF((AD4=""),"", AD4*AF4/1000)</f>
        <v>63.148800000000001</v>
      </c>
      <c r="AM4" t="s">
        <v>234</v>
      </c>
      <c r="AN4" t="s">
        <v>234</v>
      </c>
      <c r="AO4" s="2">
        <v>10000</v>
      </c>
      <c r="AP4" t="s">
        <v>236</v>
      </c>
    </row>
    <row r="5" spans="1:44" x14ac:dyDescent="0.35">
      <c r="A5">
        <v>2205</v>
      </c>
      <c r="B5" t="s">
        <v>54</v>
      </c>
      <c r="C5" t="s">
        <v>55</v>
      </c>
      <c r="D5" t="s">
        <v>27</v>
      </c>
      <c r="E5" t="s">
        <v>56</v>
      </c>
      <c r="F5" t="s">
        <v>268</v>
      </c>
      <c r="H5" t="s">
        <v>33</v>
      </c>
      <c r="I5" t="s">
        <v>34</v>
      </c>
      <c r="J5" t="s">
        <v>38</v>
      </c>
      <c r="K5" t="s">
        <v>36</v>
      </c>
      <c r="L5" t="s">
        <v>36</v>
      </c>
      <c r="M5">
        <v>2017</v>
      </c>
      <c r="N5" t="s">
        <v>37</v>
      </c>
      <c r="O5" t="s">
        <v>41</v>
      </c>
      <c r="P5" t="s">
        <v>42</v>
      </c>
      <c r="R5" t="s">
        <v>43</v>
      </c>
      <c r="S5">
        <v>-12.649976000000001</v>
      </c>
      <c r="T5">
        <v>28.041173000000001</v>
      </c>
      <c r="U5" t="s">
        <v>61</v>
      </c>
      <c r="V5" t="s">
        <v>62</v>
      </c>
      <c r="W5" t="s">
        <v>46</v>
      </c>
      <c r="X5" t="s">
        <v>63</v>
      </c>
      <c r="Y5" t="s">
        <v>64</v>
      </c>
      <c r="Z5" t="s">
        <v>65</v>
      </c>
      <c r="AA5" t="s">
        <v>53</v>
      </c>
      <c r="AB5" s="2">
        <v>8000</v>
      </c>
      <c r="AC5" t="s">
        <v>232</v>
      </c>
      <c r="AD5">
        <f>IF(ISBLANK(AB5), "", AB5*Parameter!$H$3)</f>
        <v>6400</v>
      </c>
      <c r="AE5">
        <f>IF(J5="Concentrate",Parameter!$C$23,IF(Calib4!J5="Ore and concentrate",Parameter!$C$21,IF(F5="Smelter",Parameter!$C$10,IF(F5="Refinary",Parameter!$C$12,Parameter!$C$15))))</f>
        <v>12.466000000000001</v>
      </c>
      <c r="AF5">
        <f>IF(J5="Concentrate",Parameter!$C$24,IF(Calib4!J5="Ore and concentrate",Parameter!$C$22,IF(F5="Smelter",Parameter!$C$11,IF(F5="Refinary",Parameter!$C$13,Parameter!$C$16))))</f>
        <v>1.518</v>
      </c>
      <c r="AG5">
        <f t="shared" si="0"/>
        <v>79.78240000000001</v>
      </c>
      <c r="AH5">
        <f t="shared" si="1"/>
        <v>9.7152000000000012</v>
      </c>
      <c r="AK5" t="s">
        <v>103</v>
      </c>
      <c r="AL5" t="s">
        <v>103</v>
      </c>
      <c r="AM5" s="1">
        <v>66005</v>
      </c>
      <c r="AN5" s="1">
        <v>40163</v>
      </c>
    </row>
    <row r="6" spans="1:44" s="3" customFormat="1" x14ac:dyDescent="0.35">
      <c r="A6" s="3">
        <v>2206</v>
      </c>
      <c r="B6" s="3" t="s">
        <v>54</v>
      </c>
      <c r="C6" s="3" t="s">
        <v>43</v>
      </c>
      <c r="D6" s="3" t="s">
        <v>27</v>
      </c>
      <c r="E6" s="3" t="s">
        <v>57</v>
      </c>
      <c r="F6" t="s">
        <v>268</v>
      </c>
      <c r="G6"/>
      <c r="H6" s="3" t="s">
        <v>33</v>
      </c>
      <c r="I6" s="3" t="s">
        <v>34</v>
      </c>
      <c r="J6" s="3" t="s">
        <v>38</v>
      </c>
      <c r="K6" s="3" t="s">
        <v>36</v>
      </c>
      <c r="L6" s="3" t="s">
        <v>36</v>
      </c>
      <c r="M6" s="3">
        <v>2017</v>
      </c>
      <c r="N6" s="3" t="s">
        <v>37</v>
      </c>
      <c r="O6" s="3" t="s">
        <v>41</v>
      </c>
      <c r="P6" s="3" t="s">
        <v>59</v>
      </c>
      <c r="R6" s="3" t="s">
        <v>66</v>
      </c>
      <c r="S6" s="3">
        <v>-12.649976000000001</v>
      </c>
      <c r="T6" s="3">
        <v>28.041173000000001</v>
      </c>
      <c r="U6" s="3" t="s">
        <v>61</v>
      </c>
      <c r="V6" s="3" t="s">
        <v>50</v>
      </c>
      <c r="W6" s="3" t="s">
        <v>46</v>
      </c>
      <c r="X6" s="3" t="s">
        <v>67</v>
      </c>
      <c r="Y6" s="3" t="s">
        <v>68</v>
      </c>
      <c r="Z6" s="3" t="s">
        <v>69</v>
      </c>
      <c r="AA6" s="3" t="s">
        <v>53</v>
      </c>
      <c r="AB6" s="4">
        <v>27000</v>
      </c>
      <c r="AC6" s="3" t="s">
        <v>232</v>
      </c>
      <c r="AD6">
        <f>IF(ISBLANK(AB6), "", AB6*Parameter!$H$3)</f>
        <v>21600</v>
      </c>
      <c r="AE6">
        <f>IF(J6="Concentrate",Parameter!$C$23,IF(Calib4!J6="Ore and concentrate",Parameter!$C$21,IF(F6="Smelter",Parameter!$C$10,IF(F6="Refinary",Parameter!$C$12,Parameter!$C$15))))</f>
        <v>12.466000000000001</v>
      </c>
      <c r="AF6">
        <f>IF(J6="Concentrate",Parameter!$C$24,IF(Calib4!J6="Ore and concentrate",Parameter!$C$22,IF(F6="Smelter",Parameter!$C$11,IF(F6="Refinary",Parameter!$C$13,Parameter!$C$16))))</f>
        <v>1.518</v>
      </c>
      <c r="AG6">
        <f t="shared" si="0"/>
        <v>269.26560000000006</v>
      </c>
      <c r="AH6">
        <f t="shared" si="1"/>
        <v>32.788800000000002</v>
      </c>
      <c r="AI6" s="2"/>
    </row>
    <row r="7" spans="1:44" x14ac:dyDescent="0.35">
      <c r="A7">
        <v>2207</v>
      </c>
      <c r="B7" t="s">
        <v>54</v>
      </c>
      <c r="C7" t="s">
        <v>43</v>
      </c>
      <c r="D7" t="s">
        <v>27</v>
      </c>
      <c r="E7" t="s">
        <v>58</v>
      </c>
      <c r="F7" t="s">
        <v>257</v>
      </c>
      <c r="H7" t="s">
        <v>33</v>
      </c>
      <c r="I7" t="s">
        <v>34</v>
      </c>
      <c r="J7" t="s">
        <v>38</v>
      </c>
      <c r="K7" t="s">
        <v>36</v>
      </c>
      <c r="L7" t="s">
        <v>36</v>
      </c>
      <c r="M7">
        <v>2017</v>
      </c>
      <c r="N7" t="s">
        <v>37</v>
      </c>
      <c r="O7" t="s">
        <v>41</v>
      </c>
      <c r="P7" t="s">
        <v>60</v>
      </c>
      <c r="R7" t="s">
        <v>43</v>
      </c>
      <c r="S7">
        <v>-12.649976000000001</v>
      </c>
      <c r="T7">
        <v>28.041173000000001</v>
      </c>
      <c r="U7" t="s">
        <v>61</v>
      </c>
      <c r="V7" t="s">
        <v>50</v>
      </c>
      <c r="W7" t="s">
        <v>46</v>
      </c>
      <c r="X7" t="s">
        <v>70</v>
      </c>
      <c r="Y7" t="s">
        <v>71</v>
      </c>
      <c r="Z7" t="s">
        <v>72</v>
      </c>
      <c r="AA7" t="s">
        <v>53</v>
      </c>
      <c r="AB7" s="2">
        <v>250000</v>
      </c>
      <c r="AC7" t="s">
        <v>232</v>
      </c>
      <c r="AD7">
        <f>IF(ISBLANK(AB7), "", AB7*Parameter!$H$3)</f>
        <v>200000</v>
      </c>
      <c r="AE7">
        <f>IF(J7="Concentrate",Parameter!$C$23,IF(Calib4!J7="Ore and concentrate",Parameter!$C$21,IF(F7="Smelter",Parameter!$C$10,IF(F7="Refinary",Parameter!$C$12,Parameter!$C$15))))</f>
        <v>9.266</v>
      </c>
      <c r="AF7">
        <f>IF(J7="Concentrate",Parameter!$C$24,IF(Calib4!J7="Ore and concentrate",Parameter!$C$22,IF(F7="Smelter",Parameter!$C$11,IF(F7="Refinary",Parameter!$C$13,Parameter!$C$16))))</f>
        <v>1.518</v>
      </c>
      <c r="AG7">
        <f t="shared" si="0"/>
        <v>1853.2</v>
      </c>
      <c r="AH7">
        <f t="shared" si="1"/>
        <v>303.60000000000002</v>
      </c>
      <c r="AM7" s="5" t="s">
        <v>103</v>
      </c>
      <c r="AN7" s="5" t="s">
        <v>103</v>
      </c>
    </row>
    <row r="8" spans="1:44" x14ac:dyDescent="0.35">
      <c r="A8">
        <v>2209</v>
      </c>
      <c r="B8" t="s">
        <v>73</v>
      </c>
      <c r="C8" t="s">
        <v>74</v>
      </c>
      <c r="D8" t="s">
        <v>27</v>
      </c>
      <c r="E8" t="s">
        <v>75</v>
      </c>
      <c r="H8" t="s">
        <v>29</v>
      </c>
      <c r="I8" t="s">
        <v>34</v>
      </c>
      <c r="J8" t="s">
        <v>82</v>
      </c>
      <c r="K8" t="s">
        <v>36</v>
      </c>
      <c r="L8" t="s">
        <v>36</v>
      </c>
      <c r="M8">
        <v>2017</v>
      </c>
      <c r="N8" t="s">
        <v>37</v>
      </c>
      <c r="O8" t="s">
        <v>41</v>
      </c>
      <c r="P8" s="12" t="s">
        <v>83</v>
      </c>
      <c r="Q8" s="2">
        <f>Parameter!$H$1/Parameter!$H$2*Calib4!AD8</f>
        <v>35464</v>
      </c>
      <c r="R8" t="s">
        <v>85</v>
      </c>
      <c r="S8">
        <v>-12.658916</v>
      </c>
      <c r="T8">
        <v>28.047927000000001</v>
      </c>
      <c r="U8" t="s">
        <v>61</v>
      </c>
      <c r="V8" t="s">
        <v>45</v>
      </c>
      <c r="W8" t="s">
        <v>46</v>
      </c>
      <c r="X8" t="s">
        <v>86</v>
      </c>
      <c r="Y8" t="s">
        <v>87</v>
      </c>
      <c r="Z8" t="s">
        <v>88</v>
      </c>
      <c r="AA8" t="s">
        <v>53</v>
      </c>
      <c r="AB8" s="2">
        <v>2145000</v>
      </c>
      <c r="AC8" t="s">
        <v>232</v>
      </c>
      <c r="AD8">
        <f>IF(ISBLANK(AB8), "", AB8*Parameter!$H$3)</f>
        <v>1716000</v>
      </c>
      <c r="AE8">
        <f>IF(J8="Concentrate",Parameter!$C$23,IF(Calib4!J8="Ore and concentrate",Parameter!$C$21,IF(F8="Smelter",Parameter!$C$10,IF(F8="Refinary",Parameter!$C$12,Parameter!$C$15))))</f>
        <v>7.2849999999999998E-2</v>
      </c>
      <c r="AF8">
        <f>IF(J8="Concentrate",Parameter!$C$24,IF(Calib4!J8="Ore and concentrate",Parameter!$C$22,IF(F8="Smelter",Parameter!$C$11,IF(F8="Refinary",Parameter!$C$13,Parameter!$C$16))))</f>
        <v>1.333E-2</v>
      </c>
      <c r="AG8">
        <f t="shared" si="0"/>
        <v>125.0106</v>
      </c>
      <c r="AH8">
        <f t="shared" si="1"/>
        <v>22.874279999999999</v>
      </c>
      <c r="AI8" s="2">
        <f>AD8*Parameter!$H$1</f>
        <v>10639.199999999999</v>
      </c>
      <c r="AJ8" s="2">
        <v>14187</v>
      </c>
      <c r="AM8" t="s">
        <v>234</v>
      </c>
      <c r="AN8" t="s">
        <v>234</v>
      </c>
    </row>
    <row r="9" spans="1:44" x14ac:dyDescent="0.35">
      <c r="A9">
        <v>2210</v>
      </c>
      <c r="B9" t="s">
        <v>76</v>
      </c>
      <c r="C9" t="s">
        <v>77</v>
      </c>
      <c r="D9" t="s">
        <v>27</v>
      </c>
      <c r="E9" t="s">
        <v>78</v>
      </c>
      <c r="H9" t="s">
        <v>29</v>
      </c>
      <c r="I9" t="s">
        <v>34</v>
      </c>
      <c r="J9" t="s">
        <v>82</v>
      </c>
      <c r="K9" t="s">
        <v>36</v>
      </c>
      <c r="L9" t="s">
        <v>36</v>
      </c>
      <c r="M9">
        <v>2017</v>
      </c>
      <c r="N9" t="s">
        <v>37</v>
      </c>
      <c r="O9" t="s">
        <v>41</v>
      </c>
      <c r="P9" t="s">
        <v>43</v>
      </c>
      <c r="R9" t="s">
        <v>89</v>
      </c>
      <c r="S9">
        <v>-12.657999999999999</v>
      </c>
      <c r="T9">
        <v>28.103000000000002</v>
      </c>
      <c r="U9" t="s">
        <v>44</v>
      </c>
      <c r="V9" t="s">
        <v>45</v>
      </c>
      <c r="W9" t="s">
        <v>46</v>
      </c>
      <c r="X9" t="s">
        <v>86</v>
      </c>
      <c r="Y9" t="s">
        <v>87</v>
      </c>
      <c r="Z9" t="s">
        <v>88</v>
      </c>
      <c r="AA9" t="s">
        <v>53</v>
      </c>
      <c r="AB9" s="2">
        <v>990000</v>
      </c>
      <c r="AC9" t="s">
        <v>232</v>
      </c>
      <c r="AD9">
        <f>IF(ISBLANK(AB9), "", AB9*Parameter!$H$3)</f>
        <v>792000</v>
      </c>
      <c r="AE9">
        <f>IF(J9="Concentrate",Parameter!$C$23,IF(Calib4!J9="Ore and concentrate",Parameter!$C$21,IF(F9="Smelter",Parameter!$C$10,IF(F9="Refinary",Parameter!$C$12,Parameter!$C$15))))</f>
        <v>7.2849999999999998E-2</v>
      </c>
      <c r="AF9">
        <f>IF(J9="Concentrate",Parameter!$C$24,IF(Calib4!J9="Ore and concentrate",Parameter!$C$22,IF(F9="Smelter",Parameter!$C$11,IF(F9="Refinary",Parameter!$C$13,Parameter!$C$16))))</f>
        <v>1.333E-2</v>
      </c>
      <c r="AG9">
        <f t="shared" si="0"/>
        <v>57.697199999999995</v>
      </c>
      <c r="AH9">
        <f t="shared" si="1"/>
        <v>10.557360000000001</v>
      </c>
      <c r="AI9" s="2">
        <f>AD9*Parameter!$H$1</f>
        <v>4910.3999999999996</v>
      </c>
      <c r="AJ9" s="2">
        <v>1294</v>
      </c>
      <c r="AM9" s="5" t="s">
        <v>103</v>
      </c>
      <c r="AN9" s="5" t="s">
        <v>103</v>
      </c>
      <c r="AO9" s="2">
        <v>450000</v>
      </c>
      <c r="AP9" t="s">
        <v>236</v>
      </c>
      <c r="AQ9" s="2">
        <v>8400</v>
      </c>
      <c r="AR9" t="s">
        <v>236</v>
      </c>
    </row>
    <row r="10" spans="1:44" x14ac:dyDescent="0.35">
      <c r="A10">
        <v>2211</v>
      </c>
      <c r="B10" t="s">
        <v>79</v>
      </c>
      <c r="C10" t="s">
        <v>80</v>
      </c>
      <c r="D10" t="s">
        <v>27</v>
      </c>
      <c r="E10" t="s">
        <v>81</v>
      </c>
      <c r="H10" t="s">
        <v>29</v>
      </c>
      <c r="I10" t="s">
        <v>34</v>
      </c>
      <c r="J10" t="s">
        <v>82</v>
      </c>
      <c r="K10" t="s">
        <v>36</v>
      </c>
      <c r="L10" t="s">
        <v>36</v>
      </c>
      <c r="M10">
        <v>2017</v>
      </c>
      <c r="N10" t="s">
        <v>37</v>
      </c>
      <c r="O10" t="s">
        <v>41</v>
      </c>
      <c r="P10" t="s">
        <v>84</v>
      </c>
      <c r="R10" t="s">
        <v>90</v>
      </c>
      <c r="S10">
        <v>-12.913955</v>
      </c>
      <c r="T10">
        <v>28.079191000000002</v>
      </c>
      <c r="U10" t="s">
        <v>44</v>
      </c>
      <c r="V10" t="s">
        <v>45</v>
      </c>
      <c r="W10" t="s">
        <v>46</v>
      </c>
      <c r="X10" t="s">
        <v>67</v>
      </c>
      <c r="Y10" t="s">
        <v>91</v>
      </c>
      <c r="Z10" t="s">
        <v>88</v>
      </c>
      <c r="AA10" t="s">
        <v>53</v>
      </c>
      <c r="AB10" s="2">
        <v>600000</v>
      </c>
      <c r="AC10" t="s">
        <v>232</v>
      </c>
      <c r="AD10">
        <f>IF(ISBLANK(AB10), "", AB10*Parameter!$H$3)</f>
        <v>480000</v>
      </c>
      <c r="AE10">
        <f>IF(J10="Concentrate",Parameter!$C$23,IF(Calib4!J10="Ore and concentrate",Parameter!$C$21,IF(F10="Smelter",Parameter!$C$10,IF(F10="Refinary",Parameter!$C$12,Parameter!$C$15))))</f>
        <v>7.2849999999999998E-2</v>
      </c>
      <c r="AF10">
        <f>IF(J10="Concentrate",Parameter!$C$24,IF(Calib4!J10="Ore and concentrate",Parameter!$C$22,IF(F10="Smelter",Parameter!$C$11,IF(F10="Refinary",Parameter!$C$13,Parameter!$C$16))))</f>
        <v>1.333E-2</v>
      </c>
      <c r="AG10">
        <f t="shared" si="0"/>
        <v>34.968000000000004</v>
      </c>
      <c r="AH10">
        <f t="shared" si="1"/>
        <v>6.3983999999999996</v>
      </c>
      <c r="AI10" s="2">
        <f>AD10*Parameter!$H$1</f>
        <v>2976</v>
      </c>
      <c r="AJ10" s="2">
        <v>8174</v>
      </c>
      <c r="AK10" s="2">
        <v>188916</v>
      </c>
      <c r="AL10" t="s">
        <v>103</v>
      </c>
      <c r="AM10" s="1">
        <v>3051</v>
      </c>
      <c r="AN10" s="1">
        <v>8023</v>
      </c>
      <c r="AQ10" s="2">
        <v>16500</v>
      </c>
      <c r="AR10" t="s">
        <v>236</v>
      </c>
    </row>
    <row r="11" spans="1:44" x14ac:dyDescent="0.35">
      <c r="A11">
        <v>2214</v>
      </c>
      <c r="B11" t="s">
        <v>92</v>
      </c>
      <c r="C11" t="s">
        <v>93</v>
      </c>
      <c r="D11" t="s">
        <v>27</v>
      </c>
      <c r="E11" t="s">
        <v>94</v>
      </c>
      <c r="G11" t="s">
        <v>284</v>
      </c>
      <c r="H11" t="s">
        <v>29</v>
      </c>
      <c r="I11" t="s">
        <v>34</v>
      </c>
      <c r="J11" t="s">
        <v>82</v>
      </c>
      <c r="K11" t="s">
        <v>36</v>
      </c>
      <c r="L11" t="s">
        <v>36</v>
      </c>
      <c r="M11">
        <v>2017</v>
      </c>
      <c r="N11" t="s">
        <v>37</v>
      </c>
      <c r="O11" t="s">
        <v>41</v>
      </c>
      <c r="P11" s="13" t="s">
        <v>95</v>
      </c>
      <c r="R11" t="s">
        <v>96</v>
      </c>
      <c r="S11">
        <v>-12.509245</v>
      </c>
      <c r="T11">
        <v>27.909251999999999</v>
      </c>
      <c r="U11" t="s">
        <v>44</v>
      </c>
      <c r="V11" t="s">
        <v>45</v>
      </c>
      <c r="W11" t="s">
        <v>46</v>
      </c>
      <c r="X11" t="s">
        <v>97</v>
      </c>
      <c r="Y11" t="s">
        <v>98</v>
      </c>
      <c r="Z11" t="s">
        <v>99</v>
      </c>
      <c r="AA11" t="s">
        <v>53</v>
      </c>
      <c r="AB11" s="2">
        <v>4500000</v>
      </c>
      <c r="AC11" t="s">
        <v>232</v>
      </c>
      <c r="AD11">
        <f>IF(ISBLANK(AB11), "", AB11*Parameter!$H$3)/2</f>
        <v>1800000</v>
      </c>
      <c r="AE11">
        <f>IF(J11="Concentrate",Parameter!$C$23,IF(Calib4!J11="Ore and concentrate",Parameter!$C$21,IF(F11="Smelter",Parameter!$C$10,IF(F11="Refinary",Parameter!$C$12,Parameter!$C$15))))</f>
        <v>7.2849999999999998E-2</v>
      </c>
      <c r="AF11">
        <f>IF(J11="Concentrate",Parameter!$C$24,IF(Calib4!J11="Ore and concentrate",Parameter!$C$22,IF(F11="Smelter",Parameter!$C$11,IF(F11="Refinary",Parameter!$C$13,Parameter!$C$16))))</f>
        <v>1.333E-2</v>
      </c>
      <c r="AG11">
        <f t="shared" si="0"/>
        <v>131.13</v>
      </c>
      <c r="AH11">
        <f t="shared" si="1"/>
        <v>23.994</v>
      </c>
      <c r="AI11" s="23">
        <f>AD11*Parameter!$H$1</f>
        <v>11160</v>
      </c>
      <c r="AJ11" s="24"/>
    </row>
    <row r="12" spans="1:44" x14ac:dyDescent="0.35">
      <c r="A12">
        <v>2223</v>
      </c>
      <c r="B12" t="s">
        <v>100</v>
      </c>
      <c r="C12" t="s">
        <v>101</v>
      </c>
      <c r="D12" t="s">
        <v>27</v>
      </c>
      <c r="E12" t="s">
        <v>102</v>
      </c>
      <c r="G12" t="s">
        <v>284</v>
      </c>
      <c r="H12" t="s">
        <v>29</v>
      </c>
      <c r="I12" t="s">
        <v>34</v>
      </c>
      <c r="J12" t="s">
        <v>82</v>
      </c>
      <c r="K12" t="s">
        <v>36</v>
      </c>
      <c r="L12" t="s">
        <v>36</v>
      </c>
      <c r="M12">
        <v>2017</v>
      </c>
      <c r="N12" t="s">
        <v>103</v>
      </c>
      <c r="O12" t="s">
        <v>41</v>
      </c>
      <c r="P12" t="s">
        <v>43</v>
      </c>
      <c r="R12" t="s">
        <v>96</v>
      </c>
      <c r="S12">
        <v>-12.407088999999999</v>
      </c>
      <c r="T12">
        <v>27.880268999999998</v>
      </c>
      <c r="U12" t="s">
        <v>61</v>
      </c>
      <c r="V12" t="s">
        <v>50</v>
      </c>
      <c r="W12" t="s">
        <v>46</v>
      </c>
      <c r="X12" t="s">
        <v>97</v>
      </c>
      <c r="Y12" t="s">
        <v>98</v>
      </c>
      <c r="Z12" t="s">
        <v>99</v>
      </c>
      <c r="AA12" t="s">
        <v>53</v>
      </c>
      <c r="AB12" s="2"/>
      <c r="AC12" t="s">
        <v>232</v>
      </c>
      <c r="AD12" t="str">
        <f>IF(ISBLANK(AB12), "", AB12*Parameter!$H$3)</f>
        <v/>
      </c>
      <c r="AE12">
        <f>IF(J12="Concentrate",Parameter!$C$23,IF(Calib4!J12="Ore and concentrate",Parameter!$C$21,IF(F12="Smelter",Parameter!$C$10,IF(F12="Refinary",Parameter!$C$12,Parameter!$C$15))))</f>
        <v>7.2849999999999998E-2</v>
      </c>
      <c r="AF12">
        <f>IF(J12="Concentrate",Parameter!$C$24,IF(Calib4!J12="Ore and concentrate",Parameter!$C$22,IF(F12="Smelter",Parameter!$C$11,IF(F12="Refinary",Parameter!$C$13,Parameter!$C$16))))</f>
        <v>1.333E-2</v>
      </c>
      <c r="AG12" t="str">
        <f t="shared" si="0"/>
        <v/>
      </c>
      <c r="AH12" t="str">
        <f t="shared" si="1"/>
        <v/>
      </c>
      <c r="AJ12" s="18"/>
    </row>
    <row r="13" spans="1:44" x14ac:dyDescent="0.35">
      <c r="A13">
        <v>2228</v>
      </c>
      <c r="B13" t="s">
        <v>104</v>
      </c>
      <c r="C13" t="s">
        <v>105</v>
      </c>
      <c r="D13" t="s">
        <v>27</v>
      </c>
      <c r="E13" t="s">
        <v>106</v>
      </c>
      <c r="H13" t="s">
        <v>29</v>
      </c>
      <c r="I13" t="s">
        <v>34</v>
      </c>
      <c r="J13" t="s">
        <v>82</v>
      </c>
      <c r="K13" t="s">
        <v>36</v>
      </c>
      <c r="L13" t="s">
        <v>36</v>
      </c>
      <c r="M13">
        <v>2017</v>
      </c>
      <c r="N13" t="s">
        <v>37</v>
      </c>
      <c r="O13" t="s">
        <v>41</v>
      </c>
      <c r="P13" s="12" t="s">
        <v>107</v>
      </c>
      <c r="Q13" s="2">
        <f>Calib4!AD13</f>
        <v>9600000</v>
      </c>
      <c r="R13" t="s">
        <v>108</v>
      </c>
      <c r="S13">
        <v>-12.093786</v>
      </c>
      <c r="T13">
        <v>26.429832999999999</v>
      </c>
      <c r="U13" t="s">
        <v>61</v>
      </c>
      <c r="V13" t="s">
        <v>50</v>
      </c>
      <c r="W13" t="s">
        <v>46</v>
      </c>
      <c r="X13" t="s">
        <v>109</v>
      </c>
      <c r="Y13" t="s">
        <v>110</v>
      </c>
      <c r="Z13" t="s">
        <v>49</v>
      </c>
      <c r="AA13" t="s">
        <v>111</v>
      </c>
      <c r="AB13" s="2">
        <v>12000000</v>
      </c>
      <c r="AC13" t="s">
        <v>232</v>
      </c>
      <c r="AD13">
        <f>IF(ISBLANK(AB13), "", AB13*Parameter!$H$3)</f>
        <v>9600000</v>
      </c>
      <c r="AE13">
        <f>IF(J13="Concentrate",Parameter!$C$23,IF(Calib4!J13="Ore and concentrate",Parameter!$C$21,IF(F13="Smelter",Parameter!$C$10,IF(F13="Refinary",Parameter!$C$12,Parameter!$C$15))))</f>
        <v>7.2849999999999998E-2</v>
      </c>
      <c r="AF13">
        <f>IF(J13="Concentrate",Parameter!$C$24,IF(Calib4!J13="Ore and concentrate",Parameter!$C$22,IF(F13="Smelter",Parameter!$C$11,IF(F13="Refinary",Parameter!$C$13,Parameter!$C$16))))</f>
        <v>1.333E-2</v>
      </c>
      <c r="AG13">
        <f t="shared" si="0"/>
        <v>699.36</v>
      </c>
      <c r="AH13">
        <f t="shared" si="1"/>
        <v>127.968</v>
      </c>
      <c r="AI13" s="22">
        <f>AD13*Parameter!$H$1</f>
        <v>59520</v>
      </c>
      <c r="AJ13" s="22">
        <v>232243</v>
      </c>
      <c r="AK13" s="2">
        <v>28151000</v>
      </c>
      <c r="AL13" s="2">
        <v>29134000</v>
      </c>
      <c r="AM13" s="1">
        <v>202159</v>
      </c>
      <c r="AN13" s="1">
        <v>221487</v>
      </c>
    </row>
    <row r="14" spans="1:44" x14ac:dyDescent="0.35">
      <c r="A14">
        <v>2230</v>
      </c>
      <c r="B14" t="s">
        <v>112</v>
      </c>
      <c r="C14" t="s">
        <v>113</v>
      </c>
      <c r="D14" t="s">
        <v>27</v>
      </c>
      <c r="E14" t="s">
        <v>114</v>
      </c>
      <c r="F14" t="s">
        <v>257</v>
      </c>
      <c r="H14" t="s">
        <v>33</v>
      </c>
      <c r="I14" t="s">
        <v>34</v>
      </c>
      <c r="J14" t="s">
        <v>38</v>
      </c>
      <c r="K14" t="s">
        <v>36</v>
      </c>
      <c r="L14" t="s">
        <v>36</v>
      </c>
      <c r="M14">
        <v>2017</v>
      </c>
      <c r="N14" t="s">
        <v>37</v>
      </c>
      <c r="O14" t="s">
        <v>41</v>
      </c>
      <c r="P14" t="s">
        <v>42</v>
      </c>
      <c r="R14" t="s">
        <v>115</v>
      </c>
      <c r="S14">
        <v>-12.088361000000001</v>
      </c>
      <c r="T14">
        <v>26.408977</v>
      </c>
      <c r="U14" t="s">
        <v>61</v>
      </c>
      <c r="V14" t="s">
        <v>50</v>
      </c>
      <c r="W14" t="s">
        <v>46</v>
      </c>
      <c r="X14" t="s">
        <v>109</v>
      </c>
      <c r="Y14" t="s">
        <v>110</v>
      </c>
      <c r="Z14" t="s">
        <v>49</v>
      </c>
      <c r="AA14" t="s">
        <v>111</v>
      </c>
      <c r="AB14" s="2">
        <v>340000</v>
      </c>
      <c r="AC14" t="s">
        <v>232</v>
      </c>
      <c r="AD14">
        <f>IF(ISBLANK(AB14), "", AB14*Parameter!$H$3)</f>
        <v>272000</v>
      </c>
      <c r="AE14">
        <f>IF(J14="Concentrate",Parameter!$C$23,IF(Calib4!J14="Ore and concentrate",Parameter!$C$21,IF(F14="Smelter",Parameter!$C$10,IF(F14="Refinary",Parameter!$C$12,Parameter!$C$15))))</f>
        <v>9.266</v>
      </c>
      <c r="AF14">
        <f>IF(J14="Concentrate",Parameter!$C$24,IF(Calib4!J14="Ore and concentrate",Parameter!$C$22,IF(F14="Smelter",Parameter!$C$11,IF(F14="Refinary",Parameter!$C$13,Parameter!$C$16))))</f>
        <v>1.518</v>
      </c>
      <c r="AG14">
        <f t="shared" si="0"/>
        <v>2520.3519999999999</v>
      </c>
      <c r="AH14">
        <f t="shared" si="1"/>
        <v>412.89600000000002</v>
      </c>
    </row>
    <row r="15" spans="1:44" x14ac:dyDescent="0.35">
      <c r="A15">
        <v>2234</v>
      </c>
      <c r="B15" t="s">
        <v>116</v>
      </c>
      <c r="C15" t="s">
        <v>117</v>
      </c>
      <c r="D15" t="s">
        <v>27</v>
      </c>
      <c r="E15" t="s">
        <v>118</v>
      </c>
      <c r="H15" t="s">
        <v>29</v>
      </c>
      <c r="I15" t="s">
        <v>34</v>
      </c>
      <c r="J15" t="s">
        <v>82</v>
      </c>
      <c r="K15" t="s">
        <v>36</v>
      </c>
      <c r="L15" t="s">
        <v>36</v>
      </c>
      <c r="M15">
        <v>2017</v>
      </c>
      <c r="N15" t="s">
        <v>37</v>
      </c>
      <c r="O15" t="s">
        <v>41</v>
      </c>
      <c r="P15" t="s">
        <v>43</v>
      </c>
      <c r="R15" t="s">
        <v>132</v>
      </c>
      <c r="S15">
        <v>-12.378788999999999</v>
      </c>
      <c r="T15">
        <v>27.826968000000001</v>
      </c>
      <c r="U15" t="s">
        <v>61</v>
      </c>
      <c r="V15" t="s">
        <v>133</v>
      </c>
      <c r="W15" t="s">
        <v>46</v>
      </c>
      <c r="X15" t="s">
        <v>97</v>
      </c>
      <c r="Y15" t="s">
        <v>98</v>
      </c>
      <c r="Z15" t="s">
        <v>99</v>
      </c>
      <c r="AA15" t="s">
        <v>53</v>
      </c>
      <c r="AB15" s="2">
        <v>2400000</v>
      </c>
      <c r="AC15" t="s">
        <v>232</v>
      </c>
      <c r="AD15">
        <f>IF(ISBLANK(AB15), "", AB15*Parameter!$H$3)</f>
        <v>1920000</v>
      </c>
      <c r="AE15">
        <f>IF(J15="Concentrate",Parameter!$C$23,IF(Calib4!J15="Ore and concentrate",Parameter!$C$21,IF(F15="Smelter",Parameter!$C$10,IF(F15="Refinary",Parameter!$C$12,Parameter!$C$15))))</f>
        <v>7.2849999999999998E-2</v>
      </c>
      <c r="AF15">
        <f>IF(J15="Concentrate",Parameter!$C$24,IF(Calib4!J15="Ore and concentrate",Parameter!$C$22,IF(F15="Smelter",Parameter!$C$11,IF(F15="Refinary",Parameter!$C$13,Parameter!$C$16))))</f>
        <v>1.333E-2</v>
      </c>
      <c r="AG15">
        <f t="shared" si="0"/>
        <v>139.87200000000001</v>
      </c>
      <c r="AH15">
        <f t="shared" si="1"/>
        <v>25.593599999999999</v>
      </c>
      <c r="AI15" s="23">
        <f>AD15*Parameter!$H$1</f>
        <v>11904</v>
      </c>
      <c r="AJ15" s="23">
        <v>1294</v>
      </c>
      <c r="AO15" s="2">
        <v>50000</v>
      </c>
      <c r="AP15" s="2"/>
      <c r="AQ15" s="2">
        <v>220000</v>
      </c>
    </row>
    <row r="16" spans="1:44" x14ac:dyDescent="0.35">
      <c r="A16">
        <v>2235</v>
      </c>
      <c r="B16" t="s">
        <v>119</v>
      </c>
      <c r="C16" t="s">
        <v>43</v>
      </c>
      <c r="D16" t="s">
        <v>27</v>
      </c>
      <c r="E16" t="s">
        <v>120</v>
      </c>
      <c r="G16" t="s">
        <v>281</v>
      </c>
      <c r="H16" t="s">
        <v>29</v>
      </c>
      <c r="I16" t="s">
        <v>34</v>
      </c>
      <c r="J16" t="s">
        <v>82</v>
      </c>
      <c r="K16" t="s">
        <v>129</v>
      </c>
      <c r="L16" t="s">
        <v>129</v>
      </c>
      <c r="M16">
        <v>2017</v>
      </c>
      <c r="N16" t="s">
        <v>37</v>
      </c>
      <c r="O16" t="s">
        <v>41</v>
      </c>
      <c r="P16" s="12" t="s">
        <v>130</v>
      </c>
      <c r="Q16" s="2">
        <f>Parameter!$H$1/Parameter!$H$2*Calib4!AD16</f>
        <v>8266.6666666666661</v>
      </c>
      <c r="R16" t="s">
        <v>134</v>
      </c>
      <c r="S16">
        <v>-13.068863</v>
      </c>
      <c r="T16">
        <v>28.322908999999999</v>
      </c>
      <c r="U16" t="s">
        <v>61</v>
      </c>
      <c r="V16" t="s">
        <v>133</v>
      </c>
      <c r="W16" t="s">
        <v>46</v>
      </c>
      <c r="X16" t="s">
        <v>47</v>
      </c>
      <c r="Y16" t="s">
        <v>48</v>
      </c>
      <c r="Z16" t="s">
        <v>49</v>
      </c>
      <c r="AA16" t="s">
        <v>53</v>
      </c>
      <c r="AB16" s="2">
        <v>500000</v>
      </c>
      <c r="AC16" t="s">
        <v>232</v>
      </c>
      <c r="AD16">
        <f>IF(ISBLANK(AB16), "", AB16*Parameter!$H$3)</f>
        <v>400000</v>
      </c>
      <c r="AE16">
        <f>IF(J16="Concentrate",Parameter!$C$23,IF(Calib4!J16="Ore and concentrate",Parameter!$C$21,IF(F16="Smelter",Parameter!$C$10,IF(F16="Refinary",Parameter!$C$12,Parameter!$C$15))))</f>
        <v>7.2849999999999998E-2</v>
      </c>
      <c r="AF16">
        <f>IF(J16="Concentrate",Parameter!$C$24,IF(Calib4!J16="Ore and concentrate",Parameter!$C$22,IF(F16="Smelter",Parameter!$C$11,IF(F16="Refinary",Parameter!$C$13,Parameter!$C$16))))</f>
        <v>1.333E-2</v>
      </c>
      <c r="AG16">
        <f t="shared" si="0"/>
        <v>29.14</v>
      </c>
      <c r="AH16">
        <f t="shared" si="1"/>
        <v>5.3319999999999999</v>
      </c>
      <c r="AI16" s="1">
        <f>AD16*Parameter!$H$1</f>
        <v>2480</v>
      </c>
      <c r="AJ16" s="18"/>
    </row>
    <row r="17" spans="1:44" x14ac:dyDescent="0.35">
      <c r="A17">
        <v>2236</v>
      </c>
      <c r="B17" t="s">
        <v>119</v>
      </c>
      <c r="C17" t="s">
        <v>121</v>
      </c>
      <c r="D17" t="s">
        <v>27</v>
      </c>
      <c r="E17" t="s">
        <v>122</v>
      </c>
      <c r="H17" t="s">
        <v>29</v>
      </c>
      <c r="I17" t="s">
        <v>34</v>
      </c>
      <c r="J17" t="s">
        <v>82</v>
      </c>
      <c r="K17" t="s">
        <v>36</v>
      </c>
      <c r="L17" t="s">
        <v>36</v>
      </c>
      <c r="M17">
        <v>2017</v>
      </c>
      <c r="N17" t="s">
        <v>37</v>
      </c>
      <c r="O17" t="s">
        <v>41</v>
      </c>
      <c r="P17" t="s">
        <v>43</v>
      </c>
      <c r="R17" t="s">
        <v>134</v>
      </c>
      <c r="S17">
        <v>-13.068863</v>
      </c>
      <c r="T17">
        <v>28.322908999999999</v>
      </c>
      <c r="U17" t="s">
        <v>61</v>
      </c>
      <c r="V17" t="s">
        <v>133</v>
      </c>
      <c r="W17" t="s">
        <v>46</v>
      </c>
      <c r="X17" t="s">
        <v>47</v>
      </c>
      <c r="Y17" t="s">
        <v>48</v>
      </c>
      <c r="Z17" t="s">
        <v>49</v>
      </c>
      <c r="AA17" t="s">
        <v>53</v>
      </c>
      <c r="AB17" s="2">
        <v>4500000</v>
      </c>
      <c r="AC17" t="s">
        <v>232</v>
      </c>
      <c r="AD17">
        <f>IF(ISBLANK(AB17), "", AB17*Parameter!$H$3)</f>
        <v>3600000</v>
      </c>
      <c r="AE17">
        <f>IF(J17="Concentrate",Parameter!$C$23,IF(Calib4!J17="Ore and concentrate",Parameter!$C$21,IF(F17="Smelter",Parameter!$C$10,IF(F17="Refinary",Parameter!$C$12,Parameter!$C$15))))</f>
        <v>7.2849999999999998E-2</v>
      </c>
      <c r="AF17">
        <f>IF(J17="Concentrate",Parameter!$C$24,IF(Calib4!J17="Ore and concentrate",Parameter!$C$22,IF(F17="Smelter",Parameter!$C$11,IF(F17="Refinary",Parameter!$C$13,Parameter!$C$16))))</f>
        <v>1.333E-2</v>
      </c>
      <c r="AG17">
        <f t="shared" si="0"/>
        <v>262.26</v>
      </c>
      <c r="AH17">
        <f t="shared" si="1"/>
        <v>47.988</v>
      </c>
      <c r="AI17" s="1">
        <f>AD17*Parameter!$H$1</f>
        <v>22320</v>
      </c>
      <c r="AJ17" s="18"/>
    </row>
    <row r="18" spans="1:44" x14ac:dyDescent="0.35">
      <c r="A18">
        <v>2237</v>
      </c>
      <c r="B18" t="s">
        <v>123</v>
      </c>
      <c r="C18" t="s">
        <v>124</v>
      </c>
      <c r="D18" t="s">
        <v>27</v>
      </c>
      <c r="E18" t="s">
        <v>125</v>
      </c>
      <c r="H18" t="s">
        <v>29</v>
      </c>
      <c r="I18" t="s">
        <v>34</v>
      </c>
      <c r="J18" t="s">
        <v>82</v>
      </c>
      <c r="K18" t="s">
        <v>36</v>
      </c>
      <c r="L18" t="s">
        <v>36</v>
      </c>
      <c r="M18">
        <v>2017</v>
      </c>
      <c r="N18" t="s">
        <v>37</v>
      </c>
      <c r="O18" t="s">
        <v>41</v>
      </c>
      <c r="P18" s="12" t="s">
        <v>131</v>
      </c>
      <c r="Q18" s="2">
        <f>Parameter!$H$1/Parameter!$H$2*Calib4!AD18</f>
        <v>41333.333333333336</v>
      </c>
      <c r="R18" t="s">
        <v>135</v>
      </c>
      <c r="S18">
        <v>-12.294129999999999</v>
      </c>
      <c r="T18">
        <v>27.765612000000001</v>
      </c>
      <c r="U18" t="s">
        <v>61</v>
      </c>
      <c r="V18" t="s">
        <v>50</v>
      </c>
      <c r="W18" t="s">
        <v>46</v>
      </c>
      <c r="X18" t="s">
        <v>136</v>
      </c>
      <c r="Y18" t="s">
        <v>137</v>
      </c>
      <c r="Z18" t="s">
        <v>138</v>
      </c>
      <c r="AA18" t="s">
        <v>53</v>
      </c>
      <c r="AB18" s="2">
        <v>2500000</v>
      </c>
      <c r="AC18" t="s">
        <v>232</v>
      </c>
      <c r="AD18">
        <f>IF(ISBLANK(AB18), "", AB18*Parameter!$H$3)</f>
        <v>2000000</v>
      </c>
      <c r="AE18">
        <f>IF(J18="Concentrate",Parameter!$C$23,IF(Calib4!J18="Ore and concentrate",Parameter!$C$21,IF(F18="Smelter",Parameter!$C$10,IF(F18="Refinary",Parameter!$C$12,Parameter!$C$15))))</f>
        <v>7.2849999999999998E-2</v>
      </c>
      <c r="AF18">
        <f>IF(J18="Concentrate",Parameter!$C$24,IF(Calib4!J18="Ore and concentrate",Parameter!$C$22,IF(F18="Smelter",Parameter!$C$11,IF(F18="Refinary",Parameter!$C$13,Parameter!$C$16))))</f>
        <v>1.333E-2</v>
      </c>
      <c r="AG18">
        <f t="shared" si="0"/>
        <v>145.69999999999999</v>
      </c>
      <c r="AH18">
        <f t="shared" si="1"/>
        <v>26.66</v>
      </c>
      <c r="AI18" s="2">
        <f>AD18*Parameter!$H$1</f>
        <v>12400</v>
      </c>
      <c r="AJ18" s="2">
        <v>1294</v>
      </c>
      <c r="AK18" s="2">
        <v>2654100</v>
      </c>
      <c r="AL18" s="2">
        <v>2520000</v>
      </c>
      <c r="AM18" s="1">
        <v>45584</v>
      </c>
      <c r="AN18" s="1">
        <v>43659</v>
      </c>
    </row>
    <row r="19" spans="1:44" x14ac:dyDescent="0.35">
      <c r="A19">
        <v>2238</v>
      </c>
      <c r="B19" t="s">
        <v>126</v>
      </c>
      <c r="C19" t="s">
        <v>127</v>
      </c>
      <c r="D19" t="s">
        <v>27</v>
      </c>
      <c r="E19" t="s">
        <v>128</v>
      </c>
      <c r="G19" t="s">
        <v>285</v>
      </c>
      <c r="H19" t="s">
        <v>29</v>
      </c>
      <c r="I19" t="s">
        <v>34</v>
      </c>
      <c r="J19" t="s">
        <v>82</v>
      </c>
      <c r="K19" t="s">
        <v>36</v>
      </c>
      <c r="L19" t="s">
        <v>36</v>
      </c>
      <c r="M19">
        <v>2017</v>
      </c>
      <c r="N19" t="s">
        <v>37</v>
      </c>
      <c r="O19" t="s">
        <v>41</v>
      </c>
      <c r="P19" t="s">
        <v>43</v>
      </c>
      <c r="R19" t="s">
        <v>139</v>
      </c>
      <c r="S19">
        <v>-12.230905</v>
      </c>
      <c r="T19">
        <v>25.817114</v>
      </c>
      <c r="U19" t="s">
        <v>61</v>
      </c>
      <c r="V19" t="s">
        <v>45</v>
      </c>
      <c r="W19" t="s">
        <v>46</v>
      </c>
      <c r="X19" t="s">
        <v>140</v>
      </c>
      <c r="Y19" t="s">
        <v>141</v>
      </c>
      <c r="Z19" t="s">
        <v>43</v>
      </c>
      <c r="AA19" t="s">
        <v>111</v>
      </c>
      <c r="AB19" s="2">
        <v>21000000</v>
      </c>
      <c r="AC19" t="s">
        <v>232</v>
      </c>
      <c r="AD19">
        <f>IF(ISBLANK(AB19), "", AB19*Parameter!$H$3)</f>
        <v>16800000</v>
      </c>
      <c r="AE19">
        <f>IF(J19="Concentrate",Parameter!$C$23,IF(Calib4!J19="Ore and concentrate",Parameter!$C$21,IF(F19="Smelter",Parameter!$C$10,IF(F19="Refinary",Parameter!$C$12,Parameter!$C$15))))</f>
        <v>7.2849999999999998E-2</v>
      </c>
      <c r="AF19">
        <f>IF(J19="Concentrate",Parameter!$C$24,IF(Calib4!J19="Ore and concentrate",Parameter!$C$22,IF(F19="Smelter",Parameter!$C$11,IF(F19="Refinary",Parameter!$C$13,Parameter!$C$16))))</f>
        <v>1.333E-2</v>
      </c>
      <c r="AG19">
        <f t="shared" si="0"/>
        <v>1223.8800000000001</v>
      </c>
      <c r="AH19">
        <f t="shared" si="1"/>
        <v>223.94399999999999</v>
      </c>
      <c r="AI19" s="2">
        <f>AD19*Parameter!$H$1</f>
        <v>104160</v>
      </c>
      <c r="AJ19" s="2">
        <v>107955</v>
      </c>
      <c r="AK19" t="s">
        <v>103</v>
      </c>
      <c r="AL19" s="2">
        <v>25290000</v>
      </c>
      <c r="AM19" s="1">
        <v>109769</v>
      </c>
      <c r="AN19" s="1">
        <v>125191</v>
      </c>
    </row>
    <row r="20" spans="1:44" x14ac:dyDescent="0.35">
      <c r="A20">
        <v>2243</v>
      </c>
      <c r="B20" t="s">
        <v>142</v>
      </c>
      <c r="C20" t="s">
        <v>143</v>
      </c>
      <c r="D20" t="s">
        <v>27</v>
      </c>
      <c r="E20" t="s">
        <v>144</v>
      </c>
      <c r="G20" t="s">
        <v>286</v>
      </c>
      <c r="H20" t="s">
        <v>29</v>
      </c>
      <c r="I20" t="s">
        <v>34</v>
      </c>
      <c r="J20" t="s">
        <v>82</v>
      </c>
      <c r="K20" t="s">
        <v>36</v>
      </c>
      <c r="L20" t="s">
        <v>36</v>
      </c>
      <c r="M20">
        <v>2017</v>
      </c>
      <c r="N20" t="s">
        <v>103</v>
      </c>
      <c r="O20" t="s">
        <v>41</v>
      </c>
      <c r="P20" t="s">
        <v>151</v>
      </c>
      <c r="R20" t="s">
        <v>43</v>
      </c>
      <c r="S20">
        <v>-13.944326</v>
      </c>
      <c r="T20">
        <v>29.140440000000002</v>
      </c>
      <c r="U20" t="s">
        <v>44</v>
      </c>
      <c r="V20" t="s">
        <v>50</v>
      </c>
      <c r="W20" t="s">
        <v>46</v>
      </c>
      <c r="X20" t="s">
        <v>153</v>
      </c>
      <c r="Y20" t="s">
        <v>154</v>
      </c>
      <c r="Z20" t="s">
        <v>155</v>
      </c>
      <c r="AA20" t="s">
        <v>159</v>
      </c>
      <c r="AB20" s="2"/>
      <c r="AC20" t="s">
        <v>232</v>
      </c>
      <c r="AD20" t="str">
        <f>IF(ISBLANK(AB20), "", AB20*Parameter!$H$3)</f>
        <v/>
      </c>
      <c r="AE20">
        <f>IF(J20="Concentrate",Parameter!$C$23,IF(Calib4!J20="Ore and concentrate",Parameter!$C$21,IF(F20="Smelter",Parameter!$C$10,IF(F20="Refinary",Parameter!$C$12,Parameter!$C$15))))</f>
        <v>7.2849999999999998E-2</v>
      </c>
      <c r="AF20">
        <f>IF(J20="Concentrate",Parameter!$C$24,IF(Calib4!J20="Ore and concentrate",Parameter!$C$22,IF(F20="Smelter",Parameter!$C$11,IF(F20="Refinary",Parameter!$C$13,Parameter!$C$16))))</f>
        <v>1.333E-2</v>
      </c>
      <c r="AG20" t="str">
        <f t="shared" si="0"/>
        <v/>
      </c>
      <c r="AH20" t="str">
        <f t="shared" si="1"/>
        <v/>
      </c>
      <c r="AJ20" s="18"/>
    </row>
    <row r="21" spans="1:44" x14ac:dyDescent="0.35">
      <c r="A21">
        <v>2244</v>
      </c>
      <c r="B21" t="s">
        <v>145</v>
      </c>
      <c r="C21" t="s">
        <v>146</v>
      </c>
      <c r="D21" t="s">
        <v>27</v>
      </c>
      <c r="E21" t="s">
        <v>147</v>
      </c>
      <c r="F21" t="s">
        <v>257</v>
      </c>
      <c r="G21" t="s">
        <v>274</v>
      </c>
      <c r="H21" t="s">
        <v>33</v>
      </c>
      <c r="I21" t="s">
        <v>34</v>
      </c>
      <c r="J21" t="s">
        <v>38</v>
      </c>
      <c r="K21" t="s">
        <v>36</v>
      </c>
      <c r="L21" t="s">
        <v>36</v>
      </c>
      <c r="M21">
        <v>2017</v>
      </c>
      <c r="N21" t="s">
        <v>37</v>
      </c>
      <c r="O21" t="s">
        <v>41</v>
      </c>
      <c r="P21" t="s">
        <v>152</v>
      </c>
      <c r="R21" t="s">
        <v>43</v>
      </c>
      <c r="S21">
        <v>-12.535</v>
      </c>
      <c r="T21">
        <v>28.234000000000002</v>
      </c>
      <c r="U21" t="s">
        <v>44</v>
      </c>
      <c r="V21" t="s">
        <v>62</v>
      </c>
      <c r="W21" t="s">
        <v>46</v>
      </c>
      <c r="X21" t="s">
        <v>156</v>
      </c>
      <c r="Y21" t="s">
        <v>157</v>
      </c>
      <c r="Z21" t="s">
        <v>158</v>
      </c>
      <c r="AA21" t="s">
        <v>53</v>
      </c>
      <c r="AB21" s="2">
        <v>200000</v>
      </c>
      <c r="AC21" t="s">
        <v>232</v>
      </c>
      <c r="AD21">
        <f>IF(ISBLANK(AB21), "", AB21*Parameter!$H$3)</f>
        <v>160000</v>
      </c>
      <c r="AE21">
        <v>6.9029999999999996</v>
      </c>
      <c r="AF21">
        <v>4.1749999999999998</v>
      </c>
      <c r="AG21">
        <f t="shared" si="0"/>
        <v>1104.48</v>
      </c>
      <c r="AH21">
        <f t="shared" si="1"/>
        <v>668</v>
      </c>
      <c r="AK21" t="s">
        <v>103</v>
      </c>
      <c r="AL21" t="s">
        <v>103</v>
      </c>
      <c r="AM21" s="5">
        <v>0</v>
      </c>
      <c r="AN21" s="5">
        <v>0</v>
      </c>
    </row>
    <row r="22" spans="1:44" x14ac:dyDescent="0.35">
      <c r="A22">
        <v>2245</v>
      </c>
      <c r="B22" t="s">
        <v>148</v>
      </c>
      <c r="C22" t="s">
        <v>149</v>
      </c>
      <c r="D22" t="s">
        <v>27</v>
      </c>
      <c r="E22" t="s">
        <v>150</v>
      </c>
      <c r="H22" t="s">
        <v>29</v>
      </c>
      <c r="I22" t="s">
        <v>34</v>
      </c>
      <c r="J22" t="s">
        <v>82</v>
      </c>
      <c r="K22" t="s">
        <v>36</v>
      </c>
      <c r="L22" t="s">
        <v>36</v>
      </c>
      <c r="M22">
        <v>2017</v>
      </c>
      <c r="N22" t="s">
        <v>37</v>
      </c>
      <c r="O22" t="s">
        <v>41</v>
      </c>
      <c r="P22" t="s">
        <v>43</v>
      </c>
      <c r="R22" t="s">
        <v>43</v>
      </c>
      <c r="S22">
        <v>-12.542415</v>
      </c>
      <c r="T22">
        <v>28.219801</v>
      </c>
      <c r="U22" t="s">
        <v>44</v>
      </c>
      <c r="V22" t="s">
        <v>50</v>
      </c>
      <c r="W22" t="s">
        <v>46</v>
      </c>
      <c r="X22" t="s">
        <v>156</v>
      </c>
      <c r="Y22" t="s">
        <v>157</v>
      </c>
      <c r="Z22" t="s">
        <v>158</v>
      </c>
      <c r="AA22" t="s">
        <v>53</v>
      </c>
      <c r="AB22" s="2">
        <v>2500000</v>
      </c>
      <c r="AC22" t="s">
        <v>232</v>
      </c>
      <c r="AD22">
        <f>IF(ISBLANK(AB22), "", AB22*Parameter!$H$3)</f>
        <v>2000000</v>
      </c>
      <c r="AE22">
        <f>IF(J22="Concentrate",Parameter!$C$23,IF(Calib4!J22="Ore and concentrate",Parameter!$C$21,IF(F22="Smelter",Parameter!$C$10,IF(F22="Refinary",Parameter!$C$12,Parameter!$C$15))))</f>
        <v>7.2849999999999998E-2</v>
      </c>
      <c r="AF22">
        <f>IF(J22="Concentrate",Parameter!$C$24,IF(Calib4!J22="Ore and concentrate",Parameter!$C$22,IF(F22="Smelter",Parameter!$C$11,IF(F22="Refinary",Parameter!$C$13,Parameter!$C$16))))</f>
        <v>1.333E-2</v>
      </c>
      <c r="AG22">
        <f t="shared" si="0"/>
        <v>145.69999999999999</v>
      </c>
      <c r="AH22">
        <f t="shared" si="1"/>
        <v>26.66</v>
      </c>
      <c r="AI22" s="22">
        <f>AD22*Parameter!$H$1</f>
        <v>12400</v>
      </c>
      <c r="AJ22" s="22">
        <v>61900</v>
      </c>
      <c r="AK22" s="2">
        <v>1440000</v>
      </c>
      <c r="AL22" t="s">
        <v>103</v>
      </c>
      <c r="AM22" s="1">
        <v>30551</v>
      </c>
      <c r="AN22" s="1">
        <v>82500</v>
      </c>
      <c r="AO22" s="2">
        <v>125000</v>
      </c>
      <c r="AP22" t="s">
        <v>236</v>
      </c>
      <c r="AQ22" s="2">
        <v>2500000</v>
      </c>
      <c r="AR22" t="s">
        <v>236</v>
      </c>
    </row>
    <row r="23" spans="1:44" x14ac:dyDescent="0.35">
      <c r="A23">
        <v>2247</v>
      </c>
      <c r="B23" t="s">
        <v>160</v>
      </c>
      <c r="C23" t="s">
        <v>161</v>
      </c>
      <c r="D23" t="s">
        <v>27</v>
      </c>
      <c r="E23" t="s">
        <v>162</v>
      </c>
      <c r="F23" t="s">
        <v>269</v>
      </c>
      <c r="H23" t="s">
        <v>33</v>
      </c>
      <c r="I23" t="s">
        <v>34</v>
      </c>
      <c r="J23" t="s">
        <v>38</v>
      </c>
      <c r="K23" t="s">
        <v>36</v>
      </c>
      <c r="L23" t="s">
        <v>36</v>
      </c>
      <c r="M23">
        <v>2017</v>
      </c>
      <c r="N23" t="s">
        <v>37</v>
      </c>
      <c r="O23" t="s">
        <v>41</v>
      </c>
      <c r="P23" t="s">
        <v>42</v>
      </c>
      <c r="R23" t="s">
        <v>43</v>
      </c>
      <c r="S23">
        <v>-12.534000000000001</v>
      </c>
      <c r="T23">
        <v>28.236999999999998</v>
      </c>
      <c r="U23" t="s">
        <v>44</v>
      </c>
      <c r="V23" t="s">
        <v>62</v>
      </c>
      <c r="W23" t="s">
        <v>46</v>
      </c>
      <c r="X23" t="s">
        <v>156</v>
      </c>
      <c r="Y23" t="s">
        <v>157</v>
      </c>
      <c r="Z23" t="s">
        <v>158</v>
      </c>
      <c r="AA23" t="s">
        <v>53</v>
      </c>
      <c r="AB23" s="2">
        <v>275000</v>
      </c>
      <c r="AC23" t="s">
        <v>232</v>
      </c>
      <c r="AD23">
        <f>IF(ISBLANK(AB23), "", AB23*Parameter!$H$3)</f>
        <v>220000</v>
      </c>
      <c r="AE23">
        <f>IF(J23="Concentrate",Parameter!$C$23,IF(Calib4!J23="Ore and concentrate",Parameter!$C$21,IF(F23="Smelter",Parameter!$C$10,IF(F23="Refinary",Parameter!$C$12,Parameter!$C$15))))</f>
        <v>3.2</v>
      </c>
      <c r="AF23">
        <f>IF(J23="Concentrate",Parameter!$C$24,IF(Calib4!J23="Ore and concentrate",Parameter!$C$22,IF(F23="Smelter",Parameter!$C$11,IF(F23="Refinary",Parameter!$C$13,Parameter!$C$16))))</f>
        <v>0</v>
      </c>
      <c r="AG23">
        <f t="shared" si="0"/>
        <v>704</v>
      </c>
      <c r="AH23">
        <f t="shared" si="1"/>
        <v>0</v>
      </c>
      <c r="AM23" t="s">
        <v>234</v>
      </c>
      <c r="AN23" t="s">
        <v>234</v>
      </c>
      <c r="AO23" s="2">
        <v>270000</v>
      </c>
      <c r="AP23" t="s">
        <v>236</v>
      </c>
    </row>
    <row r="24" spans="1:44" x14ac:dyDescent="0.35">
      <c r="A24">
        <v>2248</v>
      </c>
      <c r="B24" t="s">
        <v>163</v>
      </c>
      <c r="C24" t="s">
        <v>164</v>
      </c>
      <c r="D24" t="s">
        <v>27</v>
      </c>
      <c r="E24" t="s">
        <v>165</v>
      </c>
      <c r="F24" t="s">
        <v>270</v>
      </c>
      <c r="G24" s="3" t="s">
        <v>279</v>
      </c>
      <c r="H24" t="s">
        <v>33</v>
      </c>
      <c r="I24" t="s">
        <v>34</v>
      </c>
      <c r="J24" t="s">
        <v>38</v>
      </c>
      <c r="K24" t="s">
        <v>36</v>
      </c>
      <c r="L24" t="s">
        <v>36</v>
      </c>
      <c r="M24">
        <v>2017</v>
      </c>
      <c r="N24" t="s">
        <v>103</v>
      </c>
      <c r="O24" t="s">
        <v>41</v>
      </c>
      <c r="P24" t="s">
        <v>43</v>
      </c>
      <c r="R24" t="s">
        <v>237</v>
      </c>
      <c r="S24">
        <v>-12.533671</v>
      </c>
      <c r="T24">
        <v>28.238890999999999</v>
      </c>
      <c r="U24" t="s">
        <v>44</v>
      </c>
      <c r="V24" t="s">
        <v>62</v>
      </c>
      <c r="W24" t="s">
        <v>46</v>
      </c>
      <c r="X24" t="s">
        <v>156</v>
      </c>
      <c r="Y24" t="s">
        <v>157</v>
      </c>
      <c r="Z24" t="s">
        <v>158</v>
      </c>
      <c r="AA24" t="s">
        <v>53</v>
      </c>
      <c r="AB24" s="2"/>
      <c r="AC24" t="s">
        <v>232</v>
      </c>
      <c r="AD24" t="str">
        <f>IF(ISBLANK(AB24), "", AB24*Parameter!$H$3)</f>
        <v/>
      </c>
      <c r="AE24">
        <f>IF(J24="Concentrate",Parameter!$C$23,IF(Calib4!J24="Ore and concentrate",Parameter!$C$21,IF(F24="Smelter",Parameter!$C$10,IF(F24="Refinary",Parameter!$C$12,Parameter!$C$15))))</f>
        <v>12.466000000000001</v>
      </c>
      <c r="AF24">
        <f>IF(J24="Concentrate",Parameter!$C$24,IF(Calib4!J24="Ore and concentrate",Parameter!$C$22,IF(F24="Smelter",Parameter!$C$11,IF(F24="Refinary",Parameter!$C$13,Parameter!$C$16))))</f>
        <v>1.518</v>
      </c>
      <c r="AG24" t="str">
        <f t="shared" si="0"/>
        <v/>
      </c>
      <c r="AH24" t="str">
        <f t="shared" si="1"/>
        <v/>
      </c>
      <c r="AM24" t="s">
        <v>234</v>
      </c>
      <c r="AN24" t="s">
        <v>234</v>
      </c>
      <c r="AO24" t="s">
        <v>103</v>
      </c>
      <c r="AP24" t="s">
        <v>236</v>
      </c>
    </row>
    <row r="25" spans="1:44" x14ac:dyDescent="0.35">
      <c r="A25">
        <v>2249</v>
      </c>
      <c r="B25" t="s">
        <v>166</v>
      </c>
      <c r="C25" t="s">
        <v>167</v>
      </c>
      <c r="D25" t="s">
        <v>27</v>
      </c>
      <c r="E25" t="s">
        <v>168</v>
      </c>
      <c r="F25" t="s">
        <v>268</v>
      </c>
      <c r="G25" t="s">
        <v>278</v>
      </c>
      <c r="H25" t="s">
        <v>33</v>
      </c>
      <c r="I25" t="s">
        <v>34</v>
      </c>
      <c r="J25" t="s">
        <v>38</v>
      </c>
      <c r="K25" t="s">
        <v>36</v>
      </c>
      <c r="L25" t="s">
        <v>36</v>
      </c>
      <c r="M25">
        <v>2017</v>
      </c>
      <c r="N25" t="s">
        <v>37</v>
      </c>
      <c r="O25" t="s">
        <v>41</v>
      </c>
      <c r="P25" t="s">
        <v>42</v>
      </c>
      <c r="R25" t="s">
        <v>134</v>
      </c>
      <c r="S25">
        <v>-13.06861</v>
      </c>
      <c r="T25">
        <v>28.32583</v>
      </c>
      <c r="U25" t="s">
        <v>44</v>
      </c>
      <c r="V25" t="s">
        <v>62</v>
      </c>
      <c r="W25" t="s">
        <v>46</v>
      </c>
      <c r="X25" t="s">
        <v>47</v>
      </c>
      <c r="Y25" t="s">
        <v>169</v>
      </c>
      <c r="Z25" t="s">
        <v>43</v>
      </c>
      <c r="AA25" t="s">
        <v>53</v>
      </c>
      <c r="AB25" s="2">
        <v>40000</v>
      </c>
      <c r="AC25" t="s">
        <v>232</v>
      </c>
      <c r="AD25">
        <f>IF(ISBLANK(AB25), "", AB25*Parameter!$H$3)</f>
        <v>32000</v>
      </c>
      <c r="AE25">
        <f>IF(J25="Concentrate",Parameter!$C$23,IF(Calib4!J25="Ore and concentrate",Parameter!$C$21,IF(F25="Smelter",Parameter!$C$10,IF(F25="Refinary",Parameter!$C$12,Parameter!$C$15))))</f>
        <v>12.466000000000001</v>
      </c>
      <c r="AF25">
        <f>IF(J25="Concentrate",Parameter!$C$24,IF(Calib4!J25="Ore and concentrate",Parameter!$C$22,IF(F25="Smelter",Parameter!$C$11,IF(F25="Refinary",Parameter!$C$13,Parameter!$C$16))))</f>
        <v>1.518</v>
      </c>
      <c r="AG25">
        <f t="shared" si="0"/>
        <v>398.91200000000003</v>
      </c>
      <c r="AH25">
        <f t="shared" si="1"/>
        <v>48.576000000000001</v>
      </c>
      <c r="AJ25" s="1">
        <v>41876</v>
      </c>
      <c r="AO25" s="2">
        <v>34000</v>
      </c>
      <c r="AP25" t="s">
        <v>236</v>
      </c>
    </row>
    <row r="26" spans="1:44" x14ac:dyDescent="0.35">
      <c r="A26">
        <v>2251</v>
      </c>
      <c r="B26" t="s">
        <v>170</v>
      </c>
      <c r="C26" t="s">
        <v>171</v>
      </c>
      <c r="D26" t="s">
        <v>27</v>
      </c>
      <c r="E26" t="s">
        <v>172</v>
      </c>
      <c r="H26" t="s">
        <v>29</v>
      </c>
      <c r="I26" t="s">
        <v>34</v>
      </c>
      <c r="J26" t="s">
        <v>38</v>
      </c>
      <c r="K26" s="3" t="s">
        <v>36</v>
      </c>
      <c r="L26" s="3" t="s">
        <v>36</v>
      </c>
      <c r="M26">
        <v>2017</v>
      </c>
      <c r="N26" s="3" t="s">
        <v>37</v>
      </c>
      <c r="O26" s="3" t="s">
        <v>39</v>
      </c>
      <c r="P26" t="s">
        <v>174</v>
      </c>
      <c r="Q26" t="s">
        <v>294</v>
      </c>
      <c r="R26" t="s">
        <v>175</v>
      </c>
      <c r="S26" s="3">
        <v>-15.925446000000001</v>
      </c>
      <c r="T26" s="3">
        <v>28.129807</v>
      </c>
      <c r="U26" s="3" t="s">
        <v>61</v>
      </c>
      <c r="V26" s="3" t="s">
        <v>50</v>
      </c>
      <c r="W26" s="3" t="s">
        <v>46</v>
      </c>
      <c r="X26" s="3" t="s">
        <v>176</v>
      </c>
      <c r="Y26" s="3" t="s">
        <v>177</v>
      </c>
      <c r="Z26" s="3" t="s">
        <v>43</v>
      </c>
      <c r="AA26" s="3" t="s">
        <v>178</v>
      </c>
      <c r="AB26" s="2">
        <v>1700</v>
      </c>
      <c r="AC26" t="s">
        <v>232</v>
      </c>
      <c r="AD26">
        <f>IF(ISBLANK(AB26), "", AB26*Parameter!$H$3)</f>
        <v>1360</v>
      </c>
      <c r="AE26">
        <f>IF(J26="Concentrate",Parameter!$C$23,IF(Calib4!J26="Ore and concentrate",Parameter!$C$21,IF(F26="Smelter",Parameter!$C$10,IF(F26="Refinary",Parameter!$C$12,Parameter!$C$15))))</f>
        <v>12.466000000000001</v>
      </c>
      <c r="AF26">
        <f>IF(J26="Concentrate",Parameter!$C$24,IF(Calib4!J26="Ore and concentrate",Parameter!$C$22,IF(F26="Smelter",Parameter!$C$11,IF(F26="Refinary",Parameter!$C$13,Parameter!$C$16))))</f>
        <v>1.518</v>
      </c>
      <c r="AG26">
        <f t="shared" si="0"/>
        <v>16.953760000000003</v>
      </c>
      <c r="AH26">
        <f t="shared" si="1"/>
        <v>2.0644800000000001</v>
      </c>
      <c r="AJ26" s="2">
        <v>1338</v>
      </c>
      <c r="AK26" s="2">
        <v>175000</v>
      </c>
      <c r="AL26" s="2">
        <v>312500</v>
      </c>
      <c r="AM26" s="5" t="s">
        <v>103</v>
      </c>
      <c r="AN26" s="5" t="s">
        <v>103</v>
      </c>
    </row>
    <row r="27" spans="1:44" x14ac:dyDescent="0.35">
      <c r="A27">
        <v>2253</v>
      </c>
      <c r="B27" t="s">
        <v>179</v>
      </c>
      <c r="C27" t="s">
        <v>180</v>
      </c>
      <c r="D27" t="s">
        <v>27</v>
      </c>
      <c r="E27" t="s">
        <v>181</v>
      </c>
      <c r="F27" t="s">
        <v>257</v>
      </c>
      <c r="H27" t="s">
        <v>29</v>
      </c>
      <c r="I27" t="s">
        <v>34</v>
      </c>
      <c r="J27" t="s">
        <v>38</v>
      </c>
      <c r="K27" t="s">
        <v>36</v>
      </c>
      <c r="L27" t="s">
        <v>36</v>
      </c>
      <c r="M27">
        <v>2017</v>
      </c>
      <c r="N27" t="s">
        <v>37</v>
      </c>
      <c r="O27" t="s">
        <v>41</v>
      </c>
      <c r="P27" t="s">
        <v>43</v>
      </c>
      <c r="R27" t="s">
        <v>182</v>
      </c>
      <c r="S27">
        <v>-12.72194</v>
      </c>
      <c r="T27">
        <v>27.968019999999999</v>
      </c>
      <c r="U27" t="s">
        <v>44</v>
      </c>
      <c r="V27" t="s">
        <v>62</v>
      </c>
      <c r="W27" t="s">
        <v>46</v>
      </c>
      <c r="X27" t="s">
        <v>63</v>
      </c>
      <c r="Y27" t="s">
        <v>64</v>
      </c>
      <c r="Z27" t="s">
        <v>65</v>
      </c>
      <c r="AA27" t="s">
        <v>53</v>
      </c>
      <c r="AB27" s="2">
        <v>600000</v>
      </c>
      <c r="AC27" t="s">
        <v>232</v>
      </c>
      <c r="AD27" s="21">
        <f>IF(ISBLANK(AB27), "", AB27*Parameter!$H$3)</f>
        <v>480000</v>
      </c>
      <c r="AE27">
        <f>IF(J27="Concentrate",Parameter!$C$23,IF(Calib4!J27="Ore and concentrate",Parameter!$C$21,IF(F27="Smelter",Parameter!$C$10,IF(F27="Refinary",Parameter!$C$12,Parameter!$C$15))))</f>
        <v>9.266</v>
      </c>
      <c r="AF27">
        <f>IF(J27="Concentrate",Parameter!$C$24,IF(Calib4!J27="Ore and concentrate",Parameter!$C$22,IF(F27="Smelter",Parameter!$C$11,IF(F27="Refinary",Parameter!$C$13,Parameter!$C$16))))</f>
        <v>1.518</v>
      </c>
      <c r="AG27">
        <f t="shared" si="0"/>
        <v>4447.68</v>
      </c>
      <c r="AH27">
        <f t="shared" si="1"/>
        <v>728.64</v>
      </c>
      <c r="AJ27" s="22">
        <v>6973</v>
      </c>
    </row>
    <row r="28" spans="1:44" x14ac:dyDescent="0.35">
      <c r="A28">
        <v>2257</v>
      </c>
      <c r="B28" t="s">
        <v>183</v>
      </c>
      <c r="C28" t="s">
        <v>184</v>
      </c>
      <c r="D28" t="s">
        <v>27</v>
      </c>
      <c r="E28" t="s">
        <v>185</v>
      </c>
      <c r="F28" t="s">
        <v>257</v>
      </c>
      <c r="H28" t="s">
        <v>33</v>
      </c>
      <c r="I28" t="s">
        <v>34</v>
      </c>
      <c r="J28" t="s">
        <v>38</v>
      </c>
      <c r="K28" t="s">
        <v>36</v>
      </c>
      <c r="L28" t="s">
        <v>36</v>
      </c>
      <c r="M28">
        <v>2017</v>
      </c>
      <c r="N28" t="s">
        <v>37</v>
      </c>
      <c r="O28" t="s">
        <v>41</v>
      </c>
      <c r="P28" t="s">
        <v>195</v>
      </c>
      <c r="R28" t="s">
        <v>96</v>
      </c>
      <c r="S28">
        <v>-12.531000000000001</v>
      </c>
      <c r="T28">
        <v>27.855</v>
      </c>
      <c r="U28" t="s">
        <v>44</v>
      </c>
      <c r="V28" t="s">
        <v>62</v>
      </c>
      <c r="W28" t="s">
        <v>46</v>
      </c>
      <c r="X28" t="s">
        <v>97</v>
      </c>
      <c r="Y28" t="s">
        <v>98</v>
      </c>
      <c r="Z28" t="s">
        <v>99</v>
      </c>
      <c r="AA28" t="s">
        <v>53</v>
      </c>
      <c r="AB28" s="2">
        <v>311000</v>
      </c>
      <c r="AC28" t="s">
        <v>232</v>
      </c>
      <c r="AD28">
        <f>IF(ISBLANK(AB28), "", AB28*Parameter!$H$3)</f>
        <v>248800</v>
      </c>
      <c r="AE28">
        <f>IF(J28="Concentrate",Parameter!$C$23,IF(Calib4!J28="Ore and concentrate",Parameter!$C$21,IF(F28="Smelter",Parameter!$C$10,IF(F28="Refinary",Parameter!$C$12,Parameter!$C$15))))</f>
        <v>9.266</v>
      </c>
      <c r="AF28">
        <f>IF(J28="Concentrate",Parameter!$C$24,IF(Calib4!J28="Ore and concentrate",Parameter!$C$22,IF(F28="Smelter",Parameter!$C$11,IF(F28="Refinary",Parameter!$C$13,Parameter!$C$16))))</f>
        <v>1.518</v>
      </c>
      <c r="AG28">
        <f t="shared" si="0"/>
        <v>2305.3807999999999</v>
      </c>
      <c r="AH28">
        <f t="shared" si="1"/>
        <v>377.67840000000001</v>
      </c>
    </row>
    <row r="29" spans="1:44" x14ac:dyDescent="0.35">
      <c r="A29">
        <v>2258</v>
      </c>
      <c r="B29" t="s">
        <v>186</v>
      </c>
      <c r="C29" t="s">
        <v>187</v>
      </c>
      <c r="D29" t="s">
        <v>27</v>
      </c>
      <c r="E29" t="s">
        <v>188</v>
      </c>
      <c r="G29" t="s">
        <v>284</v>
      </c>
      <c r="H29" t="s">
        <v>29</v>
      </c>
      <c r="I29" t="s">
        <v>34</v>
      </c>
      <c r="J29" t="s">
        <v>82</v>
      </c>
      <c r="K29" t="s">
        <v>36</v>
      </c>
      <c r="L29" t="s">
        <v>36</v>
      </c>
      <c r="M29">
        <v>2017</v>
      </c>
      <c r="N29" t="s">
        <v>37</v>
      </c>
      <c r="O29" t="s">
        <v>41</v>
      </c>
      <c r="P29" s="13" t="s">
        <v>95</v>
      </c>
      <c r="R29" t="s">
        <v>96</v>
      </c>
      <c r="S29">
        <v>-12.536110000000001</v>
      </c>
      <c r="T29">
        <v>27.833120000000001</v>
      </c>
      <c r="U29" t="s">
        <v>44</v>
      </c>
      <c r="V29" t="s">
        <v>45</v>
      </c>
      <c r="W29" t="s">
        <v>46</v>
      </c>
      <c r="X29" t="s">
        <v>97</v>
      </c>
      <c r="Y29" t="s">
        <v>98</v>
      </c>
      <c r="Z29" t="s">
        <v>99</v>
      </c>
      <c r="AA29" t="s">
        <v>53</v>
      </c>
      <c r="AB29" s="2">
        <v>4500000</v>
      </c>
      <c r="AC29" t="s">
        <v>232</v>
      </c>
      <c r="AD29">
        <f>IF(ISBLANK(AB29), "", AB29*Parameter!$H$3)/2</f>
        <v>1800000</v>
      </c>
      <c r="AE29">
        <f>IF(J29="Concentrate",Parameter!$C$23,IF(Calib4!J29="Ore and concentrate",Parameter!$C$21,IF(F29="Smelter",Parameter!$C$10,IF(F29="Refinary",Parameter!$C$12,Parameter!$C$15))))</f>
        <v>7.2849999999999998E-2</v>
      </c>
      <c r="AF29">
        <f>IF(J29="Concentrate",Parameter!$C$24,IF(Calib4!J29="Ore and concentrate",Parameter!$C$22,IF(F29="Smelter",Parameter!$C$11,IF(F29="Refinary",Parameter!$C$13,Parameter!$C$16))))</f>
        <v>1.333E-2</v>
      </c>
      <c r="AG29">
        <f t="shared" si="0"/>
        <v>131.13</v>
      </c>
      <c r="AH29">
        <f t="shared" si="1"/>
        <v>23.994</v>
      </c>
      <c r="AI29" s="2">
        <f>AD29*Parameter!$H$1</f>
        <v>11160</v>
      </c>
      <c r="AJ29" s="2">
        <v>65544</v>
      </c>
      <c r="AK29" s="2"/>
      <c r="AL29" s="2"/>
      <c r="AM29" s="1"/>
      <c r="AN29" s="1"/>
      <c r="AQ29" s="2">
        <v>4500000</v>
      </c>
      <c r="AR29" t="s">
        <v>236</v>
      </c>
    </row>
    <row r="30" spans="1:44" x14ac:dyDescent="0.35">
      <c r="A30">
        <v>2259</v>
      </c>
      <c r="B30" t="s">
        <v>189</v>
      </c>
      <c r="C30" t="s">
        <v>190</v>
      </c>
      <c r="D30" t="s">
        <v>27</v>
      </c>
      <c r="E30" t="s">
        <v>191</v>
      </c>
      <c r="F30" t="s">
        <v>268</v>
      </c>
      <c r="G30" t="s">
        <v>278</v>
      </c>
      <c r="H30" t="s">
        <v>33</v>
      </c>
      <c r="I30" t="s">
        <v>34</v>
      </c>
      <c r="J30" t="s">
        <v>38</v>
      </c>
      <c r="K30" t="s">
        <v>36</v>
      </c>
      <c r="L30" t="s">
        <v>36</v>
      </c>
      <c r="M30">
        <v>2017</v>
      </c>
      <c r="N30" t="s">
        <v>37</v>
      </c>
      <c r="O30" t="s">
        <v>41</v>
      </c>
      <c r="P30" t="s">
        <v>42</v>
      </c>
      <c r="R30" t="s">
        <v>96</v>
      </c>
      <c r="S30">
        <v>-12.566381</v>
      </c>
      <c r="T30">
        <v>27.814871</v>
      </c>
      <c r="U30" t="s">
        <v>44</v>
      </c>
      <c r="V30" t="s">
        <v>45</v>
      </c>
      <c r="W30" t="s">
        <v>46</v>
      </c>
      <c r="X30" t="s">
        <v>97</v>
      </c>
      <c r="Y30" t="s">
        <v>98</v>
      </c>
      <c r="Z30" t="s">
        <v>99</v>
      </c>
      <c r="AA30" t="s">
        <v>53</v>
      </c>
      <c r="AB30" s="2">
        <v>80000</v>
      </c>
      <c r="AC30" t="s">
        <v>232</v>
      </c>
      <c r="AD30">
        <f>IF(ISBLANK(AB30), "", AB30*Parameter!$H$3)</f>
        <v>64000</v>
      </c>
      <c r="AE30">
        <f>IF(J30="Concentrate",Parameter!$C$23,IF(Calib4!J30="Ore and concentrate",Parameter!$C$21,IF(F30="Smelter",Parameter!$C$10,IF(F30="Refinary",Parameter!$C$12,Parameter!$C$15))))</f>
        <v>12.466000000000001</v>
      </c>
      <c r="AF30">
        <f>IF(J30="Concentrate",Parameter!$C$24,IF(Calib4!J30="Ore and concentrate",Parameter!$C$22,IF(F30="Smelter",Parameter!$C$11,IF(F30="Refinary",Parameter!$C$13,Parameter!$C$16))))</f>
        <v>1.518</v>
      </c>
      <c r="AG30">
        <f t="shared" si="0"/>
        <v>797.82400000000007</v>
      </c>
      <c r="AH30">
        <f t="shared" si="1"/>
        <v>97.152000000000001</v>
      </c>
      <c r="AO30" t="s">
        <v>239</v>
      </c>
      <c r="AP30" t="s">
        <v>236</v>
      </c>
    </row>
    <row r="31" spans="1:44" x14ac:dyDescent="0.35">
      <c r="A31">
        <v>2260</v>
      </c>
      <c r="B31" t="s">
        <v>192</v>
      </c>
      <c r="C31" t="s">
        <v>193</v>
      </c>
      <c r="D31" t="s">
        <v>27</v>
      </c>
      <c r="E31" t="s">
        <v>194</v>
      </c>
      <c r="G31" t="s">
        <v>283</v>
      </c>
      <c r="H31" t="s">
        <v>29</v>
      </c>
      <c r="I31" t="s">
        <v>34</v>
      </c>
      <c r="J31" t="s">
        <v>82</v>
      </c>
      <c r="K31" t="s">
        <v>36</v>
      </c>
      <c r="L31" t="s">
        <v>36</v>
      </c>
      <c r="M31">
        <v>2017</v>
      </c>
      <c r="N31" t="s">
        <v>37</v>
      </c>
      <c r="O31" t="s">
        <v>41</v>
      </c>
      <c r="P31" t="s">
        <v>43</v>
      </c>
      <c r="R31" t="s">
        <v>96</v>
      </c>
      <c r="S31">
        <v>-12.507612999999999</v>
      </c>
      <c r="T31">
        <v>27.875482000000002</v>
      </c>
      <c r="U31" t="s">
        <v>44</v>
      </c>
      <c r="V31" t="s">
        <v>50</v>
      </c>
      <c r="W31" t="s">
        <v>46</v>
      </c>
      <c r="X31" t="s">
        <v>97</v>
      </c>
      <c r="Y31" t="s">
        <v>98</v>
      </c>
      <c r="Z31" t="s">
        <v>99</v>
      </c>
      <c r="AA31" t="s">
        <v>53</v>
      </c>
      <c r="AB31" s="2">
        <v>2800000</v>
      </c>
      <c r="AC31" t="s">
        <v>232</v>
      </c>
      <c r="AD31">
        <f>IF(ISBLANK(AB31), "", AB31*Parameter!$H$3)</f>
        <v>2240000</v>
      </c>
      <c r="AE31">
        <f>IF(J31="Concentrate",Parameter!$C$23,IF(Calib4!J31="Ore and concentrate",Parameter!$C$21,IF(F31="Smelter",Parameter!$C$10,IF(F31="Refinary",Parameter!$C$12,Parameter!$C$15))))</f>
        <v>7.2849999999999998E-2</v>
      </c>
      <c r="AF31">
        <f>IF(J31="Concentrate",Parameter!$C$24,IF(Calib4!J31="Ore and concentrate",Parameter!$C$22,IF(F31="Smelter",Parameter!$C$11,IF(F31="Refinary",Parameter!$C$13,Parameter!$C$16))))</f>
        <v>1.333E-2</v>
      </c>
      <c r="AG31">
        <f t="shared" si="0"/>
        <v>163.184</v>
      </c>
      <c r="AH31">
        <f t="shared" si="1"/>
        <v>29.859200000000001</v>
      </c>
      <c r="AI31" s="2">
        <f>AD31*Parameter!$H$1</f>
        <v>13888</v>
      </c>
      <c r="AJ31" s="2">
        <v>1294</v>
      </c>
      <c r="AK31" s="2">
        <v>2820706</v>
      </c>
      <c r="AL31" s="2">
        <v>2820706</v>
      </c>
      <c r="AM31" s="1">
        <v>65544</v>
      </c>
      <c r="AN31" s="1">
        <v>65544</v>
      </c>
      <c r="AQ31" s="2">
        <v>2800000</v>
      </c>
      <c r="AR31" t="s">
        <v>236</v>
      </c>
    </row>
    <row r="32" spans="1:44" x14ac:dyDescent="0.35">
      <c r="A32">
        <v>2262</v>
      </c>
      <c r="B32" t="s">
        <v>196</v>
      </c>
      <c r="C32" t="s">
        <v>43</v>
      </c>
      <c r="D32" t="s">
        <v>27</v>
      </c>
      <c r="E32" t="s">
        <v>197</v>
      </c>
      <c r="F32" t="s">
        <v>268</v>
      </c>
      <c r="G32" t="s">
        <v>277</v>
      </c>
      <c r="H32" t="s">
        <v>33</v>
      </c>
      <c r="I32" t="s">
        <v>34</v>
      </c>
      <c r="J32" t="s">
        <v>38</v>
      </c>
      <c r="K32" t="s">
        <v>36</v>
      </c>
      <c r="L32" t="s">
        <v>36</v>
      </c>
      <c r="M32">
        <v>2017</v>
      </c>
      <c r="N32" t="s">
        <v>37</v>
      </c>
      <c r="O32" t="s">
        <v>41</v>
      </c>
      <c r="P32" t="s">
        <v>42</v>
      </c>
      <c r="R32" t="s">
        <v>200</v>
      </c>
      <c r="S32">
        <v>-12.843</v>
      </c>
      <c r="T32">
        <v>28.204999999999998</v>
      </c>
      <c r="U32" t="s">
        <v>44</v>
      </c>
      <c r="V32" t="s">
        <v>62</v>
      </c>
      <c r="W32" t="s">
        <v>46</v>
      </c>
      <c r="X32" t="s">
        <v>156</v>
      </c>
      <c r="Y32" t="s">
        <v>157</v>
      </c>
      <c r="Z32" t="s">
        <v>158</v>
      </c>
      <c r="AA32" t="s">
        <v>53</v>
      </c>
      <c r="AB32" s="2">
        <v>15000</v>
      </c>
      <c r="AC32" t="s">
        <v>232</v>
      </c>
      <c r="AD32">
        <f>IF(ISBLANK(AB32), "", AB32*Parameter!$H$3)</f>
        <v>12000</v>
      </c>
      <c r="AE32">
        <f>IF(J32="Concentrate",Parameter!$C$23,IF(Calib4!J32="Ore and concentrate",Parameter!$C$21,IF(F32="Smelter",Parameter!$C$10,IF(F32="Refinary",Parameter!$C$12,Parameter!$C$15))))</f>
        <v>12.466000000000001</v>
      </c>
      <c r="AF32">
        <f>IF(J32="Concentrate",Parameter!$C$24,IF(Calib4!J32="Ore and concentrate",Parameter!$C$22,IF(F32="Smelter",Parameter!$C$11,IF(F32="Refinary",Parameter!$C$13,Parameter!$C$16))))</f>
        <v>1.518</v>
      </c>
      <c r="AG32">
        <f t="shared" si="0"/>
        <v>149.59200000000001</v>
      </c>
      <c r="AH32">
        <f t="shared" si="1"/>
        <v>18.216000000000001</v>
      </c>
      <c r="AJ32" s="2">
        <v>1294</v>
      </c>
      <c r="AK32" t="s">
        <v>103</v>
      </c>
      <c r="AL32" t="s">
        <v>103</v>
      </c>
      <c r="AM32" s="5" t="s">
        <v>103</v>
      </c>
      <c r="AN32" s="5" t="s">
        <v>103</v>
      </c>
    </row>
    <row r="33" spans="1:40" x14ac:dyDescent="0.35">
      <c r="A33">
        <v>2263</v>
      </c>
      <c r="B33" t="s">
        <v>196</v>
      </c>
      <c r="C33" t="s">
        <v>198</v>
      </c>
      <c r="D33" t="s">
        <v>27</v>
      </c>
      <c r="E33" t="s">
        <v>199</v>
      </c>
      <c r="F33" t="s">
        <v>269</v>
      </c>
      <c r="G33" t="s">
        <v>259</v>
      </c>
      <c r="H33" t="s">
        <v>33</v>
      </c>
      <c r="I33" t="s">
        <v>34</v>
      </c>
      <c r="J33" t="s">
        <v>38</v>
      </c>
      <c r="K33" t="s">
        <v>36</v>
      </c>
      <c r="L33" t="s">
        <v>36</v>
      </c>
      <c r="M33">
        <v>2017</v>
      </c>
      <c r="N33" t="s">
        <v>37</v>
      </c>
      <c r="O33" t="s">
        <v>41</v>
      </c>
      <c r="P33" t="s">
        <v>42</v>
      </c>
      <c r="R33" t="s">
        <v>201</v>
      </c>
      <c r="S33">
        <v>-12.843</v>
      </c>
      <c r="T33">
        <v>28.204999999999998</v>
      </c>
      <c r="U33" t="s">
        <v>44</v>
      </c>
      <c r="V33" t="s">
        <v>62</v>
      </c>
      <c r="W33" t="s">
        <v>46</v>
      </c>
      <c r="X33" t="s">
        <v>97</v>
      </c>
      <c r="Y33" t="s">
        <v>98</v>
      </c>
      <c r="Z33" t="s">
        <v>99</v>
      </c>
      <c r="AA33" t="s">
        <v>53</v>
      </c>
      <c r="AB33" s="2">
        <v>300000</v>
      </c>
      <c r="AC33" t="s">
        <v>232</v>
      </c>
      <c r="AD33">
        <f>IF(ISBLANK(AB33), "", AB33*Parameter!$H$3)</f>
        <v>240000</v>
      </c>
      <c r="AE33">
        <f>IF(J33="Concentrate",Parameter!$C$23,IF(Calib4!J33="Ore and concentrate",Parameter!$C$21,IF(F33="Smelter",Parameter!$C$10,IF(F33="Refinary",Parameter!$C$12,Parameter!$C$15))))</f>
        <v>3.2</v>
      </c>
      <c r="AF33">
        <f>IF(J33="Concentrate",Parameter!$C$24,IF(Calib4!J33="Ore and concentrate",Parameter!$C$22,IF(F33="Smelter",Parameter!$C$11,IF(F33="Refinary",Parameter!$C$13,Parameter!$C$16))))</f>
        <v>0</v>
      </c>
      <c r="AG33">
        <f t="shared" si="0"/>
        <v>768</v>
      </c>
      <c r="AH33">
        <f t="shared" si="1"/>
        <v>0</v>
      </c>
      <c r="AK33" t="s">
        <v>103</v>
      </c>
      <c r="AL33" t="s">
        <v>103</v>
      </c>
      <c r="AM33" s="5" t="s">
        <v>103</v>
      </c>
      <c r="AN33" s="5" t="s">
        <v>103</v>
      </c>
    </row>
    <row r="34" spans="1:40" x14ac:dyDescent="0.35">
      <c r="A34">
        <v>2266</v>
      </c>
      <c r="B34" t="s">
        <v>202</v>
      </c>
      <c r="C34" t="s">
        <v>203</v>
      </c>
      <c r="D34" t="s">
        <v>27</v>
      </c>
      <c r="E34" t="s">
        <v>204</v>
      </c>
      <c r="G34" t="s">
        <v>284</v>
      </c>
      <c r="H34" t="s">
        <v>29</v>
      </c>
      <c r="I34" t="s">
        <v>34</v>
      </c>
      <c r="J34" t="s">
        <v>82</v>
      </c>
      <c r="K34" t="s">
        <v>129</v>
      </c>
      <c r="L34" t="s">
        <v>129</v>
      </c>
      <c r="M34">
        <v>2017</v>
      </c>
      <c r="N34" t="s">
        <v>37</v>
      </c>
      <c r="O34" t="s">
        <v>41</v>
      </c>
      <c r="P34" t="s">
        <v>206</v>
      </c>
      <c r="R34" t="s">
        <v>200</v>
      </c>
      <c r="S34">
        <v>-12.851025999999999</v>
      </c>
      <c r="T34">
        <v>28.207404</v>
      </c>
      <c r="U34" t="s">
        <v>44</v>
      </c>
      <c r="V34" t="s">
        <v>50</v>
      </c>
      <c r="W34" t="s">
        <v>46</v>
      </c>
      <c r="X34" t="s">
        <v>156</v>
      </c>
      <c r="Y34" t="s">
        <v>157</v>
      </c>
      <c r="Z34" t="s">
        <v>158</v>
      </c>
      <c r="AA34" t="s">
        <v>53</v>
      </c>
      <c r="AB34" s="2">
        <v>5500000</v>
      </c>
      <c r="AC34" t="s">
        <v>232</v>
      </c>
      <c r="AD34">
        <f>IF(ISBLANK(AB34), "", AB34*Parameter!$H$3)/7</f>
        <v>628571.42857142852</v>
      </c>
      <c r="AE34">
        <f>IF(J34="Concentrate",Parameter!$C$23,IF(Calib4!J34="Ore and concentrate",Parameter!$C$21,IF(F34="Smelter",Parameter!$C$10,IF(F34="Refinary",Parameter!$C$12,Parameter!$C$15))))</f>
        <v>7.2849999999999998E-2</v>
      </c>
      <c r="AF34">
        <f>IF(J34="Concentrate",Parameter!$C$24,IF(Calib4!J34="Ore and concentrate",Parameter!$C$22,IF(F34="Smelter",Parameter!$C$11,IF(F34="Refinary",Parameter!$C$13,Parameter!$C$16))))</f>
        <v>1.333E-2</v>
      </c>
      <c r="AG34">
        <f t="shared" si="0"/>
        <v>45.791428571428568</v>
      </c>
      <c r="AH34">
        <f t="shared" si="1"/>
        <v>8.3788571428571412</v>
      </c>
      <c r="AI34" s="2">
        <f>AD34*Parameter!$H$1</f>
        <v>3897.1428571428569</v>
      </c>
      <c r="AJ34" s="2">
        <v>21270</v>
      </c>
      <c r="AK34" t="s">
        <v>103</v>
      </c>
      <c r="AL34" t="s">
        <v>103</v>
      </c>
      <c r="AM34" s="1">
        <v>55068</v>
      </c>
      <c r="AN34" s="1">
        <v>17900</v>
      </c>
    </row>
    <row r="35" spans="1:40" x14ac:dyDescent="0.35">
      <c r="A35">
        <v>2267</v>
      </c>
      <c r="B35" t="s">
        <v>202</v>
      </c>
      <c r="C35" t="s">
        <v>203</v>
      </c>
      <c r="D35" t="s">
        <v>27</v>
      </c>
      <c r="E35" t="s">
        <v>205</v>
      </c>
      <c r="G35" t="s">
        <v>284</v>
      </c>
      <c r="H35" t="s">
        <v>29</v>
      </c>
      <c r="I35" t="s">
        <v>34</v>
      </c>
      <c r="J35" t="s">
        <v>82</v>
      </c>
      <c r="K35" t="s">
        <v>129</v>
      </c>
      <c r="L35" t="s">
        <v>129</v>
      </c>
      <c r="M35">
        <v>2017</v>
      </c>
      <c r="N35" t="s">
        <v>37</v>
      </c>
      <c r="O35" t="s">
        <v>41</v>
      </c>
      <c r="P35" t="s">
        <v>206</v>
      </c>
      <c r="R35" t="s">
        <v>200</v>
      </c>
      <c r="S35">
        <v>-12.851025999999999</v>
      </c>
      <c r="T35">
        <v>28.207404</v>
      </c>
      <c r="U35" t="s">
        <v>44</v>
      </c>
      <c r="V35" t="s">
        <v>50</v>
      </c>
      <c r="W35" t="s">
        <v>46</v>
      </c>
      <c r="X35" t="s">
        <v>156</v>
      </c>
      <c r="Y35" t="s">
        <v>157</v>
      </c>
      <c r="Z35" t="s">
        <v>158</v>
      </c>
      <c r="AA35" t="s">
        <v>53</v>
      </c>
      <c r="AB35" s="2">
        <v>5500000</v>
      </c>
      <c r="AC35" t="s">
        <v>232</v>
      </c>
      <c r="AD35">
        <f>IF(ISBLANK(AB35), "", AB35*Parameter!$H$3)/7</f>
        <v>628571.42857142852</v>
      </c>
      <c r="AE35">
        <f>IF(J35="Concentrate",Parameter!$C$23,IF(Calib4!J35="Ore and concentrate",Parameter!$C$21,IF(F35="Smelter",Parameter!$C$10,IF(F35="Refinary",Parameter!$C$12,Parameter!$C$15))))</f>
        <v>7.2849999999999998E-2</v>
      </c>
      <c r="AF35">
        <f>IF(J35="Concentrate",Parameter!$C$24,IF(Calib4!J35="Ore and concentrate",Parameter!$C$22,IF(F35="Smelter",Parameter!$C$11,IF(F35="Refinary",Parameter!$C$13,Parameter!$C$16))))</f>
        <v>1.333E-2</v>
      </c>
      <c r="AG35">
        <f t="shared" si="0"/>
        <v>45.791428571428568</v>
      </c>
      <c r="AH35">
        <f t="shared" si="1"/>
        <v>8.3788571428571412</v>
      </c>
      <c r="AI35" s="2">
        <f>AD35*Parameter!$H$1</f>
        <v>3897.1428571428569</v>
      </c>
      <c r="AJ35" s="18"/>
    </row>
    <row r="36" spans="1:40" x14ac:dyDescent="0.35">
      <c r="A36">
        <v>2269</v>
      </c>
      <c r="B36" t="s">
        <v>207</v>
      </c>
      <c r="C36" t="s">
        <v>208</v>
      </c>
      <c r="D36" t="s">
        <v>27</v>
      </c>
      <c r="E36" t="s">
        <v>209</v>
      </c>
      <c r="G36" t="s">
        <v>283</v>
      </c>
      <c r="H36" t="s">
        <v>29</v>
      </c>
      <c r="I36" t="s">
        <v>34</v>
      </c>
      <c r="J36" t="s">
        <v>82</v>
      </c>
      <c r="K36" t="s">
        <v>129</v>
      </c>
      <c r="L36" t="s">
        <v>129</v>
      </c>
      <c r="M36">
        <v>2017</v>
      </c>
      <c r="N36" t="s">
        <v>37</v>
      </c>
      <c r="O36" t="s">
        <v>41</v>
      </c>
      <c r="P36" t="s">
        <v>206</v>
      </c>
      <c r="R36" t="s">
        <v>200</v>
      </c>
      <c r="S36">
        <v>-12.805249999999999</v>
      </c>
      <c r="T36">
        <v>28.185835999999998</v>
      </c>
      <c r="U36" t="s">
        <v>61</v>
      </c>
      <c r="V36" t="s">
        <v>45</v>
      </c>
      <c r="W36" t="s">
        <v>46</v>
      </c>
      <c r="X36" t="s">
        <v>156</v>
      </c>
      <c r="Y36" t="s">
        <v>157</v>
      </c>
      <c r="Z36" t="s">
        <v>158</v>
      </c>
      <c r="AA36" t="s">
        <v>53</v>
      </c>
      <c r="AB36" s="2">
        <v>5500000</v>
      </c>
      <c r="AC36" t="s">
        <v>232</v>
      </c>
      <c r="AD36">
        <f>IF(ISBLANK(AB36), "", AB36*Parameter!$H$3)/7</f>
        <v>628571.42857142852</v>
      </c>
      <c r="AE36">
        <f>IF(J36="Concentrate",Parameter!$C$23,IF(Calib4!J36="Ore and concentrate",Parameter!$C$21,IF(F36="Smelter",Parameter!$C$10,IF(F36="Refinary",Parameter!$C$12,Parameter!$C$15))))</f>
        <v>7.2849999999999998E-2</v>
      </c>
      <c r="AF36">
        <f>IF(J36="Concentrate",Parameter!$C$24,IF(Calib4!J36="Ore and concentrate",Parameter!$C$22,IF(F36="Smelter",Parameter!$C$11,IF(F36="Refinary",Parameter!$C$13,Parameter!$C$16))))</f>
        <v>1.333E-2</v>
      </c>
      <c r="AG36">
        <f t="shared" si="0"/>
        <v>45.791428571428568</v>
      </c>
      <c r="AH36">
        <f t="shared" si="1"/>
        <v>8.3788571428571412</v>
      </c>
      <c r="AI36" s="2">
        <f>AD36*Parameter!$H$1</f>
        <v>3897.1428571428569</v>
      </c>
      <c r="AJ36" s="18"/>
    </row>
    <row r="37" spans="1:40" x14ac:dyDescent="0.35">
      <c r="A37">
        <v>2271</v>
      </c>
      <c r="B37" t="s">
        <v>210</v>
      </c>
      <c r="C37" t="s">
        <v>211</v>
      </c>
      <c r="D37" t="s">
        <v>27</v>
      </c>
      <c r="E37" t="s">
        <v>212</v>
      </c>
      <c r="G37" t="s">
        <v>283</v>
      </c>
      <c r="H37" t="s">
        <v>29</v>
      </c>
      <c r="I37" t="s">
        <v>34</v>
      </c>
      <c r="J37" t="s">
        <v>82</v>
      </c>
      <c r="K37" t="s">
        <v>129</v>
      </c>
      <c r="L37" t="s">
        <v>129</v>
      </c>
      <c r="M37">
        <v>2017</v>
      </c>
      <c r="N37" t="s">
        <v>37</v>
      </c>
      <c r="O37" t="s">
        <v>41</v>
      </c>
      <c r="P37" t="s">
        <v>206</v>
      </c>
      <c r="R37" t="s">
        <v>200</v>
      </c>
      <c r="S37">
        <v>-12.796917000000001</v>
      </c>
      <c r="T37">
        <v>28.178775999999999</v>
      </c>
      <c r="U37" t="s">
        <v>61</v>
      </c>
      <c r="V37" t="s">
        <v>133</v>
      </c>
      <c r="W37" t="s">
        <v>46</v>
      </c>
      <c r="X37" t="s">
        <v>156</v>
      </c>
      <c r="Y37" t="s">
        <v>157</v>
      </c>
      <c r="Z37" t="s">
        <v>158</v>
      </c>
      <c r="AA37" t="s">
        <v>53</v>
      </c>
      <c r="AB37" s="2">
        <v>5500000</v>
      </c>
      <c r="AC37" t="s">
        <v>232</v>
      </c>
      <c r="AD37">
        <f>IF(ISBLANK(AB37), "", AB37*Parameter!$H$3)/7</f>
        <v>628571.42857142852</v>
      </c>
      <c r="AE37">
        <f>IF(J37="Concentrate",Parameter!$C$23,IF(Calib4!J37="Ore and concentrate",Parameter!$C$21,IF(F37="Smelter",Parameter!$C$10,IF(F37="Refinary",Parameter!$C$12,Parameter!$C$15))))</f>
        <v>7.2849999999999998E-2</v>
      </c>
      <c r="AF37">
        <f>IF(J37="Concentrate",Parameter!$C$24,IF(Calib4!J37="Ore and concentrate",Parameter!$C$22,IF(F37="Smelter",Parameter!$C$11,IF(F37="Refinary",Parameter!$C$13,Parameter!$C$16))))</f>
        <v>1.333E-2</v>
      </c>
      <c r="AG37">
        <f t="shared" si="0"/>
        <v>45.791428571428568</v>
      </c>
      <c r="AH37">
        <f t="shared" si="1"/>
        <v>8.3788571428571412</v>
      </c>
      <c r="AI37" s="2">
        <f>AD37*Parameter!$H$1</f>
        <v>3897.1428571428569</v>
      </c>
      <c r="AJ37" s="18"/>
    </row>
    <row r="38" spans="1:40" x14ac:dyDescent="0.35">
      <c r="A38">
        <v>2273</v>
      </c>
      <c r="B38" t="s">
        <v>213</v>
      </c>
      <c r="C38" t="s">
        <v>214</v>
      </c>
      <c r="D38" t="s">
        <v>27</v>
      </c>
      <c r="E38" t="s">
        <v>215</v>
      </c>
      <c r="G38" t="s">
        <v>284</v>
      </c>
      <c r="H38" t="s">
        <v>29</v>
      </c>
      <c r="I38" t="s">
        <v>34</v>
      </c>
      <c r="J38" t="s">
        <v>82</v>
      </c>
      <c r="K38" t="s">
        <v>129</v>
      </c>
      <c r="L38" t="s">
        <v>129</v>
      </c>
      <c r="M38">
        <v>2017</v>
      </c>
      <c r="N38" t="s">
        <v>37</v>
      </c>
      <c r="O38" t="s">
        <v>41</v>
      </c>
      <c r="P38" t="s">
        <v>206</v>
      </c>
      <c r="R38" t="s">
        <v>200</v>
      </c>
      <c r="S38">
        <v>-12.77556</v>
      </c>
      <c r="T38">
        <v>28.161052000000002</v>
      </c>
      <c r="U38" t="s">
        <v>61</v>
      </c>
      <c r="V38" t="s">
        <v>216</v>
      </c>
      <c r="W38" t="s">
        <v>46</v>
      </c>
      <c r="X38" t="s">
        <v>156</v>
      </c>
      <c r="Y38" t="s">
        <v>157</v>
      </c>
      <c r="Z38" t="s">
        <v>158</v>
      </c>
      <c r="AA38" t="s">
        <v>53</v>
      </c>
      <c r="AB38" s="2">
        <v>5500000</v>
      </c>
      <c r="AC38" t="s">
        <v>232</v>
      </c>
      <c r="AD38">
        <f>IF(ISBLANK(AB38), "", AB38*Parameter!$H$3)/7</f>
        <v>628571.42857142852</v>
      </c>
      <c r="AE38">
        <f>IF(J38="Concentrate",Parameter!$C$23,IF(Calib4!J38="Ore and concentrate",Parameter!$C$21,IF(F38="Smelter",Parameter!$C$10,IF(F38="Refinary",Parameter!$C$12,Parameter!$C$15))))</f>
        <v>7.2849999999999998E-2</v>
      </c>
      <c r="AF38">
        <f>IF(J38="Concentrate",Parameter!$C$24,IF(Calib4!J38="Ore and concentrate",Parameter!$C$22,IF(F38="Smelter",Parameter!$C$11,IF(F38="Refinary",Parameter!$C$13,Parameter!$C$16))))</f>
        <v>1.333E-2</v>
      </c>
      <c r="AG38">
        <f t="shared" si="0"/>
        <v>45.791428571428568</v>
      </c>
      <c r="AH38">
        <f t="shared" si="1"/>
        <v>8.3788571428571412</v>
      </c>
      <c r="AI38" s="2">
        <f>AD38*Parameter!$H$1</f>
        <v>3897.1428571428569</v>
      </c>
      <c r="AJ38" s="18"/>
    </row>
    <row r="39" spans="1:40" x14ac:dyDescent="0.35">
      <c r="A39">
        <v>2276</v>
      </c>
      <c r="B39" t="s">
        <v>217</v>
      </c>
      <c r="C39" t="s">
        <v>43</v>
      </c>
      <c r="D39" t="s">
        <v>27</v>
      </c>
      <c r="E39" t="s">
        <v>218</v>
      </c>
      <c r="G39" t="s">
        <v>283</v>
      </c>
      <c r="H39" t="s">
        <v>29</v>
      </c>
      <c r="I39" t="s">
        <v>34</v>
      </c>
      <c r="J39" t="s">
        <v>82</v>
      </c>
      <c r="K39" t="s">
        <v>129</v>
      </c>
      <c r="L39" t="s">
        <v>129</v>
      </c>
      <c r="M39">
        <v>2017</v>
      </c>
      <c r="N39" t="s">
        <v>37</v>
      </c>
      <c r="O39" t="s">
        <v>41</v>
      </c>
      <c r="P39" t="s">
        <v>206</v>
      </c>
      <c r="R39" t="s">
        <v>200</v>
      </c>
      <c r="S39">
        <v>-12.854466</v>
      </c>
      <c r="T39">
        <v>28.212122999999998</v>
      </c>
      <c r="U39" t="s">
        <v>61</v>
      </c>
      <c r="V39" t="s">
        <v>45</v>
      </c>
      <c r="W39" t="s">
        <v>46</v>
      </c>
      <c r="X39" t="s">
        <v>156</v>
      </c>
      <c r="Y39" t="s">
        <v>157</v>
      </c>
      <c r="Z39" t="s">
        <v>158</v>
      </c>
      <c r="AA39" t="s">
        <v>53</v>
      </c>
      <c r="AB39" s="2">
        <v>5500000</v>
      </c>
      <c r="AC39" t="s">
        <v>232</v>
      </c>
      <c r="AD39">
        <f>IF(ISBLANK(AB39), "", AB39*Parameter!$H$3)/7</f>
        <v>628571.42857142852</v>
      </c>
      <c r="AE39">
        <f>IF(J39="Concentrate",Parameter!$C$23,IF(Calib4!J39="Ore and concentrate",Parameter!$C$21,IF(F39="Smelter",Parameter!$C$10,IF(F39="Refinary",Parameter!$C$12,Parameter!$C$15))))</f>
        <v>7.2849999999999998E-2</v>
      </c>
      <c r="AF39">
        <f>IF(J39="Concentrate",Parameter!$C$24,IF(Calib4!J39="Ore and concentrate",Parameter!$C$22,IF(F39="Smelter",Parameter!$C$11,IF(F39="Refinary",Parameter!$C$13,Parameter!$C$16))))</f>
        <v>1.333E-2</v>
      </c>
      <c r="AG39">
        <f t="shared" si="0"/>
        <v>45.791428571428568</v>
      </c>
      <c r="AH39">
        <f t="shared" si="1"/>
        <v>8.3788571428571412</v>
      </c>
      <c r="AI39" s="2">
        <f>AD39*Parameter!$H$1</f>
        <v>3897.1428571428569</v>
      </c>
      <c r="AJ39" s="18"/>
    </row>
    <row r="40" spans="1:40" x14ac:dyDescent="0.35">
      <c r="A40">
        <v>2277</v>
      </c>
      <c r="B40" t="s">
        <v>217</v>
      </c>
      <c r="C40" t="s">
        <v>219</v>
      </c>
      <c r="D40" t="s">
        <v>27</v>
      </c>
      <c r="E40" t="s">
        <v>220</v>
      </c>
      <c r="G40" t="s">
        <v>283</v>
      </c>
      <c r="H40" t="s">
        <v>29</v>
      </c>
      <c r="I40" t="s">
        <v>34</v>
      </c>
      <c r="J40" t="s">
        <v>82</v>
      </c>
      <c r="K40" t="s">
        <v>129</v>
      </c>
      <c r="L40" t="s">
        <v>129</v>
      </c>
      <c r="M40">
        <v>2017</v>
      </c>
      <c r="N40" t="s">
        <v>37</v>
      </c>
      <c r="O40" t="s">
        <v>41</v>
      </c>
      <c r="P40" t="s">
        <v>206</v>
      </c>
      <c r="R40" t="s">
        <v>200</v>
      </c>
      <c r="S40">
        <v>-12.854466</v>
      </c>
      <c r="T40">
        <v>28.212122999999998</v>
      </c>
      <c r="U40" t="s">
        <v>61</v>
      </c>
      <c r="V40" t="s">
        <v>45</v>
      </c>
      <c r="W40" t="s">
        <v>46</v>
      </c>
      <c r="X40" t="s">
        <v>156</v>
      </c>
      <c r="Y40" t="s">
        <v>157</v>
      </c>
      <c r="Z40" t="s">
        <v>158</v>
      </c>
      <c r="AA40" t="s">
        <v>53</v>
      </c>
      <c r="AB40" s="2">
        <v>5500000</v>
      </c>
      <c r="AC40" t="s">
        <v>232</v>
      </c>
      <c r="AD40">
        <f>IF(ISBLANK(AB40), "", AB40*Parameter!$H$3)/7</f>
        <v>628571.42857142852</v>
      </c>
      <c r="AE40">
        <f>IF(J40="Concentrate",Parameter!$C$23,IF(Calib4!J40="Ore and concentrate",Parameter!$C$21,IF(F40="Smelter",Parameter!$C$10,IF(F40="Refinary",Parameter!$C$12,Parameter!$C$15))))</f>
        <v>7.2849999999999998E-2</v>
      </c>
      <c r="AF40">
        <f>IF(J40="Concentrate",Parameter!$C$24,IF(Calib4!J40="Ore and concentrate",Parameter!$C$22,IF(F40="Smelter",Parameter!$C$11,IF(F40="Refinary",Parameter!$C$13,Parameter!$C$16))))</f>
        <v>1.333E-2</v>
      </c>
      <c r="AG40">
        <f t="shared" si="0"/>
        <v>45.791428571428568</v>
      </c>
      <c r="AH40">
        <f t="shared" si="1"/>
        <v>8.3788571428571412</v>
      </c>
      <c r="AI40" s="2">
        <f>AD40*Parameter!$H$1</f>
        <v>3897.1428571428569</v>
      </c>
      <c r="AJ40" s="18"/>
    </row>
    <row r="41" spans="1:40" x14ac:dyDescent="0.35">
      <c r="A41">
        <v>2280</v>
      </c>
      <c r="B41" t="s">
        <v>221</v>
      </c>
      <c r="C41" t="s">
        <v>43</v>
      </c>
      <c r="D41" t="s">
        <v>27</v>
      </c>
      <c r="E41" t="s">
        <v>222</v>
      </c>
      <c r="F41" t="s">
        <v>268</v>
      </c>
      <c r="G41" t="s">
        <v>276</v>
      </c>
      <c r="H41" t="s">
        <v>33</v>
      </c>
      <c r="I41" t="s">
        <v>34</v>
      </c>
      <c r="J41" t="s">
        <v>38</v>
      </c>
      <c r="K41" t="s">
        <v>36</v>
      </c>
      <c r="L41" t="s">
        <v>36</v>
      </c>
      <c r="M41">
        <v>2017</v>
      </c>
      <c r="N41" t="s">
        <v>37</v>
      </c>
      <c r="O41" t="s">
        <v>41</v>
      </c>
      <c r="P41" t="s">
        <v>226</v>
      </c>
      <c r="R41" t="s">
        <v>227</v>
      </c>
      <c r="S41">
        <v>-14.459279</v>
      </c>
      <c r="T41">
        <v>28.436986999999998</v>
      </c>
      <c r="U41" t="s">
        <v>61</v>
      </c>
      <c r="V41" t="s">
        <v>228</v>
      </c>
      <c r="W41" t="s">
        <v>46</v>
      </c>
      <c r="X41" t="s">
        <v>229</v>
      </c>
      <c r="Y41" t="s">
        <v>230</v>
      </c>
      <c r="Z41" t="s">
        <v>43</v>
      </c>
      <c r="AA41" t="s">
        <v>159</v>
      </c>
      <c r="AB41" s="2">
        <v>14000</v>
      </c>
      <c r="AC41" t="s">
        <v>232</v>
      </c>
      <c r="AD41">
        <f>IF(ISBLANK(AB41), "", AB41*Parameter!$H$3)</f>
        <v>11200</v>
      </c>
      <c r="AE41">
        <f>IF(J41="Concentrate",Parameter!$C$23,IF(Calib4!J41="Ore and concentrate",Parameter!$C$21,IF(F41="Smelter",Parameter!$C$10,IF(F41="Refinary",Parameter!$C$12,Parameter!$C$15))))</f>
        <v>12.466000000000001</v>
      </c>
      <c r="AF41">
        <f>IF(J41="Concentrate",Parameter!$C$24,IF(Calib4!J41="Ore and concentrate",Parameter!$C$22,IF(F41="Smelter",Parameter!$C$11,IF(F41="Refinary",Parameter!$C$13,Parameter!$C$16))))</f>
        <v>1.518</v>
      </c>
      <c r="AG41">
        <f t="shared" si="0"/>
        <v>139.61920000000001</v>
      </c>
      <c r="AH41">
        <f t="shared" si="1"/>
        <v>17.0016</v>
      </c>
    </row>
    <row r="42" spans="1:40" x14ac:dyDescent="0.35">
      <c r="A42">
        <v>2281</v>
      </c>
      <c r="B42" t="s">
        <v>223</v>
      </c>
      <c r="C42" t="s">
        <v>224</v>
      </c>
      <c r="D42" t="s">
        <v>27</v>
      </c>
      <c r="E42" t="s">
        <v>225</v>
      </c>
      <c r="H42" t="s">
        <v>29</v>
      </c>
      <c r="I42" t="s">
        <v>34</v>
      </c>
      <c r="J42" t="s">
        <v>82</v>
      </c>
      <c r="K42" t="s">
        <v>36</v>
      </c>
      <c r="L42" t="s">
        <v>36</v>
      </c>
      <c r="M42">
        <v>2017</v>
      </c>
      <c r="N42" t="s">
        <v>103</v>
      </c>
      <c r="O42" t="s">
        <v>41</v>
      </c>
      <c r="P42" t="s">
        <v>43</v>
      </c>
      <c r="R42" t="s">
        <v>115</v>
      </c>
      <c r="S42">
        <v>-12.256487</v>
      </c>
      <c r="T42">
        <v>25.300218000000001</v>
      </c>
      <c r="U42" t="s">
        <v>61</v>
      </c>
      <c r="V42" t="s">
        <v>133</v>
      </c>
      <c r="W42" t="s">
        <v>46</v>
      </c>
      <c r="X42" t="s">
        <v>109</v>
      </c>
      <c r="Y42" t="s">
        <v>110</v>
      </c>
      <c r="Z42" t="s">
        <v>49</v>
      </c>
      <c r="AA42" t="s">
        <v>111</v>
      </c>
      <c r="AB42" s="2"/>
      <c r="AC42" t="s">
        <v>232</v>
      </c>
      <c r="AD42" s="2"/>
      <c r="AE42">
        <f>IF(J42="Concentrate",Parameter!$C$23,IF(Calib4!J42="Ore and concentrate",Parameter!$C$21,IF(F42="Smelter",Parameter!$C$10,IF(F42="Refinary",Parameter!$C$12,Parameter!$C$15))))</f>
        <v>7.2849999999999998E-2</v>
      </c>
      <c r="AF42">
        <f>IF(J42="Concentrate",Parameter!$C$24,IF(Calib4!J42="Ore and concentrate",Parameter!$C$22,IF(F42="Smelter",Parameter!$C$11,IF(F42="Refinary",Parameter!$C$13,Parameter!$C$16))))</f>
        <v>1.333E-2</v>
      </c>
      <c r="AG42" t="str">
        <f t="shared" si="0"/>
        <v/>
      </c>
      <c r="AH42" t="str">
        <f t="shared" si="1"/>
        <v/>
      </c>
      <c r="AJ42" s="22">
        <v>220006</v>
      </c>
      <c r="AK42" s="2">
        <v>56329000</v>
      </c>
      <c r="AL42" s="2">
        <v>56589000</v>
      </c>
      <c r="AM42" s="1">
        <v>232688</v>
      </c>
      <c r="AN42" s="1">
        <v>251216</v>
      </c>
    </row>
    <row r="53" spans="30:30" x14ac:dyDescent="0.35">
      <c r="AD53" t="s">
        <v>292</v>
      </c>
    </row>
    <row r="55" spans="30:30" x14ac:dyDescent="0.35">
      <c r="AD55" t="s">
        <v>293</v>
      </c>
    </row>
  </sheetData>
  <autoFilter ref="A1:AR42" xr:uid="{00000000-0001-0000-0000-000000000000}"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</autoFilter>
  <mergeCells count="5">
    <mergeCell ref="AK1:AN1"/>
    <mergeCell ref="AO1:AR1"/>
    <mergeCell ref="AK2:AL2"/>
    <mergeCell ref="AO2:AP2"/>
    <mergeCell ref="AQ2:AR2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17A16-2793-43AE-859B-C5916CBE0C36}">
  <sheetPr filterMode="1"/>
  <dimension ref="A1:AR45"/>
  <sheetViews>
    <sheetView topLeftCell="E1" workbookViewId="0">
      <selection activeCell="E54" sqref="E54"/>
    </sheetView>
  </sheetViews>
  <sheetFormatPr baseColWidth="10" defaultColWidth="9.1796875" defaultRowHeight="14.5" x14ac:dyDescent="0.35"/>
  <cols>
    <col min="1" max="4" width="9.1796875" hidden="1" customWidth="1"/>
    <col min="5" max="5" width="37.81640625" customWidth="1"/>
    <col min="6" max="6" width="17.7265625" bestFit="1" customWidth="1"/>
    <col min="7" max="7" width="25.26953125" customWidth="1"/>
    <col min="8" max="9" width="0" hidden="1" customWidth="1"/>
    <col min="10" max="10" width="13.81640625" customWidth="1"/>
    <col min="11" max="12" width="0" hidden="1" customWidth="1"/>
    <col min="14" max="15" width="0" hidden="1" customWidth="1"/>
    <col min="16" max="16" width="40.26953125" customWidth="1"/>
    <col min="17" max="17" width="26.54296875" customWidth="1"/>
    <col min="19" max="27" width="0" hidden="1" customWidth="1"/>
    <col min="28" max="28" width="10.1796875" bestFit="1" customWidth="1"/>
    <col min="29" max="29" width="0" hidden="1" customWidth="1"/>
    <col min="30" max="30" width="10.1796875" bestFit="1" customWidth="1"/>
    <col min="35" max="35" width="9.1796875" style="2"/>
    <col min="37" max="37" width="12" customWidth="1"/>
    <col min="38" max="38" width="10.1796875" bestFit="1" customWidth="1"/>
  </cols>
  <sheetData>
    <row r="1" spans="1:44" ht="3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267</v>
      </c>
      <c r="G1" t="s">
        <v>273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271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231</v>
      </c>
      <c r="AD1" t="s">
        <v>280</v>
      </c>
      <c r="AE1" s="11" t="s">
        <v>261</v>
      </c>
      <c r="AF1" s="11" t="s">
        <v>262</v>
      </c>
      <c r="AG1" s="11" t="s">
        <v>263</v>
      </c>
      <c r="AH1" s="11" t="s">
        <v>264</v>
      </c>
      <c r="AI1" s="20" t="s">
        <v>295</v>
      </c>
      <c r="AJ1" s="19" t="s">
        <v>296</v>
      </c>
      <c r="AK1" s="51" t="s">
        <v>233</v>
      </c>
      <c r="AL1" s="51"/>
      <c r="AM1" s="51"/>
      <c r="AN1" s="51"/>
      <c r="AO1" s="52" t="s">
        <v>235</v>
      </c>
      <c r="AP1" s="52"/>
      <c r="AQ1" s="52"/>
      <c r="AR1" s="52"/>
    </row>
    <row r="2" spans="1:44" hidden="1" x14ac:dyDescent="0.35">
      <c r="AK2" s="51" t="s">
        <v>240</v>
      </c>
      <c r="AL2" s="51"/>
      <c r="AM2" s="6" t="s">
        <v>241</v>
      </c>
      <c r="AN2" s="6" t="s">
        <v>241</v>
      </c>
      <c r="AO2" s="52" t="s">
        <v>242</v>
      </c>
      <c r="AP2" s="52"/>
      <c r="AQ2" s="52" t="s">
        <v>243</v>
      </c>
      <c r="AR2" s="52"/>
    </row>
    <row r="3" spans="1:44" x14ac:dyDescent="0.35">
      <c r="A3">
        <v>2201</v>
      </c>
      <c r="B3" t="s">
        <v>25</v>
      </c>
      <c r="C3" t="s">
        <v>26</v>
      </c>
      <c r="D3" t="s">
        <v>27</v>
      </c>
      <c r="E3" t="s">
        <v>28</v>
      </c>
      <c r="G3" t="s">
        <v>283</v>
      </c>
      <c r="H3" t="s">
        <v>29</v>
      </c>
      <c r="I3" t="s">
        <v>34</v>
      </c>
      <c r="J3" t="s">
        <v>82</v>
      </c>
      <c r="K3" t="s">
        <v>36</v>
      </c>
      <c r="L3" t="s">
        <v>36</v>
      </c>
      <c r="M3">
        <v>2017</v>
      </c>
      <c r="N3" t="s">
        <v>37</v>
      </c>
      <c r="O3" t="s">
        <v>39</v>
      </c>
      <c r="P3" t="s">
        <v>40</v>
      </c>
      <c r="Q3" t="s">
        <v>272</v>
      </c>
      <c r="R3" t="s">
        <v>43</v>
      </c>
      <c r="S3">
        <v>-13.04861</v>
      </c>
      <c r="T3">
        <v>28.338059999999999</v>
      </c>
      <c r="U3" t="s">
        <v>44</v>
      </c>
      <c r="V3" t="s">
        <v>45</v>
      </c>
      <c r="W3" t="s">
        <v>46</v>
      </c>
      <c r="X3" t="s">
        <v>47</v>
      </c>
      <c r="Y3" t="s">
        <v>48</v>
      </c>
      <c r="Z3" t="s">
        <v>49</v>
      </c>
      <c r="AA3" t="s">
        <v>53</v>
      </c>
      <c r="AB3" s="2">
        <v>1500000</v>
      </c>
      <c r="AC3" t="s">
        <v>232</v>
      </c>
      <c r="AD3">
        <f>IF(ISBLANK(AB3), "", AB3*Parameter!$H$3)</f>
        <v>1200000</v>
      </c>
      <c r="AE3">
        <f>IF(J3="Concentrate",Parameter!$C$23,IF(Calib5!J3="Ore and concentrate",Parameter!$C$21,IF(F3="Smelter",Parameter!$C$10,IF(F3="Refinary",Parameter!$C$12,Parameter!$C$15))))</f>
        <v>7.2849999999999998E-2</v>
      </c>
      <c r="AF3">
        <f>IF(J3="Concentrate",Parameter!$C$24,IF(Calib5!J3="Ore and concentrate",Parameter!$C$22,IF(F3="Smelter",Parameter!$C$11,IF(F3="Refinary",Parameter!$C$13,Parameter!$C$16))))</f>
        <v>1.333E-2</v>
      </c>
      <c r="AG3">
        <f>IF(AD3="","", AD3*AE3/1000)</f>
        <v>87.42</v>
      </c>
      <c r="AH3">
        <f>IF((AD3=""),"", AD3*AF3/1000)</f>
        <v>15.996</v>
      </c>
      <c r="AI3" s="2">
        <f>AD3*Parameter!$H$1</f>
        <v>7440</v>
      </c>
      <c r="AJ3" s="2">
        <v>1294</v>
      </c>
      <c r="AK3" t="s">
        <v>103</v>
      </c>
      <c r="AL3" t="s">
        <v>103</v>
      </c>
      <c r="AM3" s="1">
        <v>13836</v>
      </c>
      <c r="AN3" s="1">
        <v>13612</v>
      </c>
      <c r="AO3" t="s">
        <v>238</v>
      </c>
      <c r="AP3" t="s">
        <v>236</v>
      </c>
      <c r="AQ3" s="2">
        <v>725000</v>
      </c>
      <c r="AR3" t="s">
        <v>236</v>
      </c>
    </row>
    <row r="4" spans="1:44" hidden="1" x14ac:dyDescent="0.35">
      <c r="A4">
        <v>2202</v>
      </c>
      <c r="B4" t="s">
        <v>30</v>
      </c>
      <c r="C4" t="s">
        <v>31</v>
      </c>
      <c r="D4" t="s">
        <v>27</v>
      </c>
      <c r="E4" t="s">
        <v>32</v>
      </c>
      <c r="F4" t="s">
        <v>268</v>
      </c>
      <c r="G4" t="s">
        <v>275</v>
      </c>
      <c r="H4" t="s">
        <v>33</v>
      </c>
      <c r="I4" t="s">
        <v>34</v>
      </c>
      <c r="J4" t="s">
        <v>38</v>
      </c>
      <c r="K4" t="s">
        <v>36</v>
      </c>
      <c r="L4" t="s">
        <v>36</v>
      </c>
      <c r="M4">
        <v>2017</v>
      </c>
      <c r="N4" t="s">
        <v>37</v>
      </c>
      <c r="O4" t="s">
        <v>41</v>
      </c>
      <c r="P4" t="s">
        <v>42</v>
      </c>
      <c r="R4" t="s">
        <v>43</v>
      </c>
      <c r="S4">
        <v>-13.042299999999999</v>
      </c>
      <c r="T4">
        <v>28.709353</v>
      </c>
      <c r="U4" t="s">
        <v>44</v>
      </c>
      <c r="V4" t="s">
        <v>50</v>
      </c>
      <c r="W4" t="s">
        <v>46</v>
      </c>
      <c r="X4" t="s">
        <v>51</v>
      </c>
      <c r="Y4" t="s">
        <v>52</v>
      </c>
      <c r="Z4" t="s">
        <v>43</v>
      </c>
      <c r="AA4" t="s">
        <v>53</v>
      </c>
      <c r="AB4" s="2">
        <v>52000</v>
      </c>
      <c r="AC4" t="s">
        <v>232</v>
      </c>
      <c r="AD4">
        <f>IF(ISBLANK(AB4), "", AB4*Parameter!$H$3)</f>
        <v>41600</v>
      </c>
      <c r="AE4">
        <f>IF(J4="Concentrate",Parameter!$C$23,IF(Calib5!J4="Ore and concentrate",Parameter!$C$21,IF(F4="Smelter",Parameter!$C$10,IF(F4="Refinary",Parameter!$C$12,Parameter!$C$15))))</f>
        <v>12.466000000000001</v>
      </c>
      <c r="AF4">
        <f>IF(J4="Concentrate",Parameter!$C$24,IF(Calib5!J4="Ore and concentrate",Parameter!$C$22,IF(F4="Smelter",Parameter!$C$11,IF(F4="Refinary",Parameter!$C$13,Parameter!$C$16))))</f>
        <v>1.518</v>
      </c>
      <c r="AG4">
        <f t="shared" ref="AG4:AG41" si="0">IF(AD4="","", AD4*AE4/1000)</f>
        <v>518.5856</v>
      </c>
      <c r="AH4">
        <f t="shared" ref="AH4:AH41" si="1">IF((AD4=""),"", AD4*AF4/1000)</f>
        <v>63.148800000000001</v>
      </c>
      <c r="AM4" t="s">
        <v>234</v>
      </c>
      <c r="AN4" t="s">
        <v>234</v>
      </c>
      <c r="AO4" s="2">
        <v>10000</v>
      </c>
      <c r="AP4" t="s">
        <v>236</v>
      </c>
    </row>
    <row r="5" spans="1:44" hidden="1" x14ac:dyDescent="0.35">
      <c r="A5">
        <v>2205</v>
      </c>
      <c r="B5" t="s">
        <v>54</v>
      </c>
      <c r="C5" t="s">
        <v>55</v>
      </c>
      <c r="D5" t="s">
        <v>27</v>
      </c>
      <c r="E5" t="s">
        <v>56</v>
      </c>
      <c r="F5" t="s">
        <v>268</v>
      </c>
      <c r="H5" t="s">
        <v>33</v>
      </c>
      <c r="I5" t="s">
        <v>34</v>
      </c>
      <c r="J5" t="s">
        <v>38</v>
      </c>
      <c r="K5" t="s">
        <v>36</v>
      </c>
      <c r="L5" t="s">
        <v>36</v>
      </c>
      <c r="M5">
        <v>2017</v>
      </c>
      <c r="N5" t="s">
        <v>37</v>
      </c>
      <c r="O5" t="s">
        <v>41</v>
      </c>
      <c r="P5" t="s">
        <v>42</v>
      </c>
      <c r="R5" t="s">
        <v>43</v>
      </c>
      <c r="S5">
        <v>-12.649976000000001</v>
      </c>
      <c r="T5">
        <v>28.041173000000001</v>
      </c>
      <c r="U5" t="s">
        <v>61</v>
      </c>
      <c r="V5" t="s">
        <v>62</v>
      </c>
      <c r="W5" t="s">
        <v>46</v>
      </c>
      <c r="X5" t="s">
        <v>63</v>
      </c>
      <c r="Y5" t="s">
        <v>64</v>
      </c>
      <c r="Z5" t="s">
        <v>65</v>
      </c>
      <c r="AA5" t="s">
        <v>53</v>
      </c>
      <c r="AB5" s="2">
        <v>8000</v>
      </c>
      <c r="AC5" t="s">
        <v>232</v>
      </c>
      <c r="AD5">
        <f>IF(ISBLANK(AB5), "", AB5*Parameter!$H$3)</f>
        <v>6400</v>
      </c>
      <c r="AE5">
        <f>IF(J5="Concentrate",Parameter!$C$23,IF(Calib5!J5="Ore and concentrate",Parameter!$C$21,IF(F5="Smelter",Parameter!$C$10,IF(F5="Refinary",Parameter!$C$12,Parameter!$C$15))))</f>
        <v>12.466000000000001</v>
      </c>
      <c r="AF5">
        <f>IF(J5="Concentrate",Parameter!$C$24,IF(Calib5!J5="Ore and concentrate",Parameter!$C$22,IF(F5="Smelter",Parameter!$C$11,IF(F5="Refinary",Parameter!$C$13,Parameter!$C$16))))</f>
        <v>1.518</v>
      </c>
      <c r="AG5">
        <f t="shared" si="0"/>
        <v>79.78240000000001</v>
      </c>
      <c r="AH5">
        <f t="shared" si="1"/>
        <v>9.7152000000000012</v>
      </c>
      <c r="AK5" t="s">
        <v>103</v>
      </c>
      <c r="AL5" t="s">
        <v>103</v>
      </c>
      <c r="AM5" s="1">
        <v>66005</v>
      </c>
      <c r="AN5" s="1">
        <v>40163</v>
      </c>
    </row>
    <row r="6" spans="1:44" s="3" customFormat="1" hidden="1" x14ac:dyDescent="0.35">
      <c r="A6" s="3">
        <v>2206</v>
      </c>
      <c r="B6" s="3" t="s">
        <v>54</v>
      </c>
      <c r="C6" s="3" t="s">
        <v>43</v>
      </c>
      <c r="D6" s="3" t="s">
        <v>27</v>
      </c>
      <c r="E6" s="3" t="s">
        <v>57</v>
      </c>
      <c r="F6" t="s">
        <v>268</v>
      </c>
      <c r="G6"/>
      <c r="H6" s="3" t="s">
        <v>33</v>
      </c>
      <c r="I6" s="3" t="s">
        <v>34</v>
      </c>
      <c r="J6" s="3" t="s">
        <v>38</v>
      </c>
      <c r="K6" s="3" t="s">
        <v>36</v>
      </c>
      <c r="L6" s="3" t="s">
        <v>36</v>
      </c>
      <c r="M6" s="3">
        <v>2017</v>
      </c>
      <c r="N6" s="3" t="s">
        <v>37</v>
      </c>
      <c r="O6" s="3" t="s">
        <v>41</v>
      </c>
      <c r="P6" s="3" t="s">
        <v>59</v>
      </c>
      <c r="R6" s="3" t="s">
        <v>66</v>
      </c>
      <c r="S6" s="3">
        <v>-12.649976000000001</v>
      </c>
      <c r="T6" s="3">
        <v>28.041173000000001</v>
      </c>
      <c r="U6" s="3" t="s">
        <v>61</v>
      </c>
      <c r="V6" s="3" t="s">
        <v>50</v>
      </c>
      <c r="W6" s="3" t="s">
        <v>46</v>
      </c>
      <c r="X6" s="3" t="s">
        <v>67</v>
      </c>
      <c r="Y6" s="3" t="s">
        <v>68</v>
      </c>
      <c r="Z6" s="3" t="s">
        <v>69</v>
      </c>
      <c r="AA6" s="3" t="s">
        <v>53</v>
      </c>
      <c r="AB6" s="4">
        <v>27000</v>
      </c>
      <c r="AC6" s="3" t="s">
        <v>232</v>
      </c>
      <c r="AD6">
        <f>IF(ISBLANK(AB6), "", AB6*Parameter!$H$3)</f>
        <v>21600</v>
      </c>
      <c r="AE6">
        <f>IF(J6="Concentrate",Parameter!$C$23,IF(Calib5!J6="Ore and concentrate",Parameter!$C$21,IF(F6="Smelter",Parameter!$C$10,IF(F6="Refinary",Parameter!$C$12,Parameter!$C$15))))</f>
        <v>12.466000000000001</v>
      </c>
      <c r="AF6">
        <f>IF(J6="Concentrate",Parameter!$C$24,IF(Calib5!J6="Ore and concentrate",Parameter!$C$22,IF(F6="Smelter",Parameter!$C$11,IF(F6="Refinary",Parameter!$C$13,Parameter!$C$16))))</f>
        <v>1.518</v>
      </c>
      <c r="AG6">
        <f t="shared" si="0"/>
        <v>269.26560000000006</v>
      </c>
      <c r="AH6">
        <f t="shared" si="1"/>
        <v>32.788800000000002</v>
      </c>
      <c r="AI6" s="2"/>
    </row>
    <row r="7" spans="1:44" hidden="1" x14ac:dyDescent="0.35">
      <c r="A7">
        <v>2207</v>
      </c>
      <c r="B7" t="s">
        <v>54</v>
      </c>
      <c r="C7" t="s">
        <v>43</v>
      </c>
      <c r="D7" t="s">
        <v>27</v>
      </c>
      <c r="E7" t="s">
        <v>58</v>
      </c>
      <c r="F7" t="s">
        <v>257</v>
      </c>
      <c r="H7" t="s">
        <v>33</v>
      </c>
      <c r="I7" t="s">
        <v>34</v>
      </c>
      <c r="J7" t="s">
        <v>38</v>
      </c>
      <c r="K7" t="s">
        <v>36</v>
      </c>
      <c r="L7" t="s">
        <v>36</v>
      </c>
      <c r="M7">
        <v>2017</v>
      </c>
      <c r="N7" t="s">
        <v>37</v>
      </c>
      <c r="O7" t="s">
        <v>41</v>
      </c>
      <c r="P7" t="s">
        <v>60</v>
      </c>
      <c r="R7" t="s">
        <v>43</v>
      </c>
      <c r="S7">
        <v>-12.649976000000001</v>
      </c>
      <c r="T7">
        <v>28.041173000000001</v>
      </c>
      <c r="U7" t="s">
        <v>61</v>
      </c>
      <c r="V7" t="s">
        <v>50</v>
      </c>
      <c r="W7" t="s">
        <v>46</v>
      </c>
      <c r="X7" t="s">
        <v>70</v>
      </c>
      <c r="Y7" t="s">
        <v>71</v>
      </c>
      <c r="Z7" t="s">
        <v>72</v>
      </c>
      <c r="AA7" t="s">
        <v>53</v>
      </c>
      <c r="AB7" s="2">
        <v>250000</v>
      </c>
      <c r="AC7" t="s">
        <v>232</v>
      </c>
      <c r="AD7">
        <f>IF(ISBLANK(AB7), "", AB7*Parameter!$H$3)</f>
        <v>200000</v>
      </c>
      <c r="AE7">
        <f>IF(J7="Concentrate",Parameter!$C$23,IF(Calib5!J7="Ore and concentrate",Parameter!$C$21,IF(F7="Smelter",Parameter!$C$10,IF(F7="Refinary",Parameter!$C$12,Parameter!$C$15))))</f>
        <v>9.266</v>
      </c>
      <c r="AF7">
        <f>IF(J7="Concentrate",Parameter!$C$24,IF(Calib5!J7="Ore and concentrate",Parameter!$C$22,IF(F7="Smelter",Parameter!$C$11,IF(F7="Refinary",Parameter!$C$13,Parameter!$C$16))))</f>
        <v>1.518</v>
      </c>
      <c r="AG7">
        <f t="shared" si="0"/>
        <v>1853.2</v>
      </c>
      <c r="AH7">
        <f t="shared" si="1"/>
        <v>303.60000000000002</v>
      </c>
      <c r="AM7" s="5" t="s">
        <v>103</v>
      </c>
      <c r="AN7" s="5" t="s">
        <v>103</v>
      </c>
    </row>
    <row r="8" spans="1:44" x14ac:dyDescent="0.35">
      <c r="A8">
        <v>2209</v>
      </c>
      <c r="B8" t="s">
        <v>73</v>
      </c>
      <c r="C8" t="s">
        <v>74</v>
      </c>
      <c r="D8" t="s">
        <v>27</v>
      </c>
      <c r="E8" t="s">
        <v>75</v>
      </c>
      <c r="H8" t="s">
        <v>29</v>
      </c>
      <c r="I8" t="s">
        <v>34</v>
      </c>
      <c r="J8" t="s">
        <v>82</v>
      </c>
      <c r="K8" t="s">
        <v>36</v>
      </c>
      <c r="L8" t="s">
        <v>36</v>
      </c>
      <c r="M8">
        <v>2017</v>
      </c>
      <c r="N8" t="s">
        <v>37</v>
      </c>
      <c r="O8" t="s">
        <v>41</v>
      </c>
      <c r="P8" s="12" t="s">
        <v>83</v>
      </c>
      <c r="Q8" s="2">
        <f>Parameter!$H$1/Parameter!$H$2*Calib5!AD8</f>
        <v>35464</v>
      </c>
      <c r="R8" t="s">
        <v>85</v>
      </c>
      <c r="S8">
        <v>-12.658916</v>
      </c>
      <c r="T8">
        <v>28.047927000000001</v>
      </c>
      <c r="U8" t="s">
        <v>61</v>
      </c>
      <c r="V8" t="s">
        <v>45</v>
      </c>
      <c r="W8" t="s">
        <v>46</v>
      </c>
      <c r="X8" t="s">
        <v>86</v>
      </c>
      <c r="Y8" t="s">
        <v>87</v>
      </c>
      <c r="Z8" t="s">
        <v>88</v>
      </c>
      <c r="AA8" t="s">
        <v>53</v>
      </c>
      <c r="AB8" s="2">
        <v>2145000</v>
      </c>
      <c r="AC8" t="s">
        <v>232</v>
      </c>
      <c r="AD8">
        <f>IF(ISBLANK(AB8), "", AB8*Parameter!$H$3)</f>
        <v>1716000</v>
      </c>
      <c r="AE8">
        <f>IF(J8="Concentrate",Parameter!$C$23,IF(Calib5!J8="Ore and concentrate",Parameter!$C$21,IF(F8="Smelter",Parameter!$C$10,IF(F8="Refinary",Parameter!$C$12,Parameter!$C$15))))</f>
        <v>7.2849999999999998E-2</v>
      </c>
      <c r="AF8">
        <f>IF(J8="Concentrate",Parameter!$C$24,IF(Calib5!J8="Ore and concentrate",Parameter!$C$22,IF(F8="Smelter",Parameter!$C$11,IF(F8="Refinary",Parameter!$C$13,Parameter!$C$16))))</f>
        <v>1.333E-2</v>
      </c>
      <c r="AG8">
        <f t="shared" si="0"/>
        <v>125.0106</v>
      </c>
      <c r="AH8">
        <f t="shared" si="1"/>
        <v>22.874279999999999</v>
      </c>
      <c r="AI8" s="2">
        <f>AD8*Parameter!$H$1</f>
        <v>10639.199999999999</v>
      </c>
      <c r="AJ8" s="2">
        <v>14187</v>
      </c>
      <c r="AM8" t="s">
        <v>234</v>
      </c>
      <c r="AN8" t="s">
        <v>234</v>
      </c>
    </row>
    <row r="9" spans="1:44" x14ac:dyDescent="0.35">
      <c r="A9">
        <v>2210</v>
      </c>
      <c r="B9" t="s">
        <v>76</v>
      </c>
      <c r="C9" t="s">
        <v>77</v>
      </c>
      <c r="D9" t="s">
        <v>27</v>
      </c>
      <c r="E9" t="s">
        <v>78</v>
      </c>
      <c r="H9" t="s">
        <v>29</v>
      </c>
      <c r="I9" t="s">
        <v>34</v>
      </c>
      <c r="J9" t="s">
        <v>82</v>
      </c>
      <c r="K9" t="s">
        <v>36</v>
      </c>
      <c r="L9" t="s">
        <v>36</v>
      </c>
      <c r="M9">
        <v>2017</v>
      </c>
      <c r="N9" t="s">
        <v>37</v>
      </c>
      <c r="O9" t="s">
        <v>41</v>
      </c>
      <c r="P9" t="s">
        <v>43</v>
      </c>
      <c r="R9" t="s">
        <v>89</v>
      </c>
      <c r="S9">
        <v>-12.657999999999999</v>
      </c>
      <c r="T9">
        <v>28.103000000000002</v>
      </c>
      <c r="U9" t="s">
        <v>44</v>
      </c>
      <c r="V9" t="s">
        <v>45</v>
      </c>
      <c r="W9" t="s">
        <v>46</v>
      </c>
      <c r="X9" t="s">
        <v>86</v>
      </c>
      <c r="Y9" t="s">
        <v>87</v>
      </c>
      <c r="Z9" t="s">
        <v>88</v>
      </c>
      <c r="AA9" t="s">
        <v>53</v>
      </c>
      <c r="AB9" s="2">
        <v>990000</v>
      </c>
      <c r="AC9" t="s">
        <v>232</v>
      </c>
      <c r="AD9">
        <f>IF(ISBLANK(AB9), "", AB9*Parameter!$H$3)</f>
        <v>792000</v>
      </c>
      <c r="AE9">
        <f>IF(J9="Concentrate",Parameter!$C$23,IF(Calib5!J9="Ore and concentrate",Parameter!$C$21,IF(F9="Smelter",Parameter!$C$10,IF(F9="Refinary",Parameter!$C$12,Parameter!$C$15))))</f>
        <v>7.2849999999999998E-2</v>
      </c>
      <c r="AF9">
        <f>IF(J9="Concentrate",Parameter!$C$24,IF(Calib5!J9="Ore and concentrate",Parameter!$C$22,IF(F9="Smelter",Parameter!$C$11,IF(F9="Refinary",Parameter!$C$13,Parameter!$C$16))))</f>
        <v>1.333E-2</v>
      </c>
      <c r="AG9">
        <f t="shared" si="0"/>
        <v>57.697199999999995</v>
      </c>
      <c r="AH9">
        <f t="shared" si="1"/>
        <v>10.557360000000001</v>
      </c>
      <c r="AI9" s="2">
        <f>AD9*Parameter!$H$1</f>
        <v>4910.3999999999996</v>
      </c>
      <c r="AJ9" s="2">
        <v>1294</v>
      </c>
      <c r="AM9" s="5" t="s">
        <v>103</v>
      </c>
      <c r="AN9" s="5" t="s">
        <v>103</v>
      </c>
      <c r="AO9" s="2">
        <v>450000</v>
      </c>
      <c r="AP9" t="s">
        <v>236</v>
      </c>
      <c r="AQ9" s="2">
        <v>8400</v>
      </c>
      <c r="AR9" t="s">
        <v>236</v>
      </c>
    </row>
    <row r="10" spans="1:44" x14ac:dyDescent="0.35">
      <c r="A10">
        <v>2211</v>
      </c>
      <c r="B10" t="s">
        <v>79</v>
      </c>
      <c r="C10" t="s">
        <v>80</v>
      </c>
      <c r="D10" t="s">
        <v>27</v>
      </c>
      <c r="E10" t="s">
        <v>81</v>
      </c>
      <c r="H10" t="s">
        <v>29</v>
      </c>
      <c r="I10" t="s">
        <v>34</v>
      </c>
      <c r="J10" t="s">
        <v>82</v>
      </c>
      <c r="K10" t="s">
        <v>36</v>
      </c>
      <c r="L10" t="s">
        <v>36</v>
      </c>
      <c r="M10">
        <v>2017</v>
      </c>
      <c r="N10" t="s">
        <v>37</v>
      </c>
      <c r="O10" t="s">
        <v>41</v>
      </c>
      <c r="P10" t="s">
        <v>84</v>
      </c>
      <c r="R10" t="s">
        <v>90</v>
      </c>
      <c r="S10">
        <v>-12.913955</v>
      </c>
      <c r="T10">
        <v>28.079191000000002</v>
      </c>
      <c r="U10" t="s">
        <v>44</v>
      </c>
      <c r="V10" t="s">
        <v>45</v>
      </c>
      <c r="W10" t="s">
        <v>46</v>
      </c>
      <c r="X10" t="s">
        <v>67</v>
      </c>
      <c r="Y10" t="s">
        <v>91</v>
      </c>
      <c r="Z10" t="s">
        <v>88</v>
      </c>
      <c r="AA10" t="s">
        <v>53</v>
      </c>
      <c r="AB10" s="2">
        <v>600000</v>
      </c>
      <c r="AC10" t="s">
        <v>232</v>
      </c>
      <c r="AD10">
        <f>IF(ISBLANK(AB10), "", AB10*Parameter!$H$3)</f>
        <v>480000</v>
      </c>
      <c r="AE10">
        <f>IF(J10="Concentrate",Parameter!$C$23,IF(Calib5!J10="Ore and concentrate",Parameter!$C$21,IF(F10="Smelter",Parameter!$C$10,IF(F10="Refinary",Parameter!$C$12,Parameter!$C$15))))</f>
        <v>7.2849999999999998E-2</v>
      </c>
      <c r="AF10">
        <f>IF(J10="Concentrate",Parameter!$C$24,IF(Calib5!J10="Ore and concentrate",Parameter!$C$22,IF(F10="Smelter",Parameter!$C$11,IF(F10="Refinary",Parameter!$C$13,Parameter!$C$16))))</f>
        <v>1.333E-2</v>
      </c>
      <c r="AG10">
        <f t="shared" si="0"/>
        <v>34.968000000000004</v>
      </c>
      <c r="AH10">
        <f t="shared" si="1"/>
        <v>6.3983999999999996</v>
      </c>
      <c r="AI10" s="2">
        <f>AD10*Parameter!$H$1</f>
        <v>2976</v>
      </c>
      <c r="AJ10" s="2">
        <v>8174</v>
      </c>
      <c r="AK10" s="2">
        <v>188916</v>
      </c>
      <c r="AL10" t="s">
        <v>103</v>
      </c>
      <c r="AM10" s="1">
        <v>3051</v>
      </c>
      <c r="AN10" s="1">
        <v>8023</v>
      </c>
      <c r="AQ10" s="2">
        <v>16500</v>
      </c>
      <c r="AR10" t="s">
        <v>236</v>
      </c>
    </row>
    <row r="11" spans="1:44" x14ac:dyDescent="0.35">
      <c r="A11">
        <v>2214</v>
      </c>
      <c r="B11" t="s">
        <v>92</v>
      </c>
      <c r="C11" t="s">
        <v>93</v>
      </c>
      <c r="D11" t="s">
        <v>27</v>
      </c>
      <c r="E11" t="s">
        <v>94</v>
      </c>
      <c r="G11" t="s">
        <v>284</v>
      </c>
      <c r="H11" t="s">
        <v>29</v>
      </c>
      <c r="I11" t="s">
        <v>34</v>
      </c>
      <c r="J11" t="s">
        <v>82</v>
      </c>
      <c r="K11" t="s">
        <v>36</v>
      </c>
      <c r="L11" t="s">
        <v>36</v>
      </c>
      <c r="M11">
        <v>2017</v>
      </c>
      <c r="N11" t="s">
        <v>37</v>
      </c>
      <c r="O11" t="s">
        <v>41</v>
      </c>
      <c r="P11" s="13" t="s">
        <v>95</v>
      </c>
      <c r="R11" t="s">
        <v>96</v>
      </c>
      <c r="S11">
        <v>-12.509245</v>
      </c>
      <c r="T11">
        <v>27.909251999999999</v>
      </c>
      <c r="U11" t="s">
        <v>44</v>
      </c>
      <c r="V11" t="s">
        <v>45</v>
      </c>
      <c r="W11" t="s">
        <v>46</v>
      </c>
      <c r="X11" t="s">
        <v>97</v>
      </c>
      <c r="Y11" t="s">
        <v>98</v>
      </c>
      <c r="Z11" t="s">
        <v>99</v>
      </c>
      <c r="AA11" t="s">
        <v>53</v>
      </c>
      <c r="AB11" s="2">
        <v>4500000</v>
      </c>
      <c r="AC11" t="s">
        <v>232</v>
      </c>
      <c r="AD11">
        <f>IF(ISBLANK(AB11), "", AB11*Parameter!$H$3)/2</f>
        <v>1800000</v>
      </c>
      <c r="AE11">
        <f>IF(J11="Concentrate",Parameter!$C$23,IF(Calib5!J11="Ore and concentrate",Parameter!$C$21,IF(F11="Smelter",Parameter!$C$10,IF(F11="Refinary",Parameter!$C$12,Parameter!$C$15))))</f>
        <v>7.2849999999999998E-2</v>
      </c>
      <c r="AF11">
        <f>IF(J11="Concentrate",Parameter!$C$24,IF(Calib5!J11="Ore and concentrate",Parameter!$C$22,IF(F11="Smelter",Parameter!$C$11,IF(F11="Refinary",Parameter!$C$13,Parameter!$C$16))))</f>
        <v>1.333E-2</v>
      </c>
      <c r="AG11">
        <f t="shared" si="0"/>
        <v>131.13</v>
      </c>
      <c r="AH11">
        <f t="shared" si="1"/>
        <v>23.994</v>
      </c>
      <c r="AI11" s="23">
        <f>AD11*Parameter!$H$1</f>
        <v>11160</v>
      </c>
      <c r="AJ11" s="24"/>
    </row>
    <row r="12" spans="1:44" x14ac:dyDescent="0.35">
      <c r="A12">
        <v>2223</v>
      </c>
      <c r="B12" t="s">
        <v>100</v>
      </c>
      <c r="C12" t="s">
        <v>101</v>
      </c>
      <c r="D12" t="s">
        <v>27</v>
      </c>
      <c r="E12" t="s">
        <v>102</v>
      </c>
      <c r="G12" t="s">
        <v>284</v>
      </c>
      <c r="H12" t="s">
        <v>29</v>
      </c>
      <c r="I12" t="s">
        <v>34</v>
      </c>
      <c r="J12" t="s">
        <v>82</v>
      </c>
      <c r="K12" t="s">
        <v>36</v>
      </c>
      <c r="L12" t="s">
        <v>36</v>
      </c>
      <c r="M12">
        <v>2017</v>
      </c>
      <c r="N12" t="s">
        <v>103</v>
      </c>
      <c r="O12" t="s">
        <v>41</v>
      </c>
      <c r="P12" t="s">
        <v>43</v>
      </c>
      <c r="R12" t="s">
        <v>96</v>
      </c>
      <c r="S12">
        <v>-12.407088999999999</v>
      </c>
      <c r="T12">
        <v>27.880268999999998</v>
      </c>
      <c r="U12" t="s">
        <v>61</v>
      </c>
      <c r="V12" t="s">
        <v>50</v>
      </c>
      <c r="W12" t="s">
        <v>46</v>
      </c>
      <c r="X12" t="s">
        <v>97</v>
      </c>
      <c r="Y12" t="s">
        <v>98</v>
      </c>
      <c r="Z12" t="s">
        <v>99</v>
      </c>
      <c r="AA12" t="s">
        <v>53</v>
      </c>
      <c r="AB12" s="2"/>
      <c r="AC12" t="s">
        <v>232</v>
      </c>
      <c r="AD12" t="str">
        <f>IF(ISBLANK(AB12), "", AB12*Parameter!$H$3)</f>
        <v/>
      </c>
      <c r="AE12">
        <f>IF(J12="Concentrate",Parameter!$C$23,IF(Calib5!J12="Ore and concentrate",Parameter!$C$21,IF(F12="Smelter",Parameter!$C$10,IF(F12="Refinary",Parameter!$C$12,Parameter!$C$15))))</f>
        <v>7.2849999999999998E-2</v>
      </c>
      <c r="AF12">
        <f>IF(J12="Concentrate",Parameter!$C$24,IF(Calib5!J12="Ore and concentrate",Parameter!$C$22,IF(F12="Smelter",Parameter!$C$11,IF(F12="Refinary",Parameter!$C$13,Parameter!$C$16))))</f>
        <v>1.333E-2</v>
      </c>
      <c r="AG12" t="str">
        <f t="shared" si="0"/>
        <v/>
      </c>
      <c r="AH12" t="str">
        <f t="shared" si="1"/>
        <v/>
      </c>
      <c r="AJ12" s="18"/>
    </row>
    <row r="13" spans="1:44" x14ac:dyDescent="0.35">
      <c r="A13">
        <v>2228</v>
      </c>
      <c r="B13" t="s">
        <v>104</v>
      </c>
      <c r="C13" t="s">
        <v>105</v>
      </c>
      <c r="D13" t="s">
        <v>27</v>
      </c>
      <c r="E13" t="s">
        <v>106</v>
      </c>
      <c r="H13" t="s">
        <v>29</v>
      </c>
      <c r="I13" t="s">
        <v>34</v>
      </c>
      <c r="J13" t="s">
        <v>82</v>
      </c>
      <c r="K13" t="s">
        <v>36</v>
      </c>
      <c r="L13" t="s">
        <v>36</v>
      </c>
      <c r="M13">
        <v>2017</v>
      </c>
      <c r="N13" t="s">
        <v>37</v>
      </c>
      <c r="O13" t="s">
        <v>41</v>
      </c>
      <c r="P13" s="12" t="s">
        <v>107</v>
      </c>
      <c r="Q13" s="2">
        <f>Calib5!AD13</f>
        <v>23593870.967741936</v>
      </c>
      <c r="R13" t="s">
        <v>108</v>
      </c>
      <c r="S13">
        <v>-12.093786</v>
      </c>
      <c r="T13">
        <v>26.429832999999999</v>
      </c>
      <c r="U13" t="s">
        <v>61</v>
      </c>
      <c r="V13" t="s">
        <v>50</v>
      </c>
      <c r="W13" t="s">
        <v>46</v>
      </c>
      <c r="X13" t="s">
        <v>109</v>
      </c>
      <c r="Y13" t="s">
        <v>110</v>
      </c>
      <c r="Z13" t="s">
        <v>49</v>
      </c>
      <c r="AA13" t="s">
        <v>111</v>
      </c>
      <c r="AB13" s="2">
        <v>12000000</v>
      </c>
      <c r="AC13" t="s">
        <v>232</v>
      </c>
      <c r="AD13" s="27">
        <f>146282/Parameter!$H$1</f>
        <v>23593870.967741936</v>
      </c>
      <c r="AE13">
        <f>IF(J13="Concentrate",Parameter!$C$23,IF(Calib5!J13="Ore and concentrate",Parameter!$C$21,IF(F13="Smelter",Parameter!$C$10,IF(F13="Refinary",Parameter!$C$12,Parameter!$C$15))))</f>
        <v>7.2849999999999998E-2</v>
      </c>
      <c r="AF13">
        <f>IF(J13="Concentrate",Parameter!$C$24,IF(Calib5!J13="Ore and concentrate",Parameter!$C$22,IF(F13="Smelter",Parameter!$C$11,IF(F13="Refinary",Parameter!$C$13,Parameter!$C$16))))</f>
        <v>1.333E-2</v>
      </c>
      <c r="AG13">
        <f t="shared" si="0"/>
        <v>1718.8135</v>
      </c>
      <c r="AH13">
        <f t="shared" si="1"/>
        <v>314.50630000000001</v>
      </c>
      <c r="AI13" s="26">
        <f>AD13*Parameter!$H$1</f>
        <v>146282</v>
      </c>
      <c r="AJ13" s="25">
        <v>232243</v>
      </c>
      <c r="AK13" s="2">
        <v>28151000</v>
      </c>
      <c r="AL13" s="2">
        <v>29134000</v>
      </c>
      <c r="AM13" s="1">
        <v>202159</v>
      </c>
      <c r="AN13" s="1">
        <v>221487</v>
      </c>
    </row>
    <row r="14" spans="1:44" hidden="1" x14ac:dyDescent="0.35">
      <c r="A14">
        <v>2230</v>
      </c>
      <c r="B14" t="s">
        <v>112</v>
      </c>
      <c r="C14" t="s">
        <v>113</v>
      </c>
      <c r="D14" t="s">
        <v>27</v>
      </c>
      <c r="E14" t="s">
        <v>114</v>
      </c>
      <c r="F14" t="s">
        <v>257</v>
      </c>
      <c r="H14" t="s">
        <v>33</v>
      </c>
      <c r="I14" t="s">
        <v>34</v>
      </c>
      <c r="J14" t="s">
        <v>38</v>
      </c>
      <c r="K14" t="s">
        <v>36</v>
      </c>
      <c r="L14" t="s">
        <v>36</v>
      </c>
      <c r="M14">
        <v>2017</v>
      </c>
      <c r="N14" t="s">
        <v>37</v>
      </c>
      <c r="O14" t="s">
        <v>41</v>
      </c>
      <c r="P14" t="s">
        <v>42</v>
      </c>
      <c r="R14" t="s">
        <v>115</v>
      </c>
      <c r="S14">
        <v>-12.088361000000001</v>
      </c>
      <c r="T14">
        <v>26.408977</v>
      </c>
      <c r="U14" t="s">
        <v>61</v>
      </c>
      <c r="V14" t="s">
        <v>50</v>
      </c>
      <c r="W14" t="s">
        <v>46</v>
      </c>
      <c r="X14" t="s">
        <v>109</v>
      </c>
      <c r="Y14" t="s">
        <v>110</v>
      </c>
      <c r="Z14" t="s">
        <v>49</v>
      </c>
      <c r="AA14" t="s">
        <v>111</v>
      </c>
      <c r="AB14" s="2">
        <v>340000</v>
      </c>
      <c r="AC14" t="s">
        <v>232</v>
      </c>
      <c r="AD14">
        <f>IF(ISBLANK(AB14), "", AB14*Parameter!$H$3)</f>
        <v>272000</v>
      </c>
      <c r="AE14">
        <f>IF(J14="Concentrate",Parameter!$C$23,IF(Calib5!J14="Ore and concentrate",Parameter!$C$21,IF(F14="Smelter",Parameter!$C$10,IF(F14="Refinary",Parameter!$C$12,Parameter!$C$15))))</f>
        <v>9.266</v>
      </c>
      <c r="AF14">
        <f>IF(J14="Concentrate",Parameter!$C$24,IF(Calib5!J14="Ore and concentrate",Parameter!$C$22,IF(F14="Smelter",Parameter!$C$11,IF(F14="Refinary",Parameter!$C$13,Parameter!$C$16))))</f>
        <v>1.518</v>
      </c>
      <c r="AG14">
        <f t="shared" si="0"/>
        <v>2520.3519999999999</v>
      </c>
      <c r="AH14">
        <f t="shared" si="1"/>
        <v>412.89600000000002</v>
      </c>
    </row>
    <row r="15" spans="1:44" x14ac:dyDescent="0.35">
      <c r="A15">
        <v>2234</v>
      </c>
      <c r="B15" t="s">
        <v>116</v>
      </c>
      <c r="C15" t="s">
        <v>117</v>
      </c>
      <c r="D15" t="s">
        <v>27</v>
      </c>
      <c r="E15" t="s">
        <v>118</v>
      </c>
      <c r="H15" t="s">
        <v>29</v>
      </c>
      <c r="I15" t="s">
        <v>34</v>
      </c>
      <c r="J15" t="s">
        <v>82</v>
      </c>
      <c r="K15" t="s">
        <v>36</v>
      </c>
      <c r="L15" t="s">
        <v>36</v>
      </c>
      <c r="M15">
        <v>2017</v>
      </c>
      <c r="N15" t="s">
        <v>37</v>
      </c>
      <c r="O15" t="s">
        <v>41</v>
      </c>
      <c r="P15" t="s">
        <v>43</v>
      </c>
      <c r="R15" t="s">
        <v>132</v>
      </c>
      <c r="S15">
        <v>-12.378788999999999</v>
      </c>
      <c r="T15">
        <v>27.826968000000001</v>
      </c>
      <c r="U15" t="s">
        <v>61</v>
      </c>
      <c r="V15" t="s">
        <v>133</v>
      </c>
      <c r="W15" t="s">
        <v>46</v>
      </c>
      <c r="X15" t="s">
        <v>97</v>
      </c>
      <c r="Y15" t="s">
        <v>98</v>
      </c>
      <c r="Z15" t="s">
        <v>99</v>
      </c>
      <c r="AA15" t="s">
        <v>53</v>
      </c>
      <c r="AB15" s="2">
        <v>2400000</v>
      </c>
      <c r="AC15" t="s">
        <v>232</v>
      </c>
      <c r="AD15">
        <f>IF(ISBLANK(AB15), "", AB15*Parameter!$H$3)</f>
        <v>1920000</v>
      </c>
      <c r="AE15">
        <f>IF(J15="Concentrate",Parameter!$C$23,IF(Calib5!J15="Ore and concentrate",Parameter!$C$21,IF(F15="Smelter",Parameter!$C$10,IF(F15="Refinary",Parameter!$C$12,Parameter!$C$15))))</f>
        <v>7.2849999999999998E-2</v>
      </c>
      <c r="AF15">
        <f>IF(J15="Concentrate",Parameter!$C$24,IF(Calib5!J15="Ore and concentrate",Parameter!$C$22,IF(F15="Smelter",Parameter!$C$11,IF(F15="Refinary",Parameter!$C$13,Parameter!$C$16))))</f>
        <v>1.333E-2</v>
      </c>
      <c r="AG15">
        <f t="shared" si="0"/>
        <v>139.87200000000001</v>
      </c>
      <c r="AH15">
        <f t="shared" si="1"/>
        <v>25.593599999999999</v>
      </c>
      <c r="AI15" s="23">
        <f>AD15*Parameter!$H$1</f>
        <v>11904</v>
      </c>
      <c r="AJ15" s="23">
        <v>1294</v>
      </c>
      <c r="AO15" s="2">
        <v>50000</v>
      </c>
      <c r="AP15" s="2"/>
      <c r="AQ15" s="2">
        <v>220000</v>
      </c>
    </row>
    <row r="16" spans="1:44" x14ac:dyDescent="0.35">
      <c r="A16">
        <v>2235</v>
      </c>
      <c r="B16" t="s">
        <v>119</v>
      </c>
      <c r="C16" t="s">
        <v>43</v>
      </c>
      <c r="D16" t="s">
        <v>27</v>
      </c>
      <c r="E16" t="s">
        <v>120</v>
      </c>
      <c r="G16" t="s">
        <v>281</v>
      </c>
      <c r="H16" t="s">
        <v>29</v>
      </c>
      <c r="I16" t="s">
        <v>34</v>
      </c>
      <c r="J16" t="s">
        <v>82</v>
      </c>
      <c r="K16" t="s">
        <v>129</v>
      </c>
      <c r="L16" t="s">
        <v>129</v>
      </c>
      <c r="M16">
        <v>2017</v>
      </c>
      <c r="N16" t="s">
        <v>37</v>
      </c>
      <c r="O16" t="s">
        <v>41</v>
      </c>
      <c r="P16" s="12" t="s">
        <v>130</v>
      </c>
      <c r="Q16" s="2">
        <f>Parameter!$H$1/Parameter!$H$2*Calib5!AD16</f>
        <v>8266.6666666666661</v>
      </c>
      <c r="R16" t="s">
        <v>134</v>
      </c>
      <c r="S16">
        <v>-13.068863</v>
      </c>
      <c r="T16">
        <v>28.322908999999999</v>
      </c>
      <c r="U16" t="s">
        <v>61</v>
      </c>
      <c r="V16" t="s">
        <v>133</v>
      </c>
      <c r="W16" t="s">
        <v>46</v>
      </c>
      <c r="X16" t="s">
        <v>47</v>
      </c>
      <c r="Y16" t="s">
        <v>48</v>
      </c>
      <c r="Z16" t="s">
        <v>49</v>
      </c>
      <c r="AA16" t="s">
        <v>53</v>
      </c>
      <c r="AB16" s="2">
        <v>500000</v>
      </c>
      <c r="AC16" t="s">
        <v>232</v>
      </c>
      <c r="AD16">
        <f>IF(ISBLANK(AB16), "", AB16*Parameter!$H$3)</f>
        <v>400000</v>
      </c>
      <c r="AE16">
        <f>IF(J16="Concentrate",Parameter!$C$23,IF(Calib5!J16="Ore and concentrate",Parameter!$C$21,IF(F16="Smelter",Parameter!$C$10,IF(F16="Refinary",Parameter!$C$12,Parameter!$C$15))))</f>
        <v>7.2849999999999998E-2</v>
      </c>
      <c r="AF16">
        <f>IF(J16="Concentrate",Parameter!$C$24,IF(Calib5!J16="Ore and concentrate",Parameter!$C$22,IF(F16="Smelter",Parameter!$C$11,IF(F16="Refinary",Parameter!$C$13,Parameter!$C$16))))</f>
        <v>1.333E-2</v>
      </c>
      <c r="AG16">
        <f t="shared" si="0"/>
        <v>29.14</v>
      </c>
      <c r="AH16">
        <f t="shared" si="1"/>
        <v>5.3319999999999999</v>
      </c>
      <c r="AI16" s="1">
        <f>AD16*Parameter!$H$1</f>
        <v>2480</v>
      </c>
      <c r="AJ16" s="18"/>
    </row>
    <row r="17" spans="1:44" x14ac:dyDescent="0.35">
      <c r="A17">
        <v>2236</v>
      </c>
      <c r="B17" t="s">
        <v>119</v>
      </c>
      <c r="C17" t="s">
        <v>121</v>
      </c>
      <c r="D17" t="s">
        <v>27</v>
      </c>
      <c r="E17" t="s">
        <v>122</v>
      </c>
      <c r="H17" t="s">
        <v>29</v>
      </c>
      <c r="I17" t="s">
        <v>34</v>
      </c>
      <c r="J17" t="s">
        <v>82</v>
      </c>
      <c r="K17" t="s">
        <v>36</v>
      </c>
      <c r="L17" t="s">
        <v>36</v>
      </c>
      <c r="M17">
        <v>2017</v>
      </c>
      <c r="N17" t="s">
        <v>37</v>
      </c>
      <c r="O17" t="s">
        <v>41</v>
      </c>
      <c r="P17" t="s">
        <v>43</v>
      </c>
      <c r="R17" t="s">
        <v>134</v>
      </c>
      <c r="S17">
        <v>-13.068863</v>
      </c>
      <c r="T17">
        <v>28.322908999999999</v>
      </c>
      <c r="U17" t="s">
        <v>61</v>
      </c>
      <c r="V17" t="s">
        <v>133</v>
      </c>
      <c r="W17" t="s">
        <v>46</v>
      </c>
      <c r="X17" t="s">
        <v>47</v>
      </c>
      <c r="Y17" t="s">
        <v>48</v>
      </c>
      <c r="Z17" t="s">
        <v>49</v>
      </c>
      <c r="AA17" t="s">
        <v>53</v>
      </c>
      <c r="AB17" s="2">
        <v>4500000</v>
      </c>
      <c r="AC17" t="s">
        <v>232</v>
      </c>
      <c r="AD17">
        <f>IF(ISBLANK(AB17), "", AB17*Parameter!$H$3)</f>
        <v>3600000</v>
      </c>
      <c r="AE17">
        <f>IF(J17="Concentrate",Parameter!$C$23,IF(Calib5!J17="Ore and concentrate",Parameter!$C$21,IF(F17="Smelter",Parameter!$C$10,IF(F17="Refinary",Parameter!$C$12,Parameter!$C$15))))</f>
        <v>7.2849999999999998E-2</v>
      </c>
      <c r="AF17">
        <f>IF(J17="Concentrate",Parameter!$C$24,IF(Calib5!J17="Ore and concentrate",Parameter!$C$22,IF(F17="Smelter",Parameter!$C$11,IF(F17="Refinary",Parameter!$C$13,Parameter!$C$16))))</f>
        <v>1.333E-2</v>
      </c>
      <c r="AG17">
        <f t="shared" si="0"/>
        <v>262.26</v>
      </c>
      <c r="AH17">
        <f t="shared" si="1"/>
        <v>47.988</v>
      </c>
      <c r="AI17" s="1">
        <f>AD17*Parameter!$H$1</f>
        <v>22320</v>
      </c>
      <c r="AJ17" s="18"/>
    </row>
    <row r="18" spans="1:44" x14ac:dyDescent="0.35">
      <c r="A18">
        <v>2237</v>
      </c>
      <c r="B18" t="s">
        <v>123</v>
      </c>
      <c r="C18" t="s">
        <v>124</v>
      </c>
      <c r="D18" t="s">
        <v>27</v>
      </c>
      <c r="E18" t="s">
        <v>125</v>
      </c>
      <c r="H18" t="s">
        <v>29</v>
      </c>
      <c r="I18" t="s">
        <v>34</v>
      </c>
      <c r="J18" t="s">
        <v>82</v>
      </c>
      <c r="K18" t="s">
        <v>36</v>
      </c>
      <c r="L18" t="s">
        <v>36</v>
      </c>
      <c r="M18">
        <v>2017</v>
      </c>
      <c r="N18" t="s">
        <v>37</v>
      </c>
      <c r="O18" t="s">
        <v>41</v>
      </c>
      <c r="P18" s="12" t="s">
        <v>131</v>
      </c>
      <c r="Q18" s="2">
        <f>Parameter!$H$1/Parameter!$H$2*Calib5!AD18</f>
        <v>41333.333333333336</v>
      </c>
      <c r="R18" t="s">
        <v>135</v>
      </c>
      <c r="S18">
        <v>-12.294129999999999</v>
      </c>
      <c r="T18">
        <v>27.765612000000001</v>
      </c>
      <c r="U18" t="s">
        <v>61</v>
      </c>
      <c r="V18" t="s">
        <v>50</v>
      </c>
      <c r="W18" t="s">
        <v>46</v>
      </c>
      <c r="X18" t="s">
        <v>136</v>
      </c>
      <c r="Y18" t="s">
        <v>137</v>
      </c>
      <c r="Z18" t="s">
        <v>138</v>
      </c>
      <c r="AA18" t="s">
        <v>53</v>
      </c>
      <c r="AB18" s="2">
        <v>2500000</v>
      </c>
      <c r="AC18" t="s">
        <v>232</v>
      </c>
      <c r="AD18">
        <f>IF(ISBLANK(AB18), "", AB18*Parameter!$H$3)</f>
        <v>2000000</v>
      </c>
      <c r="AE18">
        <f>IF(J18="Concentrate",Parameter!$C$23,IF(Calib5!J18="Ore and concentrate",Parameter!$C$21,IF(F18="Smelter",Parameter!$C$10,IF(F18="Refinary",Parameter!$C$12,Parameter!$C$15))))</f>
        <v>7.2849999999999998E-2</v>
      </c>
      <c r="AF18">
        <f>IF(J18="Concentrate",Parameter!$C$24,IF(Calib5!J18="Ore and concentrate",Parameter!$C$22,IF(F18="Smelter",Parameter!$C$11,IF(F18="Refinary",Parameter!$C$13,Parameter!$C$16))))</f>
        <v>1.333E-2</v>
      </c>
      <c r="AG18">
        <f t="shared" si="0"/>
        <v>145.69999999999999</v>
      </c>
      <c r="AH18">
        <f t="shared" si="1"/>
        <v>26.66</v>
      </c>
      <c r="AI18" s="2">
        <f>AD18*Parameter!$H$1</f>
        <v>12400</v>
      </c>
      <c r="AJ18" s="2">
        <v>1294</v>
      </c>
      <c r="AK18" s="2">
        <v>2654100</v>
      </c>
      <c r="AL18" s="2">
        <v>2520000</v>
      </c>
      <c r="AM18" s="1">
        <v>45584</v>
      </c>
      <c r="AN18" s="1">
        <v>43659</v>
      </c>
    </row>
    <row r="19" spans="1:44" x14ac:dyDescent="0.35">
      <c r="A19">
        <v>2238</v>
      </c>
      <c r="B19" t="s">
        <v>126</v>
      </c>
      <c r="C19" t="s">
        <v>127</v>
      </c>
      <c r="D19" t="s">
        <v>27</v>
      </c>
      <c r="E19" t="s">
        <v>128</v>
      </c>
      <c r="G19" t="s">
        <v>285</v>
      </c>
      <c r="H19" t="s">
        <v>29</v>
      </c>
      <c r="I19" t="s">
        <v>34</v>
      </c>
      <c r="J19" t="s">
        <v>82</v>
      </c>
      <c r="K19" t="s">
        <v>36</v>
      </c>
      <c r="L19" t="s">
        <v>36</v>
      </c>
      <c r="M19">
        <v>2017</v>
      </c>
      <c r="N19" t="s">
        <v>37</v>
      </c>
      <c r="O19" t="s">
        <v>41</v>
      </c>
      <c r="P19" t="s">
        <v>43</v>
      </c>
      <c r="R19" t="s">
        <v>139</v>
      </c>
      <c r="S19">
        <v>-12.230905</v>
      </c>
      <c r="T19">
        <v>25.817114</v>
      </c>
      <c r="U19" t="s">
        <v>61</v>
      </c>
      <c r="V19" t="s">
        <v>45</v>
      </c>
      <c r="W19" t="s">
        <v>46</v>
      </c>
      <c r="X19" t="s">
        <v>140</v>
      </c>
      <c r="Y19" t="s">
        <v>141</v>
      </c>
      <c r="Z19" t="s">
        <v>43</v>
      </c>
      <c r="AA19" t="s">
        <v>111</v>
      </c>
      <c r="AB19" s="2">
        <v>21000000</v>
      </c>
      <c r="AC19" t="s">
        <v>232</v>
      </c>
      <c r="AD19">
        <f>IF(ISBLANK(AB19), "", AB19*Parameter!$H$3)</f>
        <v>16800000</v>
      </c>
      <c r="AE19">
        <f>IF(J19="Concentrate",Parameter!$C$23,IF(Calib5!J19="Ore and concentrate",Parameter!$C$21,IF(F19="Smelter",Parameter!$C$10,IF(F19="Refinary",Parameter!$C$12,Parameter!$C$15))))</f>
        <v>7.2849999999999998E-2</v>
      </c>
      <c r="AF19">
        <f>IF(J19="Concentrate",Parameter!$C$24,IF(Calib5!J19="Ore and concentrate",Parameter!$C$22,IF(F19="Smelter",Parameter!$C$11,IF(F19="Refinary",Parameter!$C$13,Parameter!$C$16))))</f>
        <v>1.333E-2</v>
      </c>
      <c r="AG19">
        <f t="shared" si="0"/>
        <v>1223.8800000000001</v>
      </c>
      <c r="AH19">
        <f t="shared" si="1"/>
        <v>223.94399999999999</v>
      </c>
      <c r="AI19" s="2">
        <f>AD19*Parameter!$H$1</f>
        <v>104160</v>
      </c>
      <c r="AJ19" s="2">
        <v>107955</v>
      </c>
      <c r="AK19" t="s">
        <v>103</v>
      </c>
      <c r="AL19" s="2">
        <v>25290000</v>
      </c>
      <c r="AM19" s="1">
        <v>109769</v>
      </c>
      <c r="AN19" s="1">
        <v>125191</v>
      </c>
    </row>
    <row r="20" spans="1:44" x14ac:dyDescent="0.35">
      <c r="A20">
        <v>2243</v>
      </c>
      <c r="B20" t="s">
        <v>142</v>
      </c>
      <c r="C20" t="s">
        <v>143</v>
      </c>
      <c r="D20" t="s">
        <v>27</v>
      </c>
      <c r="E20" t="s">
        <v>144</v>
      </c>
      <c r="G20" t="s">
        <v>286</v>
      </c>
      <c r="H20" t="s">
        <v>29</v>
      </c>
      <c r="I20" t="s">
        <v>34</v>
      </c>
      <c r="J20" t="s">
        <v>82</v>
      </c>
      <c r="K20" t="s">
        <v>36</v>
      </c>
      <c r="L20" t="s">
        <v>36</v>
      </c>
      <c r="M20">
        <v>2017</v>
      </c>
      <c r="N20" t="s">
        <v>103</v>
      </c>
      <c r="O20" t="s">
        <v>41</v>
      </c>
      <c r="P20" t="s">
        <v>151</v>
      </c>
      <c r="R20" t="s">
        <v>43</v>
      </c>
      <c r="S20">
        <v>-13.944326</v>
      </c>
      <c r="T20">
        <v>29.140440000000002</v>
      </c>
      <c r="U20" t="s">
        <v>44</v>
      </c>
      <c r="V20" t="s">
        <v>50</v>
      </c>
      <c r="W20" t="s">
        <v>46</v>
      </c>
      <c r="X20" t="s">
        <v>153</v>
      </c>
      <c r="Y20" t="s">
        <v>154</v>
      </c>
      <c r="Z20" t="s">
        <v>155</v>
      </c>
      <c r="AA20" t="s">
        <v>159</v>
      </c>
      <c r="AB20" s="2"/>
      <c r="AC20" t="s">
        <v>232</v>
      </c>
      <c r="AD20" t="str">
        <f>IF(ISBLANK(AB20), "", AB20*Parameter!$H$3)</f>
        <v/>
      </c>
      <c r="AE20">
        <f>IF(J20="Concentrate",Parameter!$C$23,IF(Calib5!J20="Ore and concentrate",Parameter!$C$21,IF(F20="Smelter",Parameter!$C$10,IF(F20="Refinary",Parameter!$C$12,Parameter!$C$15))))</f>
        <v>7.2849999999999998E-2</v>
      </c>
      <c r="AF20">
        <f>IF(J20="Concentrate",Parameter!$C$24,IF(Calib5!J20="Ore and concentrate",Parameter!$C$22,IF(F20="Smelter",Parameter!$C$11,IF(F20="Refinary",Parameter!$C$13,Parameter!$C$16))))</f>
        <v>1.333E-2</v>
      </c>
      <c r="AG20" t="str">
        <f t="shared" si="0"/>
        <v/>
      </c>
      <c r="AH20" t="str">
        <f t="shared" si="1"/>
        <v/>
      </c>
      <c r="AJ20" s="18"/>
    </row>
    <row r="21" spans="1:44" hidden="1" x14ac:dyDescent="0.35">
      <c r="A21">
        <v>2244</v>
      </c>
      <c r="B21" t="s">
        <v>145</v>
      </c>
      <c r="C21" t="s">
        <v>146</v>
      </c>
      <c r="D21" t="s">
        <v>27</v>
      </c>
      <c r="E21" t="s">
        <v>147</v>
      </c>
      <c r="F21" t="s">
        <v>257</v>
      </c>
      <c r="G21" t="s">
        <v>274</v>
      </c>
      <c r="H21" t="s">
        <v>33</v>
      </c>
      <c r="I21" t="s">
        <v>34</v>
      </c>
      <c r="J21" t="s">
        <v>38</v>
      </c>
      <c r="K21" t="s">
        <v>36</v>
      </c>
      <c r="L21" t="s">
        <v>36</v>
      </c>
      <c r="M21">
        <v>2017</v>
      </c>
      <c r="N21" t="s">
        <v>37</v>
      </c>
      <c r="O21" t="s">
        <v>41</v>
      </c>
      <c r="P21" t="s">
        <v>152</v>
      </c>
      <c r="R21" t="s">
        <v>43</v>
      </c>
      <c r="S21">
        <v>-12.535</v>
      </c>
      <c r="T21">
        <v>28.234000000000002</v>
      </c>
      <c r="U21" t="s">
        <v>44</v>
      </c>
      <c r="V21" t="s">
        <v>62</v>
      </c>
      <c r="W21" t="s">
        <v>46</v>
      </c>
      <c r="X21" t="s">
        <v>156</v>
      </c>
      <c r="Y21" t="s">
        <v>157</v>
      </c>
      <c r="Z21" t="s">
        <v>158</v>
      </c>
      <c r="AA21" t="s">
        <v>53</v>
      </c>
      <c r="AB21" s="2">
        <v>200000</v>
      </c>
      <c r="AC21" t="s">
        <v>232</v>
      </c>
      <c r="AD21">
        <f>IF(ISBLANK(AB21), "", AB21*Parameter!$H$3)</f>
        <v>160000</v>
      </c>
      <c r="AE21">
        <v>6.9029999999999996</v>
      </c>
      <c r="AF21">
        <v>4.1749999999999998</v>
      </c>
      <c r="AG21">
        <f t="shared" si="0"/>
        <v>1104.48</v>
      </c>
      <c r="AH21">
        <f t="shared" si="1"/>
        <v>668</v>
      </c>
      <c r="AK21" t="s">
        <v>103</v>
      </c>
      <c r="AL21" t="s">
        <v>103</v>
      </c>
      <c r="AM21" s="5">
        <v>0</v>
      </c>
      <c r="AN21" s="5">
        <v>0</v>
      </c>
    </row>
    <row r="22" spans="1:44" x14ac:dyDescent="0.35">
      <c r="A22">
        <v>2245</v>
      </c>
      <c r="B22" t="s">
        <v>148</v>
      </c>
      <c r="C22" t="s">
        <v>149</v>
      </c>
      <c r="D22" t="s">
        <v>27</v>
      </c>
      <c r="E22" t="s">
        <v>150</v>
      </c>
      <c r="H22" t="s">
        <v>29</v>
      </c>
      <c r="I22" t="s">
        <v>34</v>
      </c>
      <c r="J22" t="s">
        <v>82</v>
      </c>
      <c r="K22" t="s">
        <v>36</v>
      </c>
      <c r="L22" t="s">
        <v>36</v>
      </c>
      <c r="M22">
        <v>2017</v>
      </c>
      <c r="N22" t="s">
        <v>37</v>
      </c>
      <c r="O22" t="s">
        <v>41</v>
      </c>
      <c r="P22" t="s">
        <v>43</v>
      </c>
      <c r="R22" t="s">
        <v>43</v>
      </c>
      <c r="S22">
        <v>-12.542415</v>
      </c>
      <c r="T22">
        <v>28.219801</v>
      </c>
      <c r="U22" t="s">
        <v>44</v>
      </c>
      <c r="V22" t="s">
        <v>50</v>
      </c>
      <c r="W22" t="s">
        <v>46</v>
      </c>
      <c r="X22" t="s">
        <v>156</v>
      </c>
      <c r="Y22" t="s">
        <v>157</v>
      </c>
      <c r="Z22" t="s">
        <v>158</v>
      </c>
      <c r="AA22" t="s">
        <v>53</v>
      </c>
      <c r="AB22" s="2">
        <v>2500000</v>
      </c>
      <c r="AC22" t="s">
        <v>232</v>
      </c>
      <c r="AD22">
        <f>IF(ISBLANK(AB22), "", AB22*Parameter!$H$3)</f>
        <v>2000000</v>
      </c>
      <c r="AE22">
        <f>IF(J22="Concentrate",Parameter!$C$23,IF(Calib5!J22="Ore and concentrate",Parameter!$C$21,IF(F22="Smelter",Parameter!$C$10,IF(F22="Refinary",Parameter!$C$12,Parameter!$C$15))))</f>
        <v>7.2849999999999998E-2</v>
      </c>
      <c r="AF22">
        <f>IF(J22="Concentrate",Parameter!$C$24,IF(Calib5!J22="Ore and concentrate",Parameter!$C$22,IF(F22="Smelter",Parameter!$C$11,IF(F22="Refinary",Parameter!$C$13,Parameter!$C$16))))</f>
        <v>1.333E-2</v>
      </c>
      <c r="AG22">
        <f t="shared" si="0"/>
        <v>145.69999999999999</v>
      </c>
      <c r="AH22">
        <f t="shared" si="1"/>
        <v>26.66</v>
      </c>
      <c r="AI22" s="22">
        <f>AD22*Parameter!$H$1</f>
        <v>12400</v>
      </c>
      <c r="AJ22" s="22">
        <v>61900</v>
      </c>
      <c r="AK22" s="2">
        <v>1440000</v>
      </c>
      <c r="AL22" t="s">
        <v>103</v>
      </c>
      <c r="AM22" s="1">
        <v>30551</v>
      </c>
      <c r="AN22" s="1">
        <v>82500</v>
      </c>
      <c r="AO22" s="2">
        <v>125000</v>
      </c>
      <c r="AP22" t="s">
        <v>236</v>
      </c>
      <c r="AQ22" s="2">
        <v>2500000</v>
      </c>
      <c r="AR22" t="s">
        <v>236</v>
      </c>
    </row>
    <row r="23" spans="1:44" hidden="1" x14ac:dyDescent="0.35">
      <c r="A23">
        <v>2247</v>
      </c>
      <c r="B23" t="s">
        <v>160</v>
      </c>
      <c r="C23" t="s">
        <v>161</v>
      </c>
      <c r="D23" t="s">
        <v>27</v>
      </c>
      <c r="E23" t="s">
        <v>162</v>
      </c>
      <c r="F23" t="s">
        <v>269</v>
      </c>
      <c r="H23" t="s">
        <v>33</v>
      </c>
      <c r="I23" t="s">
        <v>34</v>
      </c>
      <c r="J23" t="s">
        <v>38</v>
      </c>
      <c r="K23" t="s">
        <v>36</v>
      </c>
      <c r="L23" t="s">
        <v>36</v>
      </c>
      <c r="M23">
        <v>2017</v>
      </c>
      <c r="N23" t="s">
        <v>37</v>
      </c>
      <c r="O23" t="s">
        <v>41</v>
      </c>
      <c r="P23" t="s">
        <v>42</v>
      </c>
      <c r="R23" t="s">
        <v>43</v>
      </c>
      <c r="S23">
        <v>-12.534000000000001</v>
      </c>
      <c r="T23">
        <v>28.236999999999998</v>
      </c>
      <c r="U23" t="s">
        <v>44</v>
      </c>
      <c r="V23" t="s">
        <v>62</v>
      </c>
      <c r="W23" t="s">
        <v>46</v>
      </c>
      <c r="X23" t="s">
        <v>156</v>
      </c>
      <c r="Y23" t="s">
        <v>157</v>
      </c>
      <c r="Z23" t="s">
        <v>158</v>
      </c>
      <c r="AA23" t="s">
        <v>53</v>
      </c>
      <c r="AB23" s="2">
        <v>275000</v>
      </c>
      <c r="AC23" t="s">
        <v>232</v>
      </c>
      <c r="AD23">
        <f>IF(ISBLANK(AB23), "", AB23*Parameter!$H$3)</f>
        <v>220000</v>
      </c>
      <c r="AE23">
        <f>IF(J23="Concentrate",Parameter!$C$23,IF(Calib5!J23="Ore and concentrate",Parameter!$C$21,IF(F23="Smelter",Parameter!$C$10,IF(F23="Refinary",Parameter!$C$12,Parameter!$C$15))))</f>
        <v>3.2</v>
      </c>
      <c r="AF23">
        <f>IF(J23="Concentrate",Parameter!$C$24,IF(Calib5!J23="Ore and concentrate",Parameter!$C$22,IF(F23="Smelter",Parameter!$C$11,IF(F23="Refinary",Parameter!$C$13,Parameter!$C$16))))</f>
        <v>0</v>
      </c>
      <c r="AG23">
        <f t="shared" si="0"/>
        <v>704</v>
      </c>
      <c r="AH23">
        <f t="shared" si="1"/>
        <v>0</v>
      </c>
      <c r="AM23" t="s">
        <v>234</v>
      </c>
      <c r="AN23" t="s">
        <v>234</v>
      </c>
      <c r="AO23" s="2">
        <v>270000</v>
      </c>
      <c r="AP23" t="s">
        <v>236</v>
      </c>
    </row>
    <row r="24" spans="1:44" hidden="1" x14ac:dyDescent="0.35">
      <c r="A24">
        <v>2248</v>
      </c>
      <c r="B24" t="s">
        <v>163</v>
      </c>
      <c r="C24" t="s">
        <v>164</v>
      </c>
      <c r="D24" t="s">
        <v>27</v>
      </c>
      <c r="E24" t="s">
        <v>165</v>
      </c>
      <c r="F24" t="s">
        <v>270</v>
      </c>
      <c r="G24" s="3" t="s">
        <v>279</v>
      </c>
      <c r="H24" t="s">
        <v>33</v>
      </c>
      <c r="I24" t="s">
        <v>34</v>
      </c>
      <c r="J24" t="s">
        <v>38</v>
      </c>
      <c r="K24" t="s">
        <v>36</v>
      </c>
      <c r="L24" t="s">
        <v>36</v>
      </c>
      <c r="M24">
        <v>2017</v>
      </c>
      <c r="N24" t="s">
        <v>103</v>
      </c>
      <c r="O24" t="s">
        <v>41</v>
      </c>
      <c r="P24" t="s">
        <v>43</v>
      </c>
      <c r="R24" t="s">
        <v>237</v>
      </c>
      <c r="S24">
        <v>-12.533671</v>
      </c>
      <c r="T24">
        <v>28.238890999999999</v>
      </c>
      <c r="U24" t="s">
        <v>44</v>
      </c>
      <c r="V24" t="s">
        <v>62</v>
      </c>
      <c r="W24" t="s">
        <v>46</v>
      </c>
      <c r="X24" t="s">
        <v>156</v>
      </c>
      <c r="Y24" t="s">
        <v>157</v>
      </c>
      <c r="Z24" t="s">
        <v>158</v>
      </c>
      <c r="AA24" t="s">
        <v>53</v>
      </c>
      <c r="AB24" s="2"/>
      <c r="AC24" t="s">
        <v>232</v>
      </c>
      <c r="AD24" t="str">
        <f>IF(ISBLANK(AB24), "", AB24*Parameter!$H$3)</f>
        <v/>
      </c>
      <c r="AE24">
        <f>IF(J24="Concentrate",Parameter!$C$23,IF(Calib5!J24="Ore and concentrate",Parameter!$C$21,IF(F24="Smelter",Parameter!$C$10,IF(F24="Refinary",Parameter!$C$12,Parameter!$C$15))))</f>
        <v>12.466000000000001</v>
      </c>
      <c r="AF24">
        <f>IF(J24="Concentrate",Parameter!$C$24,IF(Calib5!J24="Ore and concentrate",Parameter!$C$22,IF(F24="Smelter",Parameter!$C$11,IF(F24="Refinary",Parameter!$C$13,Parameter!$C$16))))</f>
        <v>1.518</v>
      </c>
      <c r="AG24" t="str">
        <f t="shared" si="0"/>
        <v/>
      </c>
      <c r="AH24" t="str">
        <f t="shared" si="1"/>
        <v/>
      </c>
      <c r="AM24" t="s">
        <v>234</v>
      </c>
      <c r="AN24" t="s">
        <v>234</v>
      </c>
      <c r="AO24" t="s">
        <v>103</v>
      </c>
      <c r="AP24" t="s">
        <v>236</v>
      </c>
    </row>
    <row r="25" spans="1:44" hidden="1" x14ac:dyDescent="0.35">
      <c r="A25">
        <v>2249</v>
      </c>
      <c r="B25" t="s">
        <v>166</v>
      </c>
      <c r="C25" t="s">
        <v>167</v>
      </c>
      <c r="D25" t="s">
        <v>27</v>
      </c>
      <c r="E25" t="s">
        <v>168</v>
      </c>
      <c r="F25" t="s">
        <v>268</v>
      </c>
      <c r="G25" t="s">
        <v>278</v>
      </c>
      <c r="H25" t="s">
        <v>33</v>
      </c>
      <c r="I25" t="s">
        <v>34</v>
      </c>
      <c r="J25" t="s">
        <v>38</v>
      </c>
      <c r="K25" t="s">
        <v>36</v>
      </c>
      <c r="L25" t="s">
        <v>36</v>
      </c>
      <c r="M25">
        <v>2017</v>
      </c>
      <c r="N25" t="s">
        <v>37</v>
      </c>
      <c r="O25" t="s">
        <v>41</v>
      </c>
      <c r="P25" t="s">
        <v>42</v>
      </c>
      <c r="R25" t="s">
        <v>134</v>
      </c>
      <c r="S25">
        <v>-13.06861</v>
      </c>
      <c r="T25">
        <v>28.32583</v>
      </c>
      <c r="U25" t="s">
        <v>44</v>
      </c>
      <c r="V25" t="s">
        <v>62</v>
      </c>
      <c r="W25" t="s">
        <v>46</v>
      </c>
      <c r="X25" t="s">
        <v>47</v>
      </c>
      <c r="Y25" t="s">
        <v>169</v>
      </c>
      <c r="Z25" t="s">
        <v>43</v>
      </c>
      <c r="AA25" t="s">
        <v>53</v>
      </c>
      <c r="AB25" s="2">
        <v>40000</v>
      </c>
      <c r="AC25" t="s">
        <v>232</v>
      </c>
      <c r="AD25">
        <f>IF(ISBLANK(AB25), "", AB25*Parameter!$H$3)</f>
        <v>32000</v>
      </c>
      <c r="AE25">
        <f>IF(J25="Concentrate",Parameter!$C$23,IF(Calib5!J25="Ore and concentrate",Parameter!$C$21,IF(F25="Smelter",Parameter!$C$10,IF(F25="Refinary",Parameter!$C$12,Parameter!$C$15))))</f>
        <v>12.466000000000001</v>
      </c>
      <c r="AF25">
        <f>IF(J25="Concentrate",Parameter!$C$24,IF(Calib5!J25="Ore and concentrate",Parameter!$C$22,IF(F25="Smelter",Parameter!$C$11,IF(F25="Refinary",Parameter!$C$13,Parameter!$C$16))))</f>
        <v>1.518</v>
      </c>
      <c r="AG25">
        <f t="shared" si="0"/>
        <v>398.91200000000003</v>
      </c>
      <c r="AH25">
        <f t="shared" si="1"/>
        <v>48.576000000000001</v>
      </c>
      <c r="AJ25" s="1">
        <v>41876</v>
      </c>
      <c r="AO25" s="2">
        <v>34000</v>
      </c>
      <c r="AP25" t="s">
        <v>236</v>
      </c>
    </row>
    <row r="26" spans="1:44" hidden="1" x14ac:dyDescent="0.35">
      <c r="A26">
        <v>2251</v>
      </c>
      <c r="B26" t="s">
        <v>170</v>
      </c>
      <c r="C26" t="s">
        <v>171</v>
      </c>
      <c r="D26" t="s">
        <v>27</v>
      </c>
      <c r="E26" t="s">
        <v>172</v>
      </c>
      <c r="H26" t="s">
        <v>29</v>
      </c>
      <c r="I26" t="s">
        <v>34</v>
      </c>
      <c r="J26" t="s">
        <v>38</v>
      </c>
      <c r="K26" s="3" t="s">
        <v>36</v>
      </c>
      <c r="L26" s="3" t="s">
        <v>36</v>
      </c>
      <c r="M26">
        <v>2017</v>
      </c>
      <c r="N26" s="3" t="s">
        <v>37</v>
      </c>
      <c r="O26" s="3" t="s">
        <v>39</v>
      </c>
      <c r="P26" t="s">
        <v>174</v>
      </c>
      <c r="Q26" t="s">
        <v>294</v>
      </c>
      <c r="R26" t="s">
        <v>175</v>
      </c>
      <c r="S26" s="3">
        <v>-15.925446000000001</v>
      </c>
      <c r="T26" s="3">
        <v>28.129807</v>
      </c>
      <c r="U26" s="3" t="s">
        <v>61</v>
      </c>
      <c r="V26" s="3" t="s">
        <v>50</v>
      </c>
      <c r="W26" s="3" t="s">
        <v>46</v>
      </c>
      <c r="X26" s="3" t="s">
        <v>176</v>
      </c>
      <c r="Y26" s="3" t="s">
        <v>177</v>
      </c>
      <c r="Z26" s="3" t="s">
        <v>43</v>
      </c>
      <c r="AA26" s="3" t="s">
        <v>178</v>
      </c>
      <c r="AB26" s="2">
        <v>1700</v>
      </c>
      <c r="AC26" t="s">
        <v>232</v>
      </c>
      <c r="AD26">
        <f>IF(ISBLANK(AB26), "", AB26*Parameter!$H$3)</f>
        <v>1360</v>
      </c>
      <c r="AE26">
        <f>IF(J26="Concentrate",Parameter!$C$23,IF(Calib5!J26="Ore and concentrate",Parameter!$C$21,IF(F26="Smelter",Parameter!$C$10,IF(F26="Refinary",Parameter!$C$12,Parameter!$C$15))))</f>
        <v>12.466000000000001</v>
      </c>
      <c r="AF26">
        <f>IF(J26="Concentrate",Parameter!$C$24,IF(Calib5!J26="Ore and concentrate",Parameter!$C$22,IF(F26="Smelter",Parameter!$C$11,IF(F26="Refinary",Parameter!$C$13,Parameter!$C$16))))</f>
        <v>1.518</v>
      </c>
      <c r="AG26">
        <f t="shared" si="0"/>
        <v>16.953760000000003</v>
      </c>
      <c r="AH26">
        <f t="shared" si="1"/>
        <v>2.0644800000000001</v>
      </c>
      <c r="AJ26" s="2">
        <v>1338</v>
      </c>
      <c r="AK26" s="2">
        <v>175000</v>
      </c>
      <c r="AL26" s="2">
        <v>312500</v>
      </c>
      <c r="AM26" s="5" t="s">
        <v>103</v>
      </c>
      <c r="AN26" s="5" t="s">
        <v>103</v>
      </c>
    </row>
    <row r="27" spans="1:44" hidden="1" x14ac:dyDescent="0.35">
      <c r="A27">
        <v>2253</v>
      </c>
      <c r="B27" t="s">
        <v>179</v>
      </c>
      <c r="C27" t="s">
        <v>180</v>
      </c>
      <c r="D27" t="s">
        <v>27</v>
      </c>
      <c r="E27" t="s">
        <v>181</v>
      </c>
      <c r="F27" t="s">
        <v>257</v>
      </c>
      <c r="H27" t="s">
        <v>29</v>
      </c>
      <c r="I27" t="s">
        <v>34</v>
      </c>
      <c r="J27" t="s">
        <v>38</v>
      </c>
      <c r="K27" t="s">
        <v>36</v>
      </c>
      <c r="L27" t="s">
        <v>36</v>
      </c>
      <c r="M27">
        <v>2017</v>
      </c>
      <c r="N27" t="s">
        <v>37</v>
      </c>
      <c r="O27" t="s">
        <v>41</v>
      </c>
      <c r="P27" t="s">
        <v>43</v>
      </c>
      <c r="R27" t="s">
        <v>182</v>
      </c>
      <c r="S27">
        <v>-12.72194</v>
      </c>
      <c r="T27">
        <v>27.968019999999999</v>
      </c>
      <c r="U27" t="s">
        <v>44</v>
      </c>
      <c r="V27" t="s">
        <v>62</v>
      </c>
      <c r="W27" t="s">
        <v>46</v>
      </c>
      <c r="X27" t="s">
        <v>63</v>
      </c>
      <c r="Y27" t="s">
        <v>64</v>
      </c>
      <c r="Z27" t="s">
        <v>65</v>
      </c>
      <c r="AA27" t="s">
        <v>53</v>
      </c>
      <c r="AB27" s="2">
        <v>600000</v>
      </c>
      <c r="AC27" t="s">
        <v>232</v>
      </c>
      <c r="AD27" s="21">
        <f>IF(ISBLANK(AB27), "", AB27*Parameter!$H$3)</f>
        <v>480000</v>
      </c>
      <c r="AE27">
        <f>IF(J27="Concentrate",Parameter!$C$23,IF(Calib5!J27="Ore and concentrate",Parameter!$C$21,IF(F27="Smelter",Parameter!$C$10,IF(F27="Refinary",Parameter!$C$12,Parameter!$C$15))))</f>
        <v>9.266</v>
      </c>
      <c r="AF27">
        <f>IF(J27="Concentrate",Parameter!$C$24,IF(Calib5!J27="Ore and concentrate",Parameter!$C$22,IF(F27="Smelter",Parameter!$C$11,IF(F27="Refinary",Parameter!$C$13,Parameter!$C$16))))</f>
        <v>1.518</v>
      </c>
      <c r="AG27">
        <f t="shared" si="0"/>
        <v>4447.68</v>
      </c>
      <c r="AH27">
        <f t="shared" si="1"/>
        <v>728.64</v>
      </c>
      <c r="AJ27" s="22">
        <v>6973</v>
      </c>
    </row>
    <row r="28" spans="1:44" hidden="1" x14ac:dyDescent="0.35">
      <c r="A28">
        <v>2257</v>
      </c>
      <c r="B28" t="s">
        <v>183</v>
      </c>
      <c r="C28" t="s">
        <v>184</v>
      </c>
      <c r="D28" t="s">
        <v>27</v>
      </c>
      <c r="E28" t="s">
        <v>185</v>
      </c>
      <c r="F28" t="s">
        <v>257</v>
      </c>
      <c r="H28" t="s">
        <v>33</v>
      </c>
      <c r="I28" t="s">
        <v>34</v>
      </c>
      <c r="J28" t="s">
        <v>38</v>
      </c>
      <c r="K28" t="s">
        <v>36</v>
      </c>
      <c r="L28" t="s">
        <v>36</v>
      </c>
      <c r="M28">
        <v>2017</v>
      </c>
      <c r="N28" t="s">
        <v>37</v>
      </c>
      <c r="O28" t="s">
        <v>41</v>
      </c>
      <c r="P28" t="s">
        <v>195</v>
      </c>
      <c r="R28" t="s">
        <v>96</v>
      </c>
      <c r="S28">
        <v>-12.531000000000001</v>
      </c>
      <c r="T28">
        <v>27.855</v>
      </c>
      <c r="U28" t="s">
        <v>44</v>
      </c>
      <c r="V28" t="s">
        <v>62</v>
      </c>
      <c r="W28" t="s">
        <v>46</v>
      </c>
      <c r="X28" t="s">
        <v>97</v>
      </c>
      <c r="Y28" t="s">
        <v>98</v>
      </c>
      <c r="Z28" t="s">
        <v>99</v>
      </c>
      <c r="AA28" t="s">
        <v>53</v>
      </c>
      <c r="AB28" s="2">
        <v>311000</v>
      </c>
      <c r="AC28" t="s">
        <v>232</v>
      </c>
      <c r="AD28">
        <f>IF(ISBLANK(AB28), "", AB28*Parameter!$H$3)</f>
        <v>248800</v>
      </c>
      <c r="AE28">
        <f>IF(J28="Concentrate",Parameter!$C$23,IF(Calib5!J28="Ore and concentrate",Parameter!$C$21,IF(F28="Smelter",Parameter!$C$10,IF(F28="Refinary",Parameter!$C$12,Parameter!$C$15))))</f>
        <v>9.266</v>
      </c>
      <c r="AF28">
        <f>IF(J28="Concentrate",Parameter!$C$24,IF(Calib5!J28="Ore and concentrate",Parameter!$C$22,IF(F28="Smelter",Parameter!$C$11,IF(F28="Refinary",Parameter!$C$13,Parameter!$C$16))))</f>
        <v>1.518</v>
      </c>
      <c r="AG28">
        <f t="shared" si="0"/>
        <v>2305.3807999999999</v>
      </c>
      <c r="AH28">
        <f t="shared" si="1"/>
        <v>377.67840000000001</v>
      </c>
    </row>
    <row r="29" spans="1:44" x14ac:dyDescent="0.35">
      <c r="A29">
        <v>2258</v>
      </c>
      <c r="B29" t="s">
        <v>186</v>
      </c>
      <c r="C29" t="s">
        <v>187</v>
      </c>
      <c r="D29" t="s">
        <v>27</v>
      </c>
      <c r="E29" t="s">
        <v>188</v>
      </c>
      <c r="G29" t="s">
        <v>284</v>
      </c>
      <c r="H29" t="s">
        <v>29</v>
      </c>
      <c r="I29" t="s">
        <v>34</v>
      </c>
      <c r="J29" t="s">
        <v>82</v>
      </c>
      <c r="K29" t="s">
        <v>36</v>
      </c>
      <c r="L29" t="s">
        <v>36</v>
      </c>
      <c r="M29">
        <v>2017</v>
      </c>
      <c r="N29" t="s">
        <v>37</v>
      </c>
      <c r="O29" t="s">
        <v>41</v>
      </c>
      <c r="P29" s="13" t="s">
        <v>95</v>
      </c>
      <c r="R29" t="s">
        <v>96</v>
      </c>
      <c r="S29">
        <v>-12.536110000000001</v>
      </c>
      <c r="T29">
        <v>27.833120000000001</v>
      </c>
      <c r="U29" t="s">
        <v>44</v>
      </c>
      <c r="V29" t="s">
        <v>45</v>
      </c>
      <c r="W29" t="s">
        <v>46</v>
      </c>
      <c r="X29" t="s">
        <v>97</v>
      </c>
      <c r="Y29" t="s">
        <v>98</v>
      </c>
      <c r="Z29" t="s">
        <v>99</v>
      </c>
      <c r="AA29" t="s">
        <v>53</v>
      </c>
      <c r="AB29" s="2">
        <v>4500000</v>
      </c>
      <c r="AC29" t="s">
        <v>232</v>
      </c>
      <c r="AD29">
        <f>IF(ISBLANK(AB29), "", AB29*Parameter!$H$3)/2</f>
        <v>1800000</v>
      </c>
      <c r="AE29">
        <f>IF(J29="Concentrate",Parameter!$C$23,IF(Calib5!J29="Ore and concentrate",Parameter!$C$21,IF(F29="Smelter",Parameter!$C$10,IF(F29="Refinary",Parameter!$C$12,Parameter!$C$15))))</f>
        <v>7.2849999999999998E-2</v>
      </c>
      <c r="AF29">
        <f>IF(J29="Concentrate",Parameter!$C$24,IF(Calib5!J29="Ore and concentrate",Parameter!$C$22,IF(F29="Smelter",Parameter!$C$11,IF(F29="Refinary",Parameter!$C$13,Parameter!$C$16))))</f>
        <v>1.333E-2</v>
      </c>
      <c r="AG29">
        <f t="shared" si="0"/>
        <v>131.13</v>
      </c>
      <c r="AH29">
        <f t="shared" si="1"/>
        <v>23.994</v>
      </c>
      <c r="AI29" s="2">
        <f>AD29*Parameter!$H$1</f>
        <v>11160</v>
      </c>
      <c r="AJ29" s="2">
        <v>65544</v>
      </c>
      <c r="AK29" s="2"/>
      <c r="AL29" s="2"/>
      <c r="AM29" s="1"/>
      <c r="AN29" s="1"/>
      <c r="AQ29" s="2">
        <v>4500000</v>
      </c>
      <c r="AR29" t="s">
        <v>236</v>
      </c>
    </row>
    <row r="30" spans="1:44" hidden="1" x14ac:dyDescent="0.35">
      <c r="A30">
        <v>2259</v>
      </c>
      <c r="B30" t="s">
        <v>189</v>
      </c>
      <c r="C30" t="s">
        <v>190</v>
      </c>
      <c r="D30" t="s">
        <v>27</v>
      </c>
      <c r="E30" t="s">
        <v>191</v>
      </c>
      <c r="F30" t="s">
        <v>268</v>
      </c>
      <c r="G30" t="s">
        <v>278</v>
      </c>
      <c r="H30" t="s">
        <v>33</v>
      </c>
      <c r="I30" t="s">
        <v>34</v>
      </c>
      <c r="J30" t="s">
        <v>38</v>
      </c>
      <c r="K30" t="s">
        <v>36</v>
      </c>
      <c r="L30" t="s">
        <v>36</v>
      </c>
      <c r="M30">
        <v>2017</v>
      </c>
      <c r="N30" t="s">
        <v>37</v>
      </c>
      <c r="O30" t="s">
        <v>41</v>
      </c>
      <c r="P30" t="s">
        <v>42</v>
      </c>
      <c r="R30" t="s">
        <v>96</v>
      </c>
      <c r="S30">
        <v>-12.566381</v>
      </c>
      <c r="T30">
        <v>27.814871</v>
      </c>
      <c r="U30" t="s">
        <v>44</v>
      </c>
      <c r="V30" t="s">
        <v>45</v>
      </c>
      <c r="W30" t="s">
        <v>46</v>
      </c>
      <c r="X30" t="s">
        <v>97</v>
      </c>
      <c r="Y30" t="s">
        <v>98</v>
      </c>
      <c r="Z30" t="s">
        <v>99</v>
      </c>
      <c r="AA30" t="s">
        <v>53</v>
      </c>
      <c r="AB30" s="2">
        <v>80000</v>
      </c>
      <c r="AC30" t="s">
        <v>232</v>
      </c>
      <c r="AD30">
        <f>IF(ISBLANK(AB30), "", AB30*Parameter!$H$3)</f>
        <v>64000</v>
      </c>
      <c r="AE30">
        <f>IF(J30="Concentrate",Parameter!$C$23,IF(Calib5!J30="Ore and concentrate",Parameter!$C$21,IF(F30="Smelter",Parameter!$C$10,IF(F30="Refinary",Parameter!$C$12,Parameter!$C$15))))</f>
        <v>12.466000000000001</v>
      </c>
      <c r="AF30">
        <f>IF(J30="Concentrate",Parameter!$C$24,IF(Calib5!J30="Ore and concentrate",Parameter!$C$22,IF(F30="Smelter",Parameter!$C$11,IF(F30="Refinary",Parameter!$C$13,Parameter!$C$16))))</f>
        <v>1.518</v>
      </c>
      <c r="AG30">
        <f t="shared" si="0"/>
        <v>797.82400000000007</v>
      </c>
      <c r="AH30">
        <f t="shared" si="1"/>
        <v>97.152000000000001</v>
      </c>
      <c r="AO30" t="s">
        <v>239</v>
      </c>
      <c r="AP30" t="s">
        <v>236</v>
      </c>
    </row>
    <row r="31" spans="1:44" x14ac:dyDescent="0.35">
      <c r="A31">
        <v>2260</v>
      </c>
      <c r="B31" t="s">
        <v>192</v>
      </c>
      <c r="C31" t="s">
        <v>193</v>
      </c>
      <c r="D31" t="s">
        <v>27</v>
      </c>
      <c r="E31" t="s">
        <v>194</v>
      </c>
      <c r="G31" t="s">
        <v>283</v>
      </c>
      <c r="H31" t="s">
        <v>29</v>
      </c>
      <c r="I31" t="s">
        <v>34</v>
      </c>
      <c r="J31" t="s">
        <v>82</v>
      </c>
      <c r="K31" t="s">
        <v>36</v>
      </c>
      <c r="L31" t="s">
        <v>36</v>
      </c>
      <c r="M31">
        <v>2017</v>
      </c>
      <c r="N31" t="s">
        <v>37</v>
      </c>
      <c r="O31" t="s">
        <v>41</v>
      </c>
      <c r="P31" t="s">
        <v>43</v>
      </c>
      <c r="R31" t="s">
        <v>96</v>
      </c>
      <c r="S31">
        <v>-12.507612999999999</v>
      </c>
      <c r="T31">
        <v>27.875482000000002</v>
      </c>
      <c r="U31" t="s">
        <v>44</v>
      </c>
      <c r="V31" t="s">
        <v>50</v>
      </c>
      <c r="W31" t="s">
        <v>46</v>
      </c>
      <c r="X31" t="s">
        <v>97</v>
      </c>
      <c r="Y31" t="s">
        <v>98</v>
      </c>
      <c r="Z31" t="s">
        <v>99</v>
      </c>
      <c r="AA31" t="s">
        <v>53</v>
      </c>
      <c r="AB31" s="2">
        <v>2800000</v>
      </c>
      <c r="AC31" t="s">
        <v>232</v>
      </c>
      <c r="AD31">
        <f>IF(ISBLANK(AB31), "", AB31*Parameter!$H$3)</f>
        <v>2240000</v>
      </c>
      <c r="AE31">
        <f>IF(J31="Concentrate",Parameter!$C$23,IF(Calib5!J31="Ore and concentrate",Parameter!$C$21,IF(F31="Smelter",Parameter!$C$10,IF(F31="Refinary",Parameter!$C$12,Parameter!$C$15))))</f>
        <v>7.2849999999999998E-2</v>
      </c>
      <c r="AF31">
        <f>IF(J31="Concentrate",Parameter!$C$24,IF(Calib5!J31="Ore and concentrate",Parameter!$C$22,IF(F31="Smelter",Parameter!$C$11,IF(F31="Refinary",Parameter!$C$13,Parameter!$C$16))))</f>
        <v>1.333E-2</v>
      </c>
      <c r="AG31">
        <f t="shared" si="0"/>
        <v>163.184</v>
      </c>
      <c r="AH31">
        <f t="shared" si="1"/>
        <v>29.859200000000001</v>
      </c>
      <c r="AI31" s="2">
        <f>AD31*Parameter!$H$1</f>
        <v>13888</v>
      </c>
      <c r="AJ31" s="2">
        <v>1294</v>
      </c>
      <c r="AK31" s="2">
        <v>2820706</v>
      </c>
      <c r="AL31" s="2">
        <v>2820706</v>
      </c>
      <c r="AM31" s="1">
        <v>65544</v>
      </c>
      <c r="AN31" s="1">
        <v>65544</v>
      </c>
      <c r="AQ31" s="2">
        <v>2800000</v>
      </c>
      <c r="AR31" t="s">
        <v>236</v>
      </c>
    </row>
    <row r="32" spans="1:44" hidden="1" x14ac:dyDescent="0.35">
      <c r="A32">
        <v>2262</v>
      </c>
      <c r="B32" t="s">
        <v>196</v>
      </c>
      <c r="C32" t="s">
        <v>43</v>
      </c>
      <c r="D32" t="s">
        <v>27</v>
      </c>
      <c r="E32" t="s">
        <v>197</v>
      </c>
      <c r="F32" t="s">
        <v>268</v>
      </c>
      <c r="G32" t="s">
        <v>277</v>
      </c>
      <c r="H32" t="s">
        <v>33</v>
      </c>
      <c r="I32" t="s">
        <v>34</v>
      </c>
      <c r="J32" t="s">
        <v>38</v>
      </c>
      <c r="K32" t="s">
        <v>36</v>
      </c>
      <c r="L32" t="s">
        <v>36</v>
      </c>
      <c r="M32">
        <v>2017</v>
      </c>
      <c r="N32" t="s">
        <v>37</v>
      </c>
      <c r="O32" t="s">
        <v>41</v>
      </c>
      <c r="P32" t="s">
        <v>42</v>
      </c>
      <c r="R32" t="s">
        <v>200</v>
      </c>
      <c r="S32">
        <v>-12.843</v>
      </c>
      <c r="T32">
        <v>28.204999999999998</v>
      </c>
      <c r="U32" t="s">
        <v>44</v>
      </c>
      <c r="V32" t="s">
        <v>62</v>
      </c>
      <c r="W32" t="s">
        <v>46</v>
      </c>
      <c r="X32" t="s">
        <v>156</v>
      </c>
      <c r="Y32" t="s">
        <v>157</v>
      </c>
      <c r="Z32" t="s">
        <v>158</v>
      </c>
      <c r="AA32" t="s">
        <v>53</v>
      </c>
      <c r="AB32" s="2">
        <v>15000</v>
      </c>
      <c r="AC32" t="s">
        <v>232</v>
      </c>
      <c r="AD32">
        <f>IF(ISBLANK(AB32), "", AB32*Parameter!$H$3)</f>
        <v>12000</v>
      </c>
      <c r="AE32">
        <f>IF(J32="Concentrate",Parameter!$C$23,IF(Calib5!J32="Ore and concentrate",Parameter!$C$21,IF(F32="Smelter",Parameter!$C$10,IF(F32="Refinary",Parameter!$C$12,Parameter!$C$15))))</f>
        <v>12.466000000000001</v>
      </c>
      <c r="AF32">
        <f>IF(J32="Concentrate",Parameter!$C$24,IF(Calib5!J32="Ore and concentrate",Parameter!$C$22,IF(F32="Smelter",Parameter!$C$11,IF(F32="Refinary",Parameter!$C$13,Parameter!$C$16))))</f>
        <v>1.518</v>
      </c>
      <c r="AG32">
        <f t="shared" si="0"/>
        <v>149.59200000000001</v>
      </c>
      <c r="AH32">
        <f t="shared" si="1"/>
        <v>18.216000000000001</v>
      </c>
      <c r="AJ32" s="2">
        <v>1294</v>
      </c>
      <c r="AK32" t="s">
        <v>103</v>
      </c>
      <c r="AL32" t="s">
        <v>103</v>
      </c>
      <c r="AM32" s="5" t="s">
        <v>103</v>
      </c>
      <c r="AN32" s="5" t="s">
        <v>103</v>
      </c>
    </row>
    <row r="33" spans="1:40" hidden="1" x14ac:dyDescent="0.35">
      <c r="A33">
        <v>2263</v>
      </c>
      <c r="B33" t="s">
        <v>196</v>
      </c>
      <c r="C33" t="s">
        <v>198</v>
      </c>
      <c r="D33" t="s">
        <v>27</v>
      </c>
      <c r="E33" t="s">
        <v>199</v>
      </c>
      <c r="F33" t="s">
        <v>269</v>
      </c>
      <c r="G33" t="s">
        <v>259</v>
      </c>
      <c r="H33" t="s">
        <v>33</v>
      </c>
      <c r="I33" t="s">
        <v>34</v>
      </c>
      <c r="J33" t="s">
        <v>38</v>
      </c>
      <c r="K33" t="s">
        <v>36</v>
      </c>
      <c r="L33" t="s">
        <v>36</v>
      </c>
      <c r="M33">
        <v>2017</v>
      </c>
      <c r="N33" t="s">
        <v>37</v>
      </c>
      <c r="O33" t="s">
        <v>41</v>
      </c>
      <c r="P33" t="s">
        <v>42</v>
      </c>
      <c r="R33" t="s">
        <v>201</v>
      </c>
      <c r="S33">
        <v>-12.843</v>
      </c>
      <c r="T33">
        <v>28.204999999999998</v>
      </c>
      <c r="U33" t="s">
        <v>44</v>
      </c>
      <c r="V33" t="s">
        <v>62</v>
      </c>
      <c r="W33" t="s">
        <v>46</v>
      </c>
      <c r="X33" t="s">
        <v>97</v>
      </c>
      <c r="Y33" t="s">
        <v>98</v>
      </c>
      <c r="Z33" t="s">
        <v>99</v>
      </c>
      <c r="AA33" t="s">
        <v>53</v>
      </c>
      <c r="AB33" s="2">
        <v>300000</v>
      </c>
      <c r="AC33" t="s">
        <v>232</v>
      </c>
      <c r="AD33">
        <f>IF(ISBLANK(AB33), "", AB33*Parameter!$H$3)</f>
        <v>240000</v>
      </c>
      <c r="AE33">
        <f>IF(J33="Concentrate",Parameter!$C$23,IF(Calib5!J33="Ore and concentrate",Parameter!$C$21,IF(F33="Smelter",Parameter!$C$10,IF(F33="Refinary",Parameter!$C$12,Parameter!$C$15))))</f>
        <v>3.2</v>
      </c>
      <c r="AF33">
        <f>IF(J33="Concentrate",Parameter!$C$24,IF(Calib5!J33="Ore and concentrate",Parameter!$C$22,IF(F33="Smelter",Parameter!$C$11,IF(F33="Refinary",Parameter!$C$13,Parameter!$C$16))))</f>
        <v>0</v>
      </c>
      <c r="AG33">
        <f t="shared" si="0"/>
        <v>768</v>
      </c>
      <c r="AH33">
        <f t="shared" si="1"/>
        <v>0</v>
      </c>
      <c r="AK33" t="s">
        <v>103</v>
      </c>
      <c r="AL33" t="s">
        <v>103</v>
      </c>
      <c r="AM33" s="5" t="s">
        <v>103</v>
      </c>
      <c r="AN33" s="5" t="s">
        <v>103</v>
      </c>
    </row>
    <row r="34" spans="1:40" x14ac:dyDescent="0.35">
      <c r="A34">
        <v>2266</v>
      </c>
      <c r="B34" t="s">
        <v>202</v>
      </c>
      <c r="C34" t="s">
        <v>203</v>
      </c>
      <c r="D34" t="s">
        <v>27</v>
      </c>
      <c r="E34" t="s">
        <v>204</v>
      </c>
      <c r="G34" t="s">
        <v>284</v>
      </c>
      <c r="H34" t="s">
        <v>29</v>
      </c>
      <c r="I34" t="s">
        <v>34</v>
      </c>
      <c r="J34" t="s">
        <v>82</v>
      </c>
      <c r="K34" t="s">
        <v>129</v>
      </c>
      <c r="L34" t="s">
        <v>129</v>
      </c>
      <c r="M34">
        <v>2017</v>
      </c>
      <c r="N34" t="s">
        <v>37</v>
      </c>
      <c r="O34" t="s">
        <v>41</v>
      </c>
      <c r="P34" t="s">
        <v>206</v>
      </c>
      <c r="R34" t="s">
        <v>200</v>
      </c>
      <c r="S34">
        <v>-12.851025999999999</v>
      </c>
      <c r="T34">
        <v>28.207404</v>
      </c>
      <c r="U34" t="s">
        <v>44</v>
      </c>
      <c r="V34" t="s">
        <v>50</v>
      </c>
      <c r="W34" t="s">
        <v>46</v>
      </c>
      <c r="X34" t="s">
        <v>156</v>
      </c>
      <c r="Y34" t="s">
        <v>157</v>
      </c>
      <c r="Z34" t="s">
        <v>158</v>
      </c>
      <c r="AA34" t="s">
        <v>53</v>
      </c>
      <c r="AB34" s="2">
        <v>5500000</v>
      </c>
      <c r="AC34" t="s">
        <v>232</v>
      </c>
      <c r="AD34">
        <f>IF(ISBLANK(AB34), "", AB34*Parameter!$H$3)/7</f>
        <v>628571.42857142852</v>
      </c>
      <c r="AE34">
        <f>IF(J34="Concentrate",Parameter!$C$23,IF(Calib5!J34="Ore and concentrate",Parameter!$C$21,IF(F34="Smelter",Parameter!$C$10,IF(F34="Refinary",Parameter!$C$12,Parameter!$C$15))))</f>
        <v>7.2849999999999998E-2</v>
      </c>
      <c r="AF34">
        <f>IF(J34="Concentrate",Parameter!$C$24,IF(Calib5!J34="Ore and concentrate",Parameter!$C$22,IF(F34="Smelter",Parameter!$C$11,IF(F34="Refinary",Parameter!$C$13,Parameter!$C$16))))</f>
        <v>1.333E-2</v>
      </c>
      <c r="AG34">
        <f t="shared" si="0"/>
        <v>45.791428571428568</v>
      </c>
      <c r="AH34">
        <f t="shared" si="1"/>
        <v>8.3788571428571412</v>
      </c>
      <c r="AI34" s="2">
        <f>AD34*Parameter!$H$1</f>
        <v>3897.1428571428569</v>
      </c>
      <c r="AJ34" s="2">
        <v>21270</v>
      </c>
      <c r="AK34" t="s">
        <v>103</v>
      </c>
      <c r="AL34" t="s">
        <v>103</v>
      </c>
      <c r="AM34" s="1">
        <v>55068</v>
      </c>
      <c r="AN34" s="1">
        <v>17900</v>
      </c>
    </row>
    <row r="35" spans="1:40" x14ac:dyDescent="0.35">
      <c r="A35">
        <v>2267</v>
      </c>
      <c r="B35" t="s">
        <v>202</v>
      </c>
      <c r="C35" t="s">
        <v>203</v>
      </c>
      <c r="D35" t="s">
        <v>27</v>
      </c>
      <c r="E35" t="s">
        <v>205</v>
      </c>
      <c r="G35" t="s">
        <v>284</v>
      </c>
      <c r="H35" t="s">
        <v>29</v>
      </c>
      <c r="I35" t="s">
        <v>34</v>
      </c>
      <c r="J35" t="s">
        <v>82</v>
      </c>
      <c r="K35" t="s">
        <v>129</v>
      </c>
      <c r="L35" t="s">
        <v>129</v>
      </c>
      <c r="M35">
        <v>2017</v>
      </c>
      <c r="N35" t="s">
        <v>37</v>
      </c>
      <c r="O35" t="s">
        <v>41</v>
      </c>
      <c r="P35" t="s">
        <v>206</v>
      </c>
      <c r="R35" t="s">
        <v>200</v>
      </c>
      <c r="S35">
        <v>-12.851025999999999</v>
      </c>
      <c r="T35">
        <v>28.207404</v>
      </c>
      <c r="U35" t="s">
        <v>44</v>
      </c>
      <c r="V35" t="s">
        <v>50</v>
      </c>
      <c r="W35" t="s">
        <v>46</v>
      </c>
      <c r="X35" t="s">
        <v>156</v>
      </c>
      <c r="Y35" t="s">
        <v>157</v>
      </c>
      <c r="Z35" t="s">
        <v>158</v>
      </c>
      <c r="AA35" t="s">
        <v>53</v>
      </c>
      <c r="AB35" s="2">
        <v>5500000</v>
      </c>
      <c r="AC35" t="s">
        <v>232</v>
      </c>
      <c r="AD35">
        <f>IF(ISBLANK(AB35), "", AB35*Parameter!$H$3)/7</f>
        <v>628571.42857142852</v>
      </c>
      <c r="AE35">
        <f>IF(J35="Concentrate",Parameter!$C$23,IF(Calib5!J35="Ore and concentrate",Parameter!$C$21,IF(F35="Smelter",Parameter!$C$10,IF(F35="Refinary",Parameter!$C$12,Parameter!$C$15))))</f>
        <v>7.2849999999999998E-2</v>
      </c>
      <c r="AF35">
        <f>IF(J35="Concentrate",Parameter!$C$24,IF(Calib5!J35="Ore and concentrate",Parameter!$C$22,IF(F35="Smelter",Parameter!$C$11,IF(F35="Refinary",Parameter!$C$13,Parameter!$C$16))))</f>
        <v>1.333E-2</v>
      </c>
      <c r="AG35">
        <f t="shared" si="0"/>
        <v>45.791428571428568</v>
      </c>
      <c r="AH35">
        <f t="shared" si="1"/>
        <v>8.3788571428571412</v>
      </c>
      <c r="AI35" s="2">
        <f>AD35*Parameter!$H$1</f>
        <v>3897.1428571428569</v>
      </c>
      <c r="AJ35" s="18"/>
    </row>
    <row r="36" spans="1:40" x14ac:dyDescent="0.35">
      <c r="A36">
        <v>2269</v>
      </c>
      <c r="B36" t="s">
        <v>207</v>
      </c>
      <c r="C36" t="s">
        <v>208</v>
      </c>
      <c r="D36" t="s">
        <v>27</v>
      </c>
      <c r="E36" t="s">
        <v>209</v>
      </c>
      <c r="G36" t="s">
        <v>283</v>
      </c>
      <c r="H36" t="s">
        <v>29</v>
      </c>
      <c r="I36" t="s">
        <v>34</v>
      </c>
      <c r="J36" t="s">
        <v>82</v>
      </c>
      <c r="K36" t="s">
        <v>129</v>
      </c>
      <c r="L36" t="s">
        <v>129</v>
      </c>
      <c r="M36">
        <v>2017</v>
      </c>
      <c r="N36" t="s">
        <v>37</v>
      </c>
      <c r="O36" t="s">
        <v>41</v>
      </c>
      <c r="P36" t="s">
        <v>206</v>
      </c>
      <c r="R36" t="s">
        <v>200</v>
      </c>
      <c r="S36">
        <v>-12.805249999999999</v>
      </c>
      <c r="T36">
        <v>28.185835999999998</v>
      </c>
      <c r="U36" t="s">
        <v>61</v>
      </c>
      <c r="V36" t="s">
        <v>45</v>
      </c>
      <c r="W36" t="s">
        <v>46</v>
      </c>
      <c r="X36" t="s">
        <v>156</v>
      </c>
      <c r="Y36" t="s">
        <v>157</v>
      </c>
      <c r="Z36" t="s">
        <v>158</v>
      </c>
      <c r="AA36" t="s">
        <v>53</v>
      </c>
      <c r="AB36" s="2">
        <v>5500000</v>
      </c>
      <c r="AC36" t="s">
        <v>232</v>
      </c>
      <c r="AD36">
        <f>IF(ISBLANK(AB36), "", AB36*Parameter!$H$3)/7</f>
        <v>628571.42857142852</v>
      </c>
      <c r="AE36">
        <f>IF(J36="Concentrate",Parameter!$C$23,IF(Calib5!J36="Ore and concentrate",Parameter!$C$21,IF(F36="Smelter",Parameter!$C$10,IF(F36="Refinary",Parameter!$C$12,Parameter!$C$15))))</f>
        <v>7.2849999999999998E-2</v>
      </c>
      <c r="AF36">
        <f>IF(J36="Concentrate",Parameter!$C$24,IF(Calib5!J36="Ore and concentrate",Parameter!$C$22,IF(F36="Smelter",Parameter!$C$11,IF(F36="Refinary",Parameter!$C$13,Parameter!$C$16))))</f>
        <v>1.333E-2</v>
      </c>
      <c r="AG36">
        <f t="shared" si="0"/>
        <v>45.791428571428568</v>
      </c>
      <c r="AH36">
        <f t="shared" si="1"/>
        <v>8.3788571428571412</v>
      </c>
      <c r="AI36" s="2">
        <f>AD36*Parameter!$H$1</f>
        <v>3897.1428571428569</v>
      </c>
      <c r="AJ36" s="18"/>
    </row>
    <row r="37" spans="1:40" x14ac:dyDescent="0.35">
      <c r="A37">
        <v>2271</v>
      </c>
      <c r="B37" t="s">
        <v>210</v>
      </c>
      <c r="C37" t="s">
        <v>211</v>
      </c>
      <c r="D37" t="s">
        <v>27</v>
      </c>
      <c r="E37" t="s">
        <v>212</v>
      </c>
      <c r="G37" t="s">
        <v>283</v>
      </c>
      <c r="H37" t="s">
        <v>29</v>
      </c>
      <c r="I37" t="s">
        <v>34</v>
      </c>
      <c r="J37" t="s">
        <v>82</v>
      </c>
      <c r="K37" t="s">
        <v>129</v>
      </c>
      <c r="L37" t="s">
        <v>129</v>
      </c>
      <c r="M37">
        <v>2017</v>
      </c>
      <c r="N37" t="s">
        <v>37</v>
      </c>
      <c r="O37" t="s">
        <v>41</v>
      </c>
      <c r="P37" t="s">
        <v>206</v>
      </c>
      <c r="R37" t="s">
        <v>200</v>
      </c>
      <c r="S37">
        <v>-12.796917000000001</v>
      </c>
      <c r="T37">
        <v>28.178775999999999</v>
      </c>
      <c r="U37" t="s">
        <v>61</v>
      </c>
      <c r="V37" t="s">
        <v>133</v>
      </c>
      <c r="W37" t="s">
        <v>46</v>
      </c>
      <c r="X37" t="s">
        <v>156</v>
      </c>
      <c r="Y37" t="s">
        <v>157</v>
      </c>
      <c r="Z37" t="s">
        <v>158</v>
      </c>
      <c r="AA37" t="s">
        <v>53</v>
      </c>
      <c r="AB37" s="2">
        <v>5500000</v>
      </c>
      <c r="AC37" t="s">
        <v>232</v>
      </c>
      <c r="AD37">
        <f>IF(ISBLANK(AB37), "", AB37*Parameter!$H$3)/7</f>
        <v>628571.42857142852</v>
      </c>
      <c r="AE37">
        <f>IF(J37="Concentrate",Parameter!$C$23,IF(Calib5!J37="Ore and concentrate",Parameter!$C$21,IF(F37="Smelter",Parameter!$C$10,IF(F37="Refinary",Parameter!$C$12,Parameter!$C$15))))</f>
        <v>7.2849999999999998E-2</v>
      </c>
      <c r="AF37">
        <f>IF(J37="Concentrate",Parameter!$C$24,IF(Calib5!J37="Ore and concentrate",Parameter!$C$22,IF(F37="Smelter",Parameter!$C$11,IF(F37="Refinary",Parameter!$C$13,Parameter!$C$16))))</f>
        <v>1.333E-2</v>
      </c>
      <c r="AG37">
        <f t="shared" si="0"/>
        <v>45.791428571428568</v>
      </c>
      <c r="AH37">
        <f t="shared" si="1"/>
        <v>8.3788571428571412</v>
      </c>
      <c r="AI37" s="2">
        <f>AD37*Parameter!$H$1</f>
        <v>3897.1428571428569</v>
      </c>
      <c r="AJ37" s="18"/>
    </row>
    <row r="38" spans="1:40" x14ac:dyDescent="0.35">
      <c r="A38">
        <v>2273</v>
      </c>
      <c r="B38" t="s">
        <v>213</v>
      </c>
      <c r="C38" t="s">
        <v>214</v>
      </c>
      <c r="D38" t="s">
        <v>27</v>
      </c>
      <c r="E38" t="s">
        <v>215</v>
      </c>
      <c r="G38" t="s">
        <v>284</v>
      </c>
      <c r="H38" t="s">
        <v>29</v>
      </c>
      <c r="I38" t="s">
        <v>34</v>
      </c>
      <c r="J38" t="s">
        <v>82</v>
      </c>
      <c r="K38" t="s">
        <v>129</v>
      </c>
      <c r="L38" t="s">
        <v>129</v>
      </c>
      <c r="M38">
        <v>2017</v>
      </c>
      <c r="N38" t="s">
        <v>37</v>
      </c>
      <c r="O38" t="s">
        <v>41</v>
      </c>
      <c r="P38" t="s">
        <v>206</v>
      </c>
      <c r="R38" t="s">
        <v>200</v>
      </c>
      <c r="S38">
        <v>-12.77556</v>
      </c>
      <c r="T38">
        <v>28.161052000000002</v>
      </c>
      <c r="U38" t="s">
        <v>61</v>
      </c>
      <c r="V38" t="s">
        <v>216</v>
      </c>
      <c r="W38" t="s">
        <v>46</v>
      </c>
      <c r="X38" t="s">
        <v>156</v>
      </c>
      <c r="Y38" t="s">
        <v>157</v>
      </c>
      <c r="Z38" t="s">
        <v>158</v>
      </c>
      <c r="AA38" t="s">
        <v>53</v>
      </c>
      <c r="AB38" s="2">
        <v>5500000</v>
      </c>
      <c r="AC38" t="s">
        <v>232</v>
      </c>
      <c r="AD38">
        <f>IF(ISBLANK(AB38), "", AB38*Parameter!$H$3)/7</f>
        <v>628571.42857142852</v>
      </c>
      <c r="AE38">
        <f>IF(J38="Concentrate",Parameter!$C$23,IF(Calib5!J38="Ore and concentrate",Parameter!$C$21,IF(F38="Smelter",Parameter!$C$10,IF(F38="Refinary",Parameter!$C$12,Parameter!$C$15))))</f>
        <v>7.2849999999999998E-2</v>
      </c>
      <c r="AF38">
        <f>IF(J38="Concentrate",Parameter!$C$24,IF(Calib5!J38="Ore and concentrate",Parameter!$C$22,IF(F38="Smelter",Parameter!$C$11,IF(F38="Refinary",Parameter!$C$13,Parameter!$C$16))))</f>
        <v>1.333E-2</v>
      </c>
      <c r="AG38">
        <f t="shared" si="0"/>
        <v>45.791428571428568</v>
      </c>
      <c r="AH38">
        <f t="shared" si="1"/>
        <v>8.3788571428571412</v>
      </c>
      <c r="AI38" s="2">
        <f>AD38*Parameter!$H$1</f>
        <v>3897.1428571428569</v>
      </c>
      <c r="AJ38" s="18"/>
    </row>
    <row r="39" spans="1:40" x14ac:dyDescent="0.35">
      <c r="A39">
        <v>2276</v>
      </c>
      <c r="B39" t="s">
        <v>217</v>
      </c>
      <c r="C39" t="s">
        <v>43</v>
      </c>
      <c r="D39" t="s">
        <v>27</v>
      </c>
      <c r="E39" t="s">
        <v>218</v>
      </c>
      <c r="G39" t="s">
        <v>283</v>
      </c>
      <c r="H39" t="s">
        <v>29</v>
      </c>
      <c r="I39" t="s">
        <v>34</v>
      </c>
      <c r="J39" t="s">
        <v>82</v>
      </c>
      <c r="K39" t="s">
        <v>129</v>
      </c>
      <c r="L39" t="s">
        <v>129</v>
      </c>
      <c r="M39">
        <v>2017</v>
      </c>
      <c r="N39" t="s">
        <v>37</v>
      </c>
      <c r="O39" t="s">
        <v>41</v>
      </c>
      <c r="P39" t="s">
        <v>206</v>
      </c>
      <c r="R39" t="s">
        <v>200</v>
      </c>
      <c r="S39">
        <v>-12.854466</v>
      </c>
      <c r="T39">
        <v>28.212122999999998</v>
      </c>
      <c r="U39" t="s">
        <v>61</v>
      </c>
      <c r="V39" t="s">
        <v>45</v>
      </c>
      <c r="W39" t="s">
        <v>46</v>
      </c>
      <c r="X39" t="s">
        <v>156</v>
      </c>
      <c r="Y39" t="s">
        <v>157</v>
      </c>
      <c r="Z39" t="s">
        <v>158</v>
      </c>
      <c r="AA39" t="s">
        <v>53</v>
      </c>
      <c r="AB39" s="2">
        <v>5500000</v>
      </c>
      <c r="AC39" t="s">
        <v>232</v>
      </c>
      <c r="AD39">
        <f>IF(ISBLANK(AB39), "", AB39*Parameter!$H$3)/7</f>
        <v>628571.42857142852</v>
      </c>
      <c r="AE39">
        <f>IF(J39="Concentrate",Parameter!$C$23,IF(Calib5!J39="Ore and concentrate",Parameter!$C$21,IF(F39="Smelter",Parameter!$C$10,IF(F39="Refinary",Parameter!$C$12,Parameter!$C$15))))</f>
        <v>7.2849999999999998E-2</v>
      </c>
      <c r="AF39">
        <f>IF(J39="Concentrate",Parameter!$C$24,IF(Calib5!J39="Ore and concentrate",Parameter!$C$22,IF(F39="Smelter",Parameter!$C$11,IF(F39="Refinary",Parameter!$C$13,Parameter!$C$16))))</f>
        <v>1.333E-2</v>
      </c>
      <c r="AG39">
        <f t="shared" si="0"/>
        <v>45.791428571428568</v>
      </c>
      <c r="AH39">
        <f t="shared" si="1"/>
        <v>8.3788571428571412</v>
      </c>
      <c r="AI39" s="2">
        <f>AD39*Parameter!$H$1</f>
        <v>3897.1428571428569</v>
      </c>
      <c r="AJ39" s="18"/>
    </row>
    <row r="40" spans="1:40" x14ac:dyDescent="0.35">
      <c r="A40">
        <v>2277</v>
      </c>
      <c r="B40" t="s">
        <v>217</v>
      </c>
      <c r="C40" t="s">
        <v>219</v>
      </c>
      <c r="D40" t="s">
        <v>27</v>
      </c>
      <c r="E40" t="s">
        <v>220</v>
      </c>
      <c r="G40" t="s">
        <v>283</v>
      </c>
      <c r="H40" t="s">
        <v>29</v>
      </c>
      <c r="I40" t="s">
        <v>34</v>
      </c>
      <c r="J40" t="s">
        <v>82</v>
      </c>
      <c r="K40" t="s">
        <v>129</v>
      </c>
      <c r="L40" t="s">
        <v>129</v>
      </c>
      <c r="M40">
        <v>2017</v>
      </c>
      <c r="N40" t="s">
        <v>37</v>
      </c>
      <c r="O40" t="s">
        <v>41</v>
      </c>
      <c r="P40" t="s">
        <v>206</v>
      </c>
      <c r="R40" t="s">
        <v>200</v>
      </c>
      <c r="S40">
        <v>-12.854466</v>
      </c>
      <c r="T40">
        <v>28.212122999999998</v>
      </c>
      <c r="U40" t="s">
        <v>61</v>
      </c>
      <c r="V40" t="s">
        <v>45</v>
      </c>
      <c r="W40" t="s">
        <v>46</v>
      </c>
      <c r="X40" t="s">
        <v>156</v>
      </c>
      <c r="Y40" t="s">
        <v>157</v>
      </c>
      <c r="Z40" t="s">
        <v>158</v>
      </c>
      <c r="AA40" t="s">
        <v>53</v>
      </c>
      <c r="AB40" s="2">
        <v>5500000</v>
      </c>
      <c r="AC40" t="s">
        <v>232</v>
      </c>
      <c r="AD40">
        <f>IF(ISBLANK(AB40), "", AB40*Parameter!$H$3)/7</f>
        <v>628571.42857142852</v>
      </c>
      <c r="AE40">
        <f>IF(J40="Concentrate",Parameter!$C$23,IF(Calib5!J40="Ore and concentrate",Parameter!$C$21,IF(F40="Smelter",Parameter!$C$10,IF(F40="Refinary",Parameter!$C$12,Parameter!$C$15))))</f>
        <v>7.2849999999999998E-2</v>
      </c>
      <c r="AF40">
        <f>IF(J40="Concentrate",Parameter!$C$24,IF(Calib5!J40="Ore and concentrate",Parameter!$C$22,IF(F40="Smelter",Parameter!$C$11,IF(F40="Refinary",Parameter!$C$13,Parameter!$C$16))))</f>
        <v>1.333E-2</v>
      </c>
      <c r="AG40">
        <f t="shared" si="0"/>
        <v>45.791428571428568</v>
      </c>
      <c r="AH40">
        <f t="shared" si="1"/>
        <v>8.3788571428571412</v>
      </c>
      <c r="AI40" s="2">
        <f>AD40*Parameter!$H$1</f>
        <v>3897.1428571428569</v>
      </c>
      <c r="AJ40" s="18"/>
    </row>
    <row r="41" spans="1:40" hidden="1" x14ac:dyDescent="0.35">
      <c r="A41">
        <v>2280</v>
      </c>
      <c r="B41" t="s">
        <v>221</v>
      </c>
      <c r="C41" t="s">
        <v>43</v>
      </c>
      <c r="D41" t="s">
        <v>27</v>
      </c>
      <c r="E41" t="s">
        <v>222</v>
      </c>
      <c r="F41" t="s">
        <v>268</v>
      </c>
      <c r="G41" t="s">
        <v>276</v>
      </c>
      <c r="H41" t="s">
        <v>33</v>
      </c>
      <c r="I41" t="s">
        <v>34</v>
      </c>
      <c r="J41" t="s">
        <v>38</v>
      </c>
      <c r="K41" t="s">
        <v>36</v>
      </c>
      <c r="L41" t="s">
        <v>36</v>
      </c>
      <c r="M41">
        <v>2017</v>
      </c>
      <c r="N41" t="s">
        <v>37</v>
      </c>
      <c r="O41" t="s">
        <v>41</v>
      </c>
      <c r="P41" t="s">
        <v>226</v>
      </c>
      <c r="R41" t="s">
        <v>227</v>
      </c>
      <c r="S41">
        <v>-14.459279</v>
      </c>
      <c r="T41">
        <v>28.436986999999998</v>
      </c>
      <c r="U41" t="s">
        <v>61</v>
      </c>
      <c r="V41" t="s">
        <v>228</v>
      </c>
      <c r="W41" t="s">
        <v>46</v>
      </c>
      <c r="X41" t="s">
        <v>229</v>
      </c>
      <c r="Y41" t="s">
        <v>230</v>
      </c>
      <c r="Z41" t="s">
        <v>43</v>
      </c>
      <c r="AA41" t="s">
        <v>159</v>
      </c>
      <c r="AB41" s="2">
        <v>14000</v>
      </c>
      <c r="AC41" t="s">
        <v>232</v>
      </c>
      <c r="AD41">
        <f>IF(ISBLANK(AB41), "", AB41*Parameter!$H$3)</f>
        <v>11200</v>
      </c>
      <c r="AE41">
        <f>IF(J41="Concentrate",Parameter!$C$23,IF(Calib5!J41="Ore and concentrate",Parameter!$C$21,IF(F41="Smelter",Parameter!$C$10,IF(F41="Refinary",Parameter!$C$12,Parameter!$C$15))))</f>
        <v>12.466000000000001</v>
      </c>
      <c r="AF41">
        <f>IF(J41="Concentrate",Parameter!$C$24,IF(Calib5!J41="Ore and concentrate",Parameter!$C$22,IF(F41="Smelter",Parameter!$C$11,IF(F41="Refinary",Parameter!$C$13,Parameter!$C$16))))</f>
        <v>1.518</v>
      </c>
      <c r="AG41">
        <f t="shared" si="0"/>
        <v>139.61920000000001</v>
      </c>
      <c r="AH41">
        <f t="shared" si="1"/>
        <v>17.0016</v>
      </c>
    </row>
    <row r="42" spans="1:40" x14ac:dyDescent="0.35">
      <c r="A42">
        <v>2281</v>
      </c>
      <c r="B42" t="s">
        <v>223</v>
      </c>
      <c r="C42" t="s">
        <v>224</v>
      </c>
      <c r="D42" t="s">
        <v>27</v>
      </c>
      <c r="E42" t="s">
        <v>225</v>
      </c>
      <c r="H42" t="s">
        <v>29</v>
      </c>
      <c r="I42" t="s">
        <v>34</v>
      </c>
      <c r="J42" t="s">
        <v>82</v>
      </c>
      <c r="K42" t="s">
        <v>36</v>
      </c>
      <c r="L42" t="s">
        <v>36</v>
      </c>
      <c r="M42">
        <v>2017</v>
      </c>
      <c r="N42" t="s">
        <v>103</v>
      </c>
      <c r="O42" t="s">
        <v>41</v>
      </c>
      <c r="P42" t="s">
        <v>43</v>
      </c>
      <c r="R42" t="s">
        <v>115</v>
      </c>
      <c r="S42">
        <v>-12.256487</v>
      </c>
      <c r="T42">
        <v>25.300218000000001</v>
      </c>
      <c r="U42" t="s">
        <v>61</v>
      </c>
      <c r="V42" t="s">
        <v>133</v>
      </c>
      <c r="W42" t="s">
        <v>46</v>
      </c>
      <c r="X42" t="s">
        <v>109</v>
      </c>
      <c r="Y42" t="s">
        <v>110</v>
      </c>
      <c r="Z42" t="s">
        <v>49</v>
      </c>
      <c r="AA42" t="s">
        <v>111</v>
      </c>
      <c r="AB42" s="2"/>
      <c r="AC42" t="s">
        <v>232</v>
      </c>
      <c r="AD42" s="26">
        <f>242451/Parameter!$H$1</f>
        <v>39105000</v>
      </c>
      <c r="AE42">
        <f>IF(J42="Concentrate",Parameter!$C$23,IF(Calib5!J42="Ore and concentrate",Parameter!$C$21,IF(F42="Smelter",Parameter!$C$10,IF(F42="Refinary",Parameter!$C$12,Parameter!$C$15))))</f>
        <v>7.2849999999999998E-2</v>
      </c>
      <c r="AF42">
        <f>IF(J42="Concentrate",Parameter!$C$24,IF(Calib5!J42="Ore and concentrate",Parameter!$C$22,IF(F42="Smelter",Parameter!$C$11,IF(F42="Refinary",Parameter!$C$13,Parameter!$C$16))))</f>
        <v>1.333E-2</v>
      </c>
      <c r="AG42">
        <f>IF(AD42="","", AD42*AE42/1000)</f>
        <v>2848.79925</v>
      </c>
      <c r="AH42">
        <f>IF((AD42=""),"", AD42*AF42/1000)</f>
        <v>521.26964999999996</v>
      </c>
      <c r="AI42" s="26">
        <f>AD42*Parameter!$H$1</f>
        <v>242451</v>
      </c>
      <c r="AJ42" s="25">
        <v>220006</v>
      </c>
      <c r="AK42" s="2">
        <v>56329000</v>
      </c>
      <c r="AL42" s="2">
        <v>56589000</v>
      </c>
      <c r="AM42" s="1">
        <v>232688</v>
      </c>
      <c r="AN42" s="1">
        <v>251216</v>
      </c>
    </row>
    <row r="44" spans="1:40" x14ac:dyDescent="0.35">
      <c r="P44" t="s">
        <v>300</v>
      </c>
      <c r="AB44" t="s">
        <v>298</v>
      </c>
    </row>
    <row r="45" spans="1:40" x14ac:dyDescent="0.35">
      <c r="P45" t="s">
        <v>299</v>
      </c>
      <c r="AB45" t="s">
        <v>297</v>
      </c>
    </row>
  </sheetData>
  <autoFilter ref="A1:AR42" xr:uid="{00000000-0001-0000-0000-000000000000}">
    <filterColumn colId="9">
      <filters>
        <filter val="Ore and concentrate"/>
      </filters>
    </filterColumn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</autoFilter>
  <mergeCells count="5">
    <mergeCell ref="AK1:AN1"/>
    <mergeCell ref="AO1:AR1"/>
    <mergeCell ref="AK2:AL2"/>
    <mergeCell ref="AO2:AP2"/>
    <mergeCell ref="AQ2:AR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Calib6</vt:lpstr>
      <vt:lpstr>Calib7</vt:lpstr>
      <vt:lpstr>Comparison</vt:lpstr>
      <vt:lpstr>Parameter</vt:lpstr>
      <vt:lpstr>Calib2</vt:lpstr>
      <vt:lpstr>Calib3</vt:lpstr>
      <vt:lpstr>Calib4</vt:lpstr>
      <vt:lpstr>Calib5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Andelka Kerekes</dc:creator>
  <cp:lastModifiedBy>Kerekes, Andelka</cp:lastModifiedBy>
  <dcterms:created xsi:type="dcterms:W3CDTF">2015-06-05T18:19:34Z</dcterms:created>
  <dcterms:modified xsi:type="dcterms:W3CDTF">2023-12-06T13:49:47Z</dcterms:modified>
</cp:coreProperties>
</file>