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<sst xmlns="http://schemas.openxmlformats.org/spreadsheetml/2006/main" count="278" uniqueCount="91">
  <si>
    <t xml:space="preserve">pag 49 + 150 notebook n°3</t>
  </si>
  <si>
    <t xml:space="preserve">pag 52 notebook n°3</t>
  </si>
  <si>
    <t xml:space="preserve">pag 46 notebook n°3</t>
  </si>
  <si>
    <t xml:space="preserve">pag 148 notebook n°3 - 20ML</t>
  </si>
  <si>
    <t xml:space="preserve">pag 50 + 53 notebook n°3</t>
  </si>
  <si>
    <t xml:space="preserve">10ml                                            0.039                              0.039                        0.038</t>
  </si>
  <si>
    <t xml:space="preserve">PCC_ST1</t>
  </si>
  <si>
    <t xml:space="preserve">10ml                                            0.040                             0.039                        0.039</t>
  </si>
  <si>
    <t xml:space="preserve">PCC_SP1</t>
  </si>
  <si>
    <t xml:space="preserve">10ml                                            0.038                              0.039                        0.038</t>
  </si>
  <si>
    <t xml:space="preserve">PCC_PR1</t>
  </si>
  <si>
    <t xml:space="preserve">20ml                                            0.041                            0.041                        0.040</t>
  </si>
  <si>
    <t xml:space="preserve">WH_ST1</t>
  </si>
  <si>
    <t xml:space="preserve">10ml                                            0.038                             0.038                        0.039</t>
  </si>
  <si>
    <t xml:space="preserve">WH_SP1</t>
  </si>
  <si>
    <t xml:space="preserve">PCC_ST2</t>
  </si>
  <si>
    <t xml:space="preserve">PCC_SP2</t>
  </si>
  <si>
    <t xml:space="preserve">PCC_PR2</t>
  </si>
  <si>
    <t xml:space="preserve">WH_ST2</t>
  </si>
  <si>
    <t xml:space="preserve">WH_SP2</t>
  </si>
  <si>
    <t xml:space="preserve">PCC_ST3</t>
  </si>
  <si>
    <t xml:space="preserve">PCC_SP3</t>
  </si>
  <si>
    <t xml:space="preserve">PCC_PR3</t>
  </si>
  <si>
    <t xml:space="preserve">WH_ST3</t>
  </si>
  <si>
    <t xml:space="preserve">WH_SP3</t>
  </si>
  <si>
    <t xml:space="preserve">fg/cell</t>
  </si>
  <si>
    <t xml:space="preserve">Carbon</t>
  </si>
  <si>
    <t xml:space="preserve">Var</t>
  </si>
  <si>
    <t xml:space="preserve">Nitrogen</t>
  </si>
  <si>
    <t xml:space="preserve">mg/g of dry weight</t>
  </si>
  <si>
    <t xml:space="preserve">PCC Standard</t>
  </si>
  <si>
    <t xml:space="preserve">Sample</t>
  </si>
  <si>
    <t xml:space="preserve">Instrumental replicates</t>
  </si>
  <si>
    <t xml:space="preserve">Weight</t>
  </si>
  <si>
    <t xml:space="preserve">area (mV*s)</t>
  </si>
  <si>
    <t xml:space="preserve">Heght (mV)</t>
  </si>
  <si>
    <t xml:space="preserve">Area%</t>
  </si>
  <si>
    <t xml:space="preserve">Height %</t>
  </si>
  <si>
    <t xml:space="preserve">Weight (mg)</t>
  </si>
  <si>
    <t xml:space="preserve">Weight %</t>
  </si>
  <si>
    <t xml:space="preserve">Carbon reaponse ratio</t>
  </si>
  <si>
    <t xml:space="preserve">Carbon weight ratio</t>
  </si>
  <si>
    <t xml:space="preserve">n° cell/ml</t>
  </si>
  <si>
    <t xml:space="preserve">n° cell/10ml</t>
  </si>
  <si>
    <t xml:space="preserve">n° cell in sample</t>
  </si>
  <si>
    <t xml:space="preserve">mg/cell</t>
  </si>
  <si>
    <t xml:space="preserve">Average</t>
  </si>
  <si>
    <t xml:space="preserve">ST</t>
  </si>
  <si>
    <t xml:space="preserve">%</t>
  </si>
  <si>
    <t xml:space="preserve">Total average</t>
  </si>
  <si>
    <t xml:space="preserve">dev.st.^2</t>
  </si>
  <si>
    <t xml:space="preserve">dev. St.</t>
  </si>
  <si>
    <t xml:space="preserve">var^2</t>
  </si>
  <si>
    <t xml:space="preserve">var</t>
  </si>
  <si>
    <t xml:space="preserve">PCC Transitional</t>
  </si>
  <si>
    <t xml:space="preserve">PCC_ST</t>
  </si>
  <si>
    <t xml:space="preserve">1A</t>
  </si>
  <si>
    <t xml:space="preserve">PCC Proterozoic</t>
  </si>
  <si>
    <t xml:space="preserve">Specie</t>
  </si>
  <si>
    <t xml:space="preserve">1B</t>
  </si>
  <si>
    <t xml:space="preserve">WH Standard</t>
  </si>
  <si>
    <t xml:space="preserve">C</t>
  </si>
  <si>
    <t xml:space="preserve">PCC_ST_1</t>
  </si>
  <si>
    <t xml:space="preserve">2A</t>
  </si>
  <si>
    <t xml:space="preserve">WH Transitional</t>
  </si>
  <si>
    <t xml:space="preserve">PCC_ST_2</t>
  </si>
  <si>
    <t xml:space="preserve">2B</t>
  </si>
  <si>
    <t xml:space="preserve">PCC_ST_3</t>
  </si>
  <si>
    <t xml:space="preserve">3A</t>
  </si>
  <si>
    <t xml:space="preserve">mmol/g dry w</t>
  </si>
  <si>
    <t xml:space="preserve">PCC_SP_1</t>
  </si>
  <si>
    <t xml:space="preserve">3B</t>
  </si>
  <si>
    <t xml:space="preserve">PCC_SP_2</t>
  </si>
  <si>
    <t xml:space="preserve">PCC_SP</t>
  </si>
  <si>
    <t xml:space="preserve">PCC_SP_3</t>
  </si>
  <si>
    <t xml:space="preserve">PCC_PR_1</t>
  </si>
  <si>
    <t xml:space="preserve">PCC_PR_2</t>
  </si>
  <si>
    <t xml:space="preserve">PCC_PR_3</t>
  </si>
  <si>
    <t xml:space="preserve">N</t>
  </si>
  <si>
    <t xml:space="preserve">PCC_PR</t>
  </si>
  <si>
    <t xml:space="preserve">WH_ST</t>
  </si>
  <si>
    <t xml:space="preserve">WH_SP</t>
  </si>
  <si>
    <t xml:space="preserve">WH_ST_1</t>
  </si>
  <si>
    <t xml:space="preserve">WH_ST_2</t>
  </si>
  <si>
    <t xml:space="preserve">WH_ST_3</t>
  </si>
  <si>
    <t xml:space="preserve">WH_SP_1</t>
  </si>
  <si>
    <t xml:space="preserve">WH_SP_2</t>
  </si>
  <si>
    <t xml:space="preserve">WH_SP_3</t>
  </si>
  <si>
    <t xml:space="preserve">WH_PR_1</t>
  </si>
  <si>
    <t xml:space="preserve">WH_PR_2</t>
  </si>
  <si>
    <t xml:space="preserve">WH_PR_3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</si>
</sst>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0"/>
    <numFmt numFmtId="166" formatCode="0.0"/>
    <numFmt numFmtId="167" formatCode="#,##0"/>
    <numFmt numFmtId="168" formatCode="General"/>
    <numFmt numFmtId="169" formatCode="0.00"/>
    <numFmt numFmtId="170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66FFCC"/>
        <bgColor rgb="FF66FFFF"/>
      </patternFill>
    </fill>
    <fill>
      <patternFill patternType="solid">
        <fgColor rgb="FFFFFFCC"/>
        <bgColor rgb="FFFFFFFF"/>
      </patternFill>
    </fill>
    <fill>
      <patternFill patternType="solid">
        <fgColor rgb="FF66FFFF"/>
        <bgColor rgb="FF66FFCC"/>
      </patternFill>
    </fill>
    <fill>
      <patternFill patternType="solid">
        <fgColor rgb="FFFFCCFF"/>
        <bgColor rgb="FFD9D9D9"/>
      </patternFill>
    </fill>
    <fill>
      <patternFill patternType="solid">
        <fgColor rgb="FFFF66FF"/>
        <bgColor rgb="FFFF99FF"/>
      </patternFill>
    </fill>
    <fill>
      <patternFill patternType="solid">
        <fgColor rgb="FF99FFCC"/>
        <bgColor rgb="FF66FFCC"/>
      </patternFill>
    </fill>
    <fill>
      <patternFill patternType="solid">
        <fgColor rgb="FFCCFFFF"/>
        <bgColor rgb="FFCCFFFF"/>
      </patternFill>
    </fill>
    <fill>
      <patternFill patternType="solid">
        <fgColor rgb="FF66CCFF"/>
        <bgColor rgb="FF66FFFF"/>
      </patternFill>
    </fill>
    <fill>
      <patternFill patternType="solid">
        <fgColor rgb="FF9999FF"/>
        <bgColor rgb="FFCC99FF"/>
      </patternFill>
    </fill>
    <fill>
      <patternFill patternType="solid">
        <fgColor rgb="FF00FFFF"/>
        <bgColor rgb="FF00CCFF"/>
      </patternFill>
    </fill>
    <fill>
      <patternFill patternType="solid">
        <fgColor rgb="FFCCCCFF"/>
        <bgColor rgb="FFD9D9D9"/>
      </patternFill>
    </fill>
    <fill>
      <patternFill patternType="solid">
        <fgColor rgb="FFFF99FF"/>
        <bgColor rgb="FFCC99FF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1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7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9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1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1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1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8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13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1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5" borderId="4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5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8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8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0" fillId="8" borderId="1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1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1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6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6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66FF"/>
      <rgbColor rgb="FF0066CC"/>
      <rgbColor rgb="FFCCCCFF"/>
      <rgbColor rgb="FF000080"/>
      <rgbColor rgb="FFFF00FF"/>
      <rgbColor rgb="FFFFFF00"/>
      <rgbColor rgb="FF66FFFF"/>
      <rgbColor rgb="FF800080"/>
      <rgbColor rgb="FF800000"/>
      <rgbColor rgb="FF008080"/>
      <rgbColor rgb="FF0000FF"/>
      <rgbColor rgb="FF00CCFF"/>
      <rgbColor rgb="FFCCFFFF"/>
      <rgbColor rgb="FF99FFCC"/>
      <rgbColor rgb="FFFFFF99"/>
      <rgbColor rgb="FF66CCFF"/>
      <rgbColor rgb="FFFF99FF"/>
      <rgbColor rgb="FFCC99FF"/>
      <rgbColor rgb="FFFFCCFF"/>
      <rgbColor rgb="FF3366FF"/>
      <rgbColor rgb="FF66FFCC"/>
      <rgbColor rgb="FF99CC00"/>
      <rgbColor rgb="FFFFCC00"/>
      <rgbColor rgb="FFFF9900"/>
      <rgbColor rgb="FFED7D31"/>
      <rgbColor rgb="FF59595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GB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GB" sz="1400" spc="-1" strike="noStrike">
                <a:solidFill>
                  <a:srgbClr val="595959"/>
                </a:solidFill>
                <a:latin typeface="Calibri"/>
              </a:rPr>
              <a:t>fg/cell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Sheet2!$AK$17</c:f>
              <c:strCache>
                <c:ptCount val="1"/>
                <c:pt idx="0">
                  <c:v>PCC Standard</c:v>
                </c:pt>
              </c:strCache>
            </c:strRef>
          </c:tx>
          <c:spPr>
            <a:solidFill>
              <a:srgbClr val="99ffcc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Sheet2!$AM$17,Sheet2!$AO$17</c:f>
                <c:numCache>
                  <c:formatCode>General</c:formatCode>
                  <c:ptCount val="2"/>
                  <c:pt idx="0">
                    <c:v>6.68414497106445</c:v>
                  </c:pt>
                  <c:pt idx="1">
                    <c:v>1.61195361497635</c:v>
                  </c:pt>
                </c:numCache>
              </c:numRef>
            </c:plus>
            <c:minus>
              <c:numRef>
                <c:f>Sheet2!$AM$17,Sheet2!$AO$17</c:f>
                <c:numCache>
                  <c:formatCode>General</c:formatCode>
                  <c:ptCount val="2"/>
                  <c:pt idx="0">
                    <c:v>6.68414497106445</c:v>
                  </c:pt>
                  <c:pt idx="1">
                    <c:v>1.61195361497635</c:v>
                  </c:pt>
                </c:numCache>
              </c:numRef>
            </c:minus>
            <c:spPr>
              <a:ln w="9360">
                <a:solidFill>
                  <a:srgbClr val="595959"/>
                </a:solidFill>
                <a:round/>
              </a:ln>
            </c:spPr>
          </c:errBars>
          <c:cat>
            <c:strRef>
              <c:f>Sheet2!$AL$16,Sheet2!$AN$16</c:f>
              <c:strCache>
                <c:ptCount val="2"/>
                <c:pt idx="0">
                  <c:v>Carbon</c:v>
                </c:pt>
                <c:pt idx="1">
                  <c:v>Nitrogen</c:v>
                </c:pt>
              </c:strCache>
            </c:strRef>
          </c:cat>
          <c:val>
            <c:numRef>
              <c:f>Sheet2!$AL$17,Sheet2!$AN$17</c:f>
              <c:numCache>
                <c:formatCode>General</c:formatCode>
                <c:ptCount val="2"/>
                <c:pt idx="0">
                  <c:v>43.8674734492771</c:v>
                </c:pt>
                <c:pt idx="1">
                  <c:v>10.2578413401881</c:v>
                </c:pt>
              </c:numCache>
            </c:numRef>
          </c:val>
        </c:ser>
        <c:ser>
          <c:idx val="1"/>
          <c:order val="1"/>
          <c:tx>
            <c:strRef>
              <c:f>Sheet2!$AK$18</c:f>
              <c:strCache>
                <c:ptCount val="1"/>
                <c:pt idx="0">
                  <c:v>PCC Transitional</c:v>
                </c:pt>
              </c:strCache>
            </c:strRef>
          </c:tx>
          <c:spPr>
            <a:solidFill>
              <a:srgbClr val="66ccff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Sheet2!$AM$18,Sheet2!$AO$18</c:f>
                <c:numCache>
                  <c:formatCode>General</c:formatCode>
                  <c:ptCount val="2"/>
                  <c:pt idx="0">
                    <c:v>3.06106941539731</c:v>
                  </c:pt>
                  <c:pt idx="1">
                    <c:v>0.207841421270584</c:v>
                  </c:pt>
                </c:numCache>
              </c:numRef>
            </c:plus>
            <c:minus>
              <c:numRef>
                <c:f>Sheet2!$AM$18,Sheet2!$AO$18</c:f>
                <c:numCache>
                  <c:formatCode>General</c:formatCode>
                  <c:ptCount val="2"/>
                  <c:pt idx="0">
                    <c:v>3.06106941539731</c:v>
                  </c:pt>
                  <c:pt idx="1">
                    <c:v>0.207841421270584</c:v>
                  </c:pt>
                </c:numCache>
              </c:numRef>
            </c:minus>
            <c:spPr>
              <a:ln w="9360">
                <a:solidFill>
                  <a:srgbClr val="595959"/>
                </a:solidFill>
                <a:round/>
              </a:ln>
            </c:spPr>
          </c:errBars>
          <c:cat>
            <c:strRef>
              <c:f>Sheet2!$AL$16,Sheet2!$AN$16</c:f>
              <c:strCache>
                <c:ptCount val="2"/>
                <c:pt idx="0">
                  <c:v>Carbon</c:v>
                </c:pt>
                <c:pt idx="1">
                  <c:v>Nitrogen</c:v>
                </c:pt>
              </c:strCache>
            </c:strRef>
          </c:cat>
          <c:val>
            <c:numRef>
              <c:f>Sheet2!$AL$18,Sheet2!$AN$18</c:f>
              <c:numCache>
                <c:formatCode>General</c:formatCode>
                <c:ptCount val="2"/>
                <c:pt idx="0">
                  <c:v>35.5793710744397</c:v>
                </c:pt>
                <c:pt idx="1">
                  <c:v>3.84900115932533</c:v>
                </c:pt>
              </c:numCache>
            </c:numRef>
          </c:val>
        </c:ser>
        <c:ser>
          <c:idx val="2"/>
          <c:order val="2"/>
          <c:tx>
            <c:strRef>
              <c:f>Sheet2!$AK$19</c:f>
              <c:strCache>
                <c:ptCount val="1"/>
                <c:pt idx="0">
                  <c:v>PCC Proterozoic</c:v>
                </c:pt>
              </c:strCache>
            </c:strRef>
          </c:tx>
          <c:spPr>
            <a:solidFill>
              <a:srgbClr val="00ffff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Sheet2!$AM$19,Sheet2!$AO$19</c:f>
                <c:numCache>
                  <c:formatCode>General</c:formatCode>
                  <c:ptCount val="2"/>
                  <c:pt idx="0">
                    <c:v>13.3179647024655</c:v>
                  </c:pt>
                  <c:pt idx="1">
                    <c:v>1.31676325410826</c:v>
                  </c:pt>
                </c:numCache>
              </c:numRef>
            </c:plus>
            <c:minus>
              <c:numRef>
                <c:f>Sheet2!$AM$19,Sheet2!$AO$19</c:f>
                <c:numCache>
                  <c:formatCode>General</c:formatCode>
                  <c:ptCount val="2"/>
                  <c:pt idx="0">
                    <c:v>13.3179647024655</c:v>
                  </c:pt>
                  <c:pt idx="1">
                    <c:v>1.31676325410826</c:v>
                  </c:pt>
                </c:numCache>
              </c:numRef>
            </c:minus>
            <c:spPr>
              <a:ln w="9360">
                <a:solidFill>
                  <a:srgbClr val="595959"/>
                </a:solidFill>
                <a:round/>
              </a:ln>
            </c:spPr>
          </c:errBars>
          <c:cat>
            <c:strRef>
              <c:f>Sheet2!$AL$16,Sheet2!$AN$16</c:f>
              <c:strCache>
                <c:ptCount val="2"/>
                <c:pt idx="0">
                  <c:v>Carbon</c:v>
                </c:pt>
                <c:pt idx="1">
                  <c:v>Nitrogen</c:v>
                </c:pt>
              </c:strCache>
            </c:strRef>
          </c:cat>
          <c:val>
            <c:numRef>
              <c:f>Sheet2!$AL$19,Sheet2!$AN$19</c:f>
              <c:numCache>
                <c:formatCode>General</c:formatCode>
                <c:ptCount val="2"/>
                <c:pt idx="0">
                  <c:v>40.9038965689578</c:v>
                </c:pt>
                <c:pt idx="1">
                  <c:v>6.82574450634654</c:v>
                </c:pt>
              </c:numCache>
            </c:numRef>
          </c:val>
        </c:ser>
        <c:ser>
          <c:idx val="3"/>
          <c:order val="3"/>
          <c:tx>
            <c:strRef>
              <c:f>Sheet2!$AK$20</c:f>
              <c:strCache>
                <c:ptCount val="1"/>
                <c:pt idx="0">
                  <c:v>WH Standard</c:v>
                </c:pt>
              </c:strCache>
            </c:strRef>
          </c:tx>
          <c:spPr>
            <a:solidFill>
              <a:srgbClr val="ff99ff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Sheet2!$AL$16,Sheet2!$AN$16</c:f>
              <c:strCache>
                <c:ptCount val="2"/>
                <c:pt idx="0">
                  <c:v>Carbon</c:v>
                </c:pt>
                <c:pt idx="1">
                  <c:v>Nitrogen</c:v>
                </c:pt>
              </c:strCache>
            </c:strRef>
          </c:cat>
          <c:val>
            <c:numRef>
              <c:f>Sheet2!$AL$20,Sheet2!$AN$20</c:f>
              <c:numCache>
                <c:formatCode>General</c:formatCode>
                <c:ptCount val="2"/>
                <c:pt idx="0">
                  <c:v>21.3846415168251</c:v>
                </c:pt>
                <c:pt idx="1">
                  <c:v>2.02735211582452</c:v>
                </c:pt>
              </c:numCache>
            </c:numRef>
          </c:val>
        </c:ser>
        <c:gapWidth val="150"/>
        <c:overlap val="0"/>
        <c:axId val="20424865"/>
        <c:axId val="37064147"/>
      </c:barChart>
      <c:catAx>
        <c:axId val="2042486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7064147"/>
        <c:crosses val="autoZero"/>
        <c:auto val="1"/>
        <c:lblAlgn val="ctr"/>
        <c:lblOffset val="100"/>
        <c:noMultiLvlLbl val="0"/>
      </c:catAx>
      <c:valAx>
        <c:axId val="37064147"/>
        <c:scaling>
          <c:orientation val="minMax"/>
          <c:max val="6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0424865"/>
        <c:crosses val="autoZero"/>
        <c:crossBetween val="between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GB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GB" sz="1400" spc="-1" strike="noStrike">
                <a:solidFill>
                  <a:srgbClr val="595959"/>
                </a:solidFill>
                <a:latin typeface="Calibri"/>
              </a:rPr>
              <a:t>mg/g dry weight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Sheet2!$AK$24</c:f>
              <c:strCache>
                <c:ptCount val="1"/>
                <c:pt idx="0">
                  <c:v>PCC Standard</c:v>
                </c:pt>
              </c:strCache>
            </c:strRef>
          </c:tx>
          <c:spPr>
            <a:solidFill>
              <a:srgbClr val="99ffcc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Sheet2!$AM$24,Sheet2!$AO$24</c:f>
                <c:numCache>
                  <c:formatCode>General</c:formatCode>
                  <c:ptCount val="2"/>
                  <c:pt idx="0">
                    <c:v>64.6633821908869</c:v>
                  </c:pt>
                  <c:pt idx="1">
                    <c:v>12.5902374222005</c:v>
                  </c:pt>
                </c:numCache>
              </c:numRef>
            </c:plus>
            <c:minus>
              <c:numRef>
                <c:f>Sheet2!$AM$24,Sheet2!$AO$24</c:f>
                <c:numCache>
                  <c:formatCode>General</c:formatCode>
                  <c:ptCount val="2"/>
                  <c:pt idx="0">
                    <c:v>64.6633821908869</c:v>
                  </c:pt>
                  <c:pt idx="1">
                    <c:v>12.5902374222005</c:v>
                  </c:pt>
                </c:numCache>
              </c:numRef>
            </c:minus>
            <c:spPr>
              <a:ln w="9360">
                <a:solidFill>
                  <a:srgbClr val="595959"/>
                </a:solidFill>
                <a:round/>
              </a:ln>
            </c:spPr>
          </c:errBars>
          <c:cat>
            <c:strRef>
              <c:f>Sheet2!$AL$23,Sheet2!$AN$23</c:f>
              <c:strCache>
                <c:ptCount val="2"/>
                <c:pt idx="0">
                  <c:v>Carbon</c:v>
                </c:pt>
                <c:pt idx="1">
                  <c:v>Nitrogen</c:v>
                </c:pt>
              </c:strCache>
            </c:strRef>
          </c:cat>
          <c:val>
            <c:numRef>
              <c:f>Sheet2!$AL$24,Sheet2!$AN$24</c:f>
              <c:numCache>
                <c:formatCode>General</c:formatCode>
                <c:ptCount val="2"/>
                <c:pt idx="0">
                  <c:v>492.861220415918</c:v>
                </c:pt>
                <c:pt idx="1">
                  <c:v>115.165239341536</c:v>
                </c:pt>
              </c:numCache>
            </c:numRef>
          </c:val>
        </c:ser>
        <c:ser>
          <c:idx val="1"/>
          <c:order val="1"/>
          <c:tx>
            <c:strRef>
              <c:f>Sheet2!$AK$25</c:f>
              <c:strCache>
                <c:ptCount val="1"/>
                <c:pt idx="0">
                  <c:v>PCC Transitional</c:v>
                </c:pt>
              </c:strCache>
            </c:strRef>
          </c:tx>
          <c:spPr>
            <a:solidFill>
              <a:srgbClr val="66ccff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Sheet2!$AM$25,Sheet2!$AO$25</c:f>
                <c:numCache>
                  <c:formatCode>General</c:formatCode>
                  <c:ptCount val="2"/>
                  <c:pt idx="0">
                    <c:v>64.6633821908869</c:v>
                  </c:pt>
                  <c:pt idx="1">
                    <c:v>100.220339042642</c:v>
                  </c:pt>
                </c:numCache>
              </c:numRef>
            </c:plus>
            <c:minus>
              <c:numRef>
                <c:f>Sheet2!$AM$25,Sheet2!$AO$25</c:f>
                <c:numCache>
                  <c:formatCode>General</c:formatCode>
                  <c:ptCount val="2"/>
                  <c:pt idx="0">
                    <c:v>64.6633821908869</c:v>
                  </c:pt>
                  <c:pt idx="1">
                    <c:v>100.220339042642</c:v>
                  </c:pt>
                </c:numCache>
              </c:numRef>
            </c:minus>
            <c:spPr>
              <a:ln w="9360">
                <a:solidFill>
                  <a:srgbClr val="595959"/>
                </a:solidFill>
                <a:round/>
              </a:ln>
            </c:spPr>
          </c:errBars>
          <c:cat>
            <c:strRef>
              <c:f>Sheet2!$AL$23,Sheet2!$AN$23</c:f>
              <c:strCache>
                <c:ptCount val="2"/>
                <c:pt idx="0">
                  <c:v>Carbon</c:v>
                </c:pt>
                <c:pt idx="1">
                  <c:v>Nitrogen</c:v>
                </c:pt>
              </c:strCache>
            </c:strRef>
          </c:cat>
          <c:val>
            <c:numRef>
              <c:f>Sheet2!$AL$25,Sheet2!$AN$25</c:f>
              <c:numCache>
                <c:formatCode>General</c:formatCode>
                <c:ptCount val="2"/>
                <c:pt idx="0">
                  <c:v>446.930395930854</c:v>
                </c:pt>
                <c:pt idx="1">
                  <c:v>48.1721419749188</c:v>
                </c:pt>
              </c:numCache>
            </c:numRef>
          </c:val>
        </c:ser>
        <c:ser>
          <c:idx val="2"/>
          <c:order val="2"/>
          <c:tx>
            <c:strRef>
              <c:f>Sheet2!$AK$26</c:f>
              <c:strCache>
                <c:ptCount val="1"/>
                <c:pt idx="0">
                  <c:v>PCC Proterozoic</c:v>
                </c:pt>
              </c:strCache>
            </c:strRef>
          </c:tx>
          <c:spPr>
            <a:solidFill>
              <a:srgbClr val="00ffff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Sheet2!$AM$26,Sheet2!$AO$26</c:f>
                <c:numCache>
                  <c:formatCode>General</c:formatCode>
                  <c:ptCount val="2"/>
                  <c:pt idx="0">
                    <c:v>57.2007733052136</c:v>
                  </c:pt>
                  <c:pt idx="1">
                    <c:v>25.8190654554353</c:v>
                  </c:pt>
                </c:numCache>
              </c:numRef>
            </c:plus>
            <c:minus>
              <c:numRef>
                <c:f>Sheet2!$AM$26,Sheet2!$AO$26</c:f>
                <c:numCache>
                  <c:formatCode>General</c:formatCode>
                  <c:ptCount val="2"/>
                  <c:pt idx="0">
                    <c:v>57.2007733052136</c:v>
                  </c:pt>
                  <c:pt idx="1">
                    <c:v>25.8190654554353</c:v>
                  </c:pt>
                </c:numCache>
              </c:numRef>
            </c:minus>
            <c:spPr>
              <a:ln w="9360">
                <a:solidFill>
                  <a:srgbClr val="595959"/>
                </a:solidFill>
                <a:round/>
              </a:ln>
            </c:spPr>
          </c:errBars>
          <c:cat>
            <c:strRef>
              <c:f>Sheet2!$AL$23,Sheet2!$AN$23</c:f>
              <c:strCache>
                <c:ptCount val="2"/>
                <c:pt idx="0">
                  <c:v>Carbon</c:v>
                </c:pt>
                <c:pt idx="1">
                  <c:v>Nitrogen</c:v>
                </c:pt>
              </c:strCache>
            </c:strRef>
          </c:cat>
          <c:val>
            <c:numRef>
              <c:f>Sheet2!$AL$26,Sheet2!$AN$26</c:f>
              <c:numCache>
                <c:formatCode>General</c:formatCode>
                <c:ptCount val="2"/>
                <c:pt idx="0">
                  <c:v>504.123708873269</c:v>
                </c:pt>
                <c:pt idx="1">
                  <c:v>88.4678341891832</c:v>
                </c:pt>
              </c:numCache>
            </c:numRef>
          </c:val>
        </c:ser>
        <c:ser>
          <c:idx val="3"/>
          <c:order val="3"/>
          <c:tx>
            <c:strRef>
              <c:f>Sheet2!$AK$27</c:f>
              <c:strCache>
                <c:ptCount val="1"/>
                <c:pt idx="0">
                  <c:v>WH Standard</c:v>
                </c:pt>
              </c:strCache>
            </c:strRef>
          </c:tx>
          <c:spPr>
            <a:solidFill>
              <a:srgbClr val="ff99ff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Sheet2!$AL$23,Sheet2!$AN$23</c:f>
              <c:strCache>
                <c:ptCount val="2"/>
                <c:pt idx="0">
                  <c:v>Carbon</c:v>
                </c:pt>
                <c:pt idx="1">
                  <c:v>Nitrogen</c:v>
                </c:pt>
              </c:strCache>
            </c:strRef>
          </c:cat>
          <c:val>
            <c:numRef>
              <c:f>Sheet2!$AL$27,Sheet2!$AN$27</c:f>
              <c:numCache>
                <c:formatCode>General</c:formatCode>
                <c:ptCount val="2"/>
                <c:pt idx="0">
                  <c:v>450.55644172395</c:v>
                </c:pt>
                <c:pt idx="1">
                  <c:v>72.9590924092374</c:v>
                </c:pt>
              </c:numCache>
            </c:numRef>
          </c:val>
        </c:ser>
        <c:gapWidth val="150"/>
        <c:overlap val="0"/>
        <c:axId val="60442955"/>
        <c:axId val="66451389"/>
      </c:barChart>
      <c:catAx>
        <c:axId val="604429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6451389"/>
        <c:crosses val="autoZero"/>
        <c:auto val="1"/>
        <c:lblAlgn val="ctr"/>
        <c:lblOffset val="100"/>
        <c:noMultiLvlLbl val="0"/>
      </c:catAx>
      <c:valAx>
        <c:axId val="6645138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0442955"/>
        <c:crosses val="autoZero"/>
        <c:crossBetween val="between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GB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GB" sz="1400" spc="-1" strike="noStrike">
                <a:solidFill>
                  <a:srgbClr val="595959"/>
                </a:solidFill>
                <a:latin typeface="Calibri"/>
              </a:rPr>
              <a:t>mg/g dry weight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Sheet2!$AK$24</c:f>
              <c:strCache>
                <c:ptCount val="1"/>
                <c:pt idx="0">
                  <c:v>PCC Standard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Sheet2!$AM$24,Sheet2!$AO$24</c:f>
                <c:numCache>
                  <c:formatCode>General</c:formatCode>
                  <c:ptCount val="2"/>
                  <c:pt idx="0">
                    <c:v>64.6633821908869</c:v>
                  </c:pt>
                  <c:pt idx="1">
                    <c:v>12.5902374222005</c:v>
                  </c:pt>
                </c:numCache>
              </c:numRef>
            </c:plus>
            <c:minus>
              <c:numRef>
                <c:f>Sheet2!$AM$24,Sheet2!$AO$24</c:f>
                <c:numCache>
                  <c:formatCode>General</c:formatCode>
                  <c:ptCount val="2"/>
                  <c:pt idx="0">
                    <c:v>64.6633821908869</c:v>
                  </c:pt>
                  <c:pt idx="1">
                    <c:v>12.5902374222005</c:v>
                  </c:pt>
                </c:numCache>
              </c:numRef>
            </c:minus>
            <c:spPr>
              <a:ln w="9360">
                <a:solidFill>
                  <a:srgbClr val="595959"/>
                </a:solidFill>
                <a:round/>
              </a:ln>
            </c:spPr>
          </c:errBars>
          <c:cat>
            <c:strRef>
              <c:f>Sheet2!$AL$23,Sheet2!$AN$23</c:f>
              <c:strCache>
                <c:ptCount val="2"/>
                <c:pt idx="0">
                  <c:v>Carbon</c:v>
                </c:pt>
                <c:pt idx="1">
                  <c:v>Nitrogen</c:v>
                </c:pt>
              </c:strCache>
            </c:strRef>
          </c:cat>
          <c:val>
            <c:numRef>
              <c:f>Sheet2!$AL$24,Sheet2!$AN$24</c:f>
              <c:numCache>
                <c:formatCode>General</c:formatCode>
                <c:ptCount val="2"/>
                <c:pt idx="0">
                  <c:v>492.861220415918</c:v>
                </c:pt>
                <c:pt idx="1">
                  <c:v>115.165239341536</c:v>
                </c:pt>
              </c:numCache>
            </c:numRef>
          </c:val>
        </c:ser>
        <c:ser>
          <c:idx val="1"/>
          <c:order val="1"/>
          <c:tx>
            <c:strRef>
              <c:f>Sheet2!$AK$26</c:f>
              <c:strCache>
                <c:ptCount val="1"/>
                <c:pt idx="0">
                  <c:v>PCC Proterozoic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Sheet2!$AM$26,Sheet2!$AO$26</c:f>
                <c:numCache>
                  <c:formatCode>General</c:formatCode>
                  <c:ptCount val="2"/>
                  <c:pt idx="0">
                    <c:v>57.2007733052136</c:v>
                  </c:pt>
                  <c:pt idx="1">
                    <c:v>25.8190654554353</c:v>
                  </c:pt>
                </c:numCache>
              </c:numRef>
            </c:plus>
            <c:minus>
              <c:numRef>
                <c:f>Sheet2!$AM$26,Sheet2!$AO$26</c:f>
                <c:numCache>
                  <c:formatCode>General</c:formatCode>
                  <c:ptCount val="2"/>
                  <c:pt idx="0">
                    <c:v>57.2007733052136</c:v>
                  </c:pt>
                  <c:pt idx="1">
                    <c:v>25.8190654554353</c:v>
                  </c:pt>
                </c:numCache>
              </c:numRef>
            </c:minus>
            <c:spPr>
              <a:ln w="9360">
                <a:solidFill>
                  <a:srgbClr val="595959"/>
                </a:solidFill>
                <a:round/>
              </a:ln>
            </c:spPr>
          </c:errBars>
          <c:cat>
            <c:strRef>
              <c:f>Sheet2!$AL$23,Sheet2!$AN$23</c:f>
              <c:strCache>
                <c:ptCount val="2"/>
                <c:pt idx="0">
                  <c:v>Carbon</c:v>
                </c:pt>
                <c:pt idx="1">
                  <c:v>Nitrogen</c:v>
                </c:pt>
              </c:strCache>
            </c:strRef>
          </c:cat>
          <c:val>
            <c:numRef>
              <c:f>Sheet2!$AL$26,Sheet2!$AN$26</c:f>
              <c:numCache>
                <c:formatCode>General</c:formatCode>
                <c:ptCount val="2"/>
                <c:pt idx="0">
                  <c:v>504.123708873269</c:v>
                </c:pt>
                <c:pt idx="1">
                  <c:v>88.4678341891832</c:v>
                </c:pt>
              </c:numCache>
            </c:numRef>
          </c:val>
        </c:ser>
        <c:gapWidth val="150"/>
        <c:overlap val="0"/>
        <c:axId val="30971746"/>
        <c:axId val="736066"/>
      </c:barChart>
      <c:catAx>
        <c:axId val="3097174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36066"/>
        <c:crosses val="autoZero"/>
        <c:auto val="1"/>
        <c:lblAlgn val="ctr"/>
        <c:lblOffset val="100"/>
        <c:noMultiLvlLbl val="0"/>
      </c:catAx>
      <c:valAx>
        <c:axId val="73606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0971746"/>
        <c:crosses val="autoZero"/>
        <c:crossBetween val="between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36</xdr:col>
      <xdr:colOff>16920</xdr:colOff>
      <xdr:row>29</xdr:row>
      <xdr:rowOff>9360</xdr:rowOff>
    </xdr:from>
    <xdr:to>
      <xdr:col>43</xdr:col>
      <xdr:colOff>595440</xdr:colOff>
      <xdr:row>45</xdr:row>
      <xdr:rowOff>138240</xdr:rowOff>
    </xdr:to>
    <xdr:graphicFrame>
      <xdr:nvGraphicFramePr>
        <xdr:cNvPr id="0" name="Chart 2"/>
        <xdr:cNvGraphicFramePr/>
      </xdr:nvGraphicFramePr>
      <xdr:xfrm>
        <a:off x="34651080" y="6051240"/>
        <a:ext cx="8359560" cy="3684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44</xdr:col>
      <xdr:colOff>15480</xdr:colOff>
      <xdr:row>8</xdr:row>
      <xdr:rowOff>179640</xdr:rowOff>
    </xdr:from>
    <xdr:to>
      <xdr:col>50</xdr:col>
      <xdr:colOff>1105560</xdr:colOff>
      <xdr:row>21</xdr:row>
      <xdr:rowOff>91440</xdr:rowOff>
    </xdr:to>
    <xdr:graphicFrame>
      <xdr:nvGraphicFramePr>
        <xdr:cNvPr id="1" name="Chart 3"/>
        <xdr:cNvGraphicFramePr/>
      </xdr:nvGraphicFramePr>
      <xdr:xfrm>
        <a:off x="43216200" y="1709640"/>
        <a:ext cx="5803200" cy="287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50</xdr:col>
      <xdr:colOff>0</xdr:colOff>
      <xdr:row>5</xdr:row>
      <xdr:rowOff>0</xdr:rowOff>
    </xdr:from>
    <xdr:to>
      <xdr:col>56</xdr:col>
      <xdr:colOff>456840</xdr:colOff>
      <xdr:row>17</xdr:row>
      <xdr:rowOff>543600</xdr:rowOff>
    </xdr:to>
    <xdr:graphicFrame>
      <xdr:nvGraphicFramePr>
        <xdr:cNvPr id="2" name="Chart 3"/>
        <xdr:cNvGraphicFramePr/>
      </xdr:nvGraphicFramePr>
      <xdr:xfrm>
        <a:off x="47913840" y="958680"/>
        <a:ext cx="5792040" cy="288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A73"/>
  <sheetViews>
    <sheetView showFormulas="false" showGridLines="true" showRowColHeaders="true" showZeros="true" rightToLeft="false" tabSelected="true" showOutlineSymbols="true" defaultGridColor="true" view="normal" topLeftCell="AG8" colorId="64" zoomScale="75" zoomScaleNormal="75" zoomScalePageLayoutView="100" workbookViewId="0">
      <selection pane="topLeft" activeCell="AP23" activeCellId="0" sqref="AP23"/>
    </sheetView>
  </sheetViews>
  <sheetFormatPr defaultColWidth="8.8359375" defaultRowHeight="15" zeroHeight="false" outlineLevelRow="0" outlineLevelCol="0"/>
  <cols>
    <col collapsed="false" customWidth="true" hidden="false" outlineLevel="0" max="3" min="3" style="1" width="12.83"/>
    <col collapsed="false" customWidth="true" hidden="false" outlineLevel="0" max="5" min="5" style="0" width="18.17"/>
    <col collapsed="false" customWidth="true" hidden="false" outlineLevel="0" max="11" min="11" style="0" width="12.17"/>
    <col collapsed="false" customWidth="true" hidden="false" outlineLevel="0" max="13" min="13" style="0" width="19.17"/>
    <col collapsed="false" customWidth="true" hidden="false" outlineLevel="0" max="14" min="14" style="0" width="17.83"/>
    <col collapsed="false" customWidth="true" hidden="false" outlineLevel="0" max="15" min="15" style="0" width="19.83"/>
    <col collapsed="false" customWidth="true" hidden="false" outlineLevel="0" max="16" min="16" style="0" width="12"/>
    <col collapsed="false" customWidth="true" hidden="false" outlineLevel="0" max="21" min="21" style="0" width="16.33"/>
    <col collapsed="false" customWidth="true" hidden="false" outlineLevel="0" max="29" min="29" style="0" width="16.33"/>
    <col collapsed="false" customWidth="true" hidden="false" outlineLevel="0" max="30" min="30" style="0" width="12"/>
    <col collapsed="false" customWidth="true" hidden="false" outlineLevel="0" max="32" min="32" style="0" width="12"/>
    <col collapsed="false" customWidth="true" hidden="false" outlineLevel="0" max="37" min="37" style="0" width="26.84"/>
    <col collapsed="false" customWidth="true" hidden="false" outlineLevel="0" max="38" min="38" style="0" width="16.5"/>
    <col collapsed="false" customWidth="true" hidden="false" outlineLevel="0" max="51" min="51" style="0" width="15.83"/>
  </cols>
  <sheetData>
    <row r="1" customFormat="false" ht="16" hidden="false" customHeight="false" outlineLevel="0" collapsed="false"/>
    <row r="2" customFormat="false" ht="15" hidden="false" customHeight="true" outlineLevel="0" collapsed="false">
      <c r="B2" s="2" t="s">
        <v>0</v>
      </c>
      <c r="C2" s="2"/>
      <c r="D2" s="2"/>
      <c r="E2" s="2"/>
      <c r="F2" s="2"/>
      <c r="G2" s="2"/>
      <c r="I2" s="3"/>
      <c r="J2" s="2" t="s">
        <v>1</v>
      </c>
      <c r="K2" s="2"/>
      <c r="L2" s="2"/>
      <c r="M2" s="2"/>
      <c r="N2" s="2"/>
      <c r="O2" s="2"/>
      <c r="R2" s="4" t="s">
        <v>2</v>
      </c>
      <c r="S2" s="4"/>
      <c r="T2" s="4"/>
      <c r="U2" s="4"/>
      <c r="V2" s="4"/>
      <c r="W2" s="4"/>
      <c r="Z2" s="4" t="s">
        <v>3</v>
      </c>
      <c r="AA2" s="4"/>
      <c r="AB2" s="4"/>
      <c r="AC2" s="4"/>
      <c r="AD2" s="4"/>
      <c r="AE2" s="4"/>
      <c r="AH2" s="2" t="s">
        <v>4</v>
      </c>
      <c r="AI2" s="2"/>
      <c r="AJ2" s="2"/>
      <c r="AK2" s="2"/>
      <c r="AL2" s="2"/>
      <c r="AM2" s="2"/>
    </row>
    <row r="3" customFormat="false" ht="15" hidden="false" customHeight="true" outlineLevel="0" collapsed="false">
      <c r="B3" s="5" t="s">
        <v>5</v>
      </c>
      <c r="C3" s="6" t="s">
        <v>6</v>
      </c>
      <c r="D3" s="7" t="n">
        <v>0.192</v>
      </c>
      <c r="E3" s="8" t="n">
        <f aca="false">AVERAGE(D3:D5)-$B$12</f>
        <v>0.155666666666667</v>
      </c>
      <c r="F3" s="7" t="n">
        <v>910.9</v>
      </c>
      <c r="G3" s="7" t="n">
        <v>911.5</v>
      </c>
      <c r="H3" s="9" t="n">
        <f aca="false">G3-F3</f>
        <v>0.600000000000023</v>
      </c>
      <c r="J3" s="5" t="s">
        <v>7</v>
      </c>
      <c r="K3" s="10" t="s">
        <v>8</v>
      </c>
      <c r="L3" s="7" t="n">
        <v>0.13</v>
      </c>
      <c r="M3" s="8" t="n">
        <f aca="false">AVERAGE(L3:L5)-$J$12</f>
        <v>0.0913333333333333</v>
      </c>
      <c r="N3" s="7" t="n">
        <v>910.9</v>
      </c>
      <c r="O3" s="7" t="n">
        <v>911.3</v>
      </c>
      <c r="P3" s="9" t="n">
        <f aca="false">O3-N3</f>
        <v>0.399999999999977</v>
      </c>
      <c r="R3" s="5" t="s">
        <v>9</v>
      </c>
      <c r="S3" s="11" t="s">
        <v>10</v>
      </c>
      <c r="T3" s="12" t="n">
        <v>0.134</v>
      </c>
      <c r="U3" s="8" t="n">
        <f aca="false">AVERAGE(T3:T5)-$R$12</f>
        <v>0.091</v>
      </c>
      <c r="V3" s="13" t="n">
        <v>906.8</v>
      </c>
      <c r="W3" s="13" t="n">
        <v>907.1</v>
      </c>
      <c r="X3" s="14" t="n">
        <f aca="false">W3-V3</f>
        <v>0.300000000000068</v>
      </c>
      <c r="Z3" s="5" t="s">
        <v>11</v>
      </c>
      <c r="AA3" s="15" t="s">
        <v>12</v>
      </c>
      <c r="AB3" s="12" t="n">
        <v>0.169</v>
      </c>
      <c r="AC3" s="8" t="n">
        <f aca="false">AVERAGE(AB3:AB5)-$Z$12</f>
        <v>0.129666666666667</v>
      </c>
      <c r="AD3" s="13" t="n">
        <v>904.7</v>
      </c>
      <c r="AE3" s="13" t="n">
        <v>906.2</v>
      </c>
      <c r="AF3" s="14" t="n">
        <f aca="false">AE3-AD3</f>
        <v>1.5</v>
      </c>
      <c r="AH3" s="5" t="s">
        <v>13</v>
      </c>
      <c r="AI3" s="16" t="s">
        <v>14</v>
      </c>
      <c r="AJ3" s="7" t="n">
        <v>0.052</v>
      </c>
      <c r="AK3" s="8" t="n">
        <f aca="false">AVERAGE(AJ3:AJ5)-$AH$12</f>
        <v>0.0136666666666667</v>
      </c>
      <c r="AL3" s="7" t="n">
        <v>905.3</v>
      </c>
      <c r="AM3" s="7" t="n">
        <v>905.5</v>
      </c>
      <c r="AN3" s="9" t="n">
        <f aca="false">AM3-AL3</f>
        <v>0.200000000000045</v>
      </c>
    </row>
    <row r="4" customFormat="false" ht="15" hidden="false" customHeight="false" outlineLevel="0" collapsed="false">
      <c r="B4" s="5"/>
      <c r="C4" s="6"/>
      <c r="D4" s="7" t="n">
        <v>0.193</v>
      </c>
      <c r="E4" s="17" t="n">
        <f aca="false">E3/(2/10^10)</f>
        <v>778333333.333333</v>
      </c>
      <c r="F4" s="7"/>
      <c r="G4" s="7"/>
      <c r="H4" s="9"/>
      <c r="J4" s="5"/>
      <c r="K4" s="10"/>
      <c r="L4" s="7" t="n">
        <v>0.131</v>
      </c>
      <c r="M4" s="17" t="n">
        <f aca="false">M3/(2/10^10)</f>
        <v>456666666.666667</v>
      </c>
      <c r="N4" s="7"/>
      <c r="O4" s="7"/>
      <c r="P4" s="9"/>
      <c r="R4" s="5"/>
      <c r="S4" s="11"/>
      <c r="T4" s="12" t="n">
        <v>0.129</v>
      </c>
      <c r="U4" s="17" t="n">
        <f aca="false">U3/(3/10^10)</f>
        <v>303333333.333333</v>
      </c>
      <c r="V4" s="13"/>
      <c r="W4" s="13"/>
      <c r="X4" s="14"/>
      <c r="Z4" s="5"/>
      <c r="AA4" s="15"/>
      <c r="AB4" s="12" t="n">
        <v>0.171</v>
      </c>
      <c r="AC4" s="17" t="n">
        <f aca="false">AC3/(4/10^11)</f>
        <v>3241666666.66667</v>
      </c>
      <c r="AD4" s="13"/>
      <c r="AE4" s="13"/>
      <c r="AF4" s="14"/>
      <c r="AH4" s="5"/>
      <c r="AI4" s="16"/>
      <c r="AJ4" s="7" t="n">
        <v>0.052</v>
      </c>
      <c r="AK4" s="17" t="n">
        <f aca="false">AK3/(4/10^11)</f>
        <v>341666666.666667</v>
      </c>
      <c r="AL4" s="7"/>
      <c r="AM4" s="7"/>
      <c r="AN4" s="9"/>
    </row>
    <row r="5" customFormat="false" ht="14.5" hidden="false" customHeight="true" outlineLevel="0" collapsed="false">
      <c r="B5" s="5"/>
      <c r="C5" s="6"/>
      <c r="D5" s="7" t="n">
        <v>0.198</v>
      </c>
      <c r="E5" s="17" t="n">
        <f aca="false">E4*10</f>
        <v>7783333333.33333</v>
      </c>
      <c r="F5" s="7"/>
      <c r="G5" s="7"/>
      <c r="H5" s="9"/>
      <c r="J5" s="5"/>
      <c r="K5" s="10"/>
      <c r="L5" s="7" t="n">
        <v>0.131</v>
      </c>
      <c r="M5" s="17" t="n">
        <f aca="false">M4*10</f>
        <v>4566666666.66667</v>
      </c>
      <c r="N5" s="7"/>
      <c r="O5" s="7"/>
      <c r="P5" s="9"/>
      <c r="R5" s="5"/>
      <c r="S5" s="11"/>
      <c r="T5" s="12" t="n">
        <v>0.125</v>
      </c>
      <c r="U5" s="17" t="n">
        <f aca="false">U4*10</f>
        <v>3033333333.33333</v>
      </c>
      <c r="V5" s="13"/>
      <c r="W5" s="13"/>
      <c r="X5" s="14"/>
      <c r="Z5" s="5"/>
      <c r="AA5" s="15"/>
      <c r="AB5" s="12" t="n">
        <v>0.171</v>
      </c>
      <c r="AC5" s="17" t="n">
        <f aca="false">AC4*10</f>
        <v>32416666666.6667</v>
      </c>
      <c r="AD5" s="13"/>
      <c r="AE5" s="13"/>
      <c r="AF5" s="14"/>
      <c r="AH5" s="5"/>
      <c r="AI5" s="16"/>
      <c r="AJ5" s="7" t="n">
        <v>0.052</v>
      </c>
      <c r="AK5" s="17" t="n">
        <f aca="false">AK4*10</f>
        <v>3416666666.66667</v>
      </c>
      <c r="AL5" s="7"/>
      <c r="AM5" s="7"/>
      <c r="AN5" s="9"/>
    </row>
    <row r="6" customFormat="false" ht="15" hidden="false" customHeight="true" outlineLevel="0" collapsed="false">
      <c r="B6" s="5"/>
      <c r="C6" s="6" t="s">
        <v>15</v>
      </c>
      <c r="D6" s="7" t="n">
        <v>0.157</v>
      </c>
      <c r="E6" s="8" t="n">
        <f aca="false">AVERAGE(D6:D8)-$B$12</f>
        <v>0.120666666666667</v>
      </c>
      <c r="F6" s="7" t="n">
        <v>909.8</v>
      </c>
      <c r="G6" s="7" t="n">
        <v>910.3</v>
      </c>
      <c r="H6" s="9" t="n">
        <f aca="false">G6-F6</f>
        <v>0.5</v>
      </c>
      <c r="J6" s="5"/>
      <c r="K6" s="10" t="s">
        <v>16</v>
      </c>
      <c r="L6" s="7" t="n">
        <v>0.114</v>
      </c>
      <c r="M6" s="8" t="n">
        <f aca="false">AVERAGE(L6:L8)-$J$12</f>
        <v>0.0756666666666667</v>
      </c>
      <c r="N6" s="7" t="n">
        <v>905.8</v>
      </c>
      <c r="O6" s="7" t="n">
        <v>906.1</v>
      </c>
      <c r="P6" s="9" t="n">
        <f aca="false">O6-N6</f>
        <v>0.300000000000068</v>
      </c>
      <c r="R6" s="5"/>
      <c r="S6" s="11" t="s">
        <v>17</v>
      </c>
      <c r="T6" s="12" t="n">
        <v>0.101</v>
      </c>
      <c r="U6" s="8" t="n">
        <f aca="false">AVERAGE(T6:T8)-$R$12</f>
        <v>0.0843333333333333</v>
      </c>
      <c r="V6" s="13" t="n">
        <v>905.9</v>
      </c>
      <c r="W6" s="13" t="n">
        <v>906.2</v>
      </c>
      <c r="X6" s="14" t="n">
        <f aca="false">W6-V6</f>
        <v>0.300000000000068</v>
      </c>
      <c r="Z6" s="5"/>
      <c r="AA6" s="15" t="s">
        <v>18</v>
      </c>
      <c r="AB6" s="12" t="n">
        <v>0.19</v>
      </c>
      <c r="AC6" s="8" t="n">
        <f aca="false">AVERAGE(AB6:AB8)-$Z$12</f>
        <v>0.149333333333333</v>
      </c>
      <c r="AD6" s="13" t="n">
        <v>905.7</v>
      </c>
      <c r="AE6" s="13" t="n">
        <v>907.6</v>
      </c>
      <c r="AF6" s="14" t="n">
        <f aca="false">AE6-AD6</f>
        <v>1.89999999999998</v>
      </c>
      <c r="AH6" s="5"/>
      <c r="AI6" s="16" t="s">
        <v>19</v>
      </c>
      <c r="AJ6" s="7" t="n">
        <v>0.048</v>
      </c>
      <c r="AK6" s="8" t="n">
        <f aca="false">AVERAGE(AJ6:AJ8)-$AH$12</f>
        <v>0.01</v>
      </c>
      <c r="AL6" s="7" t="n">
        <v>907.5</v>
      </c>
      <c r="AM6" s="7" t="n">
        <v>907.4</v>
      </c>
      <c r="AN6" s="9" t="n">
        <f aca="false">AM6-AL6</f>
        <v>-0.100000000000023</v>
      </c>
    </row>
    <row r="7" customFormat="false" ht="15" hidden="false" customHeight="false" outlineLevel="0" collapsed="false">
      <c r="B7" s="5"/>
      <c r="C7" s="6"/>
      <c r="D7" s="7" t="n">
        <v>0.16</v>
      </c>
      <c r="E7" s="17" t="n">
        <f aca="false">E6/(2/10^10)</f>
        <v>603333333.333333</v>
      </c>
      <c r="F7" s="7"/>
      <c r="G7" s="7"/>
      <c r="H7" s="9"/>
      <c r="J7" s="5"/>
      <c r="K7" s="10"/>
      <c r="L7" s="7" t="n">
        <v>0.116</v>
      </c>
      <c r="M7" s="17" t="n">
        <f aca="false">M6/(2/10^10)</f>
        <v>378333333.333333</v>
      </c>
      <c r="N7" s="7"/>
      <c r="O7" s="7"/>
      <c r="P7" s="9"/>
      <c r="R7" s="5"/>
      <c r="S7" s="11"/>
      <c r="T7" s="12" t="n">
        <v>0.134</v>
      </c>
      <c r="U7" s="17" t="n">
        <f aca="false">U6/(3/10^10)</f>
        <v>281111111.111111</v>
      </c>
      <c r="V7" s="13"/>
      <c r="W7" s="13"/>
      <c r="X7" s="14"/>
      <c r="Z7" s="5"/>
      <c r="AA7" s="15"/>
      <c r="AB7" s="12" t="n">
        <v>0.189</v>
      </c>
      <c r="AC7" s="17" t="n">
        <f aca="false">AC6/(4/10^11)</f>
        <v>3733333333.33333</v>
      </c>
      <c r="AD7" s="13"/>
      <c r="AE7" s="13"/>
      <c r="AF7" s="14"/>
      <c r="AH7" s="5"/>
      <c r="AI7" s="16"/>
      <c r="AJ7" s="7" t="n">
        <v>0.048</v>
      </c>
      <c r="AK7" s="17" t="n">
        <f aca="false">AK6/(4/10^11)</f>
        <v>250000000</v>
      </c>
      <c r="AL7" s="7"/>
      <c r="AM7" s="7"/>
      <c r="AN7" s="9"/>
      <c r="AO7" s="0" t="n">
        <v>0.1</v>
      </c>
    </row>
    <row r="8" customFormat="false" ht="15" hidden="false" customHeight="false" outlineLevel="0" collapsed="false">
      <c r="B8" s="5"/>
      <c r="C8" s="6"/>
      <c r="D8" s="7" t="n">
        <v>0.161</v>
      </c>
      <c r="E8" s="17" t="n">
        <f aca="false">E7*10</f>
        <v>6033333333.33333</v>
      </c>
      <c r="F8" s="7"/>
      <c r="G8" s="7"/>
      <c r="H8" s="9"/>
      <c r="J8" s="5"/>
      <c r="K8" s="10"/>
      <c r="L8" s="7" t="n">
        <v>0.115</v>
      </c>
      <c r="M8" s="17" t="n">
        <f aca="false">M7*10</f>
        <v>3783333333.33333</v>
      </c>
      <c r="N8" s="7"/>
      <c r="O8" s="7"/>
      <c r="P8" s="9"/>
      <c r="R8" s="5"/>
      <c r="S8" s="11"/>
      <c r="T8" s="12" t="n">
        <v>0.133</v>
      </c>
      <c r="U8" s="17" t="n">
        <f aca="false">U7*10</f>
        <v>2811111111.11111</v>
      </c>
      <c r="V8" s="13"/>
      <c r="W8" s="13"/>
      <c r="X8" s="14"/>
      <c r="Z8" s="5"/>
      <c r="AA8" s="15"/>
      <c r="AB8" s="12" t="n">
        <v>0.191</v>
      </c>
      <c r="AC8" s="17" t="n">
        <f aca="false">AC7*10</f>
        <v>37333333333.3333</v>
      </c>
      <c r="AD8" s="13"/>
      <c r="AE8" s="13"/>
      <c r="AF8" s="14"/>
      <c r="AH8" s="5"/>
      <c r="AI8" s="16"/>
      <c r="AJ8" s="7" t="n">
        <v>0.049</v>
      </c>
      <c r="AK8" s="17" t="n">
        <f aca="false">AK7*10</f>
        <v>2500000000</v>
      </c>
      <c r="AL8" s="7"/>
      <c r="AM8" s="7"/>
      <c r="AN8" s="9"/>
    </row>
    <row r="9" customFormat="false" ht="15" hidden="false" customHeight="true" outlineLevel="0" collapsed="false">
      <c r="B9" s="5"/>
      <c r="C9" s="6" t="s">
        <v>20</v>
      </c>
      <c r="D9" s="7" t="n">
        <v>0.243</v>
      </c>
      <c r="E9" s="8" t="n">
        <f aca="false">AVERAGE(D9:D11)-$B$12</f>
        <v>0.204666666666667</v>
      </c>
      <c r="F9" s="18" t="n">
        <v>908.5</v>
      </c>
      <c r="G9" s="18" t="n">
        <v>909.6</v>
      </c>
      <c r="H9" s="19" t="n">
        <f aca="false">G9-F9</f>
        <v>1.10000000000002</v>
      </c>
      <c r="J9" s="5"/>
      <c r="K9" s="10" t="s">
        <v>21</v>
      </c>
      <c r="L9" s="7" t="n">
        <v>0.122</v>
      </c>
      <c r="M9" s="8" t="n">
        <f aca="false">AVERAGE(L9:L11)-$J$12</f>
        <v>0.0833333333333333</v>
      </c>
      <c r="N9" s="18" t="n">
        <v>909.6</v>
      </c>
      <c r="O9" s="18" t="n">
        <v>909.9</v>
      </c>
      <c r="P9" s="19" t="n">
        <f aca="false">O9-N9</f>
        <v>0.299999999999955</v>
      </c>
      <c r="R9" s="5"/>
      <c r="S9" s="11" t="s">
        <v>22</v>
      </c>
      <c r="T9" s="12" t="n">
        <v>0.109</v>
      </c>
      <c r="U9" s="8" t="n">
        <f aca="false">AVERAGE(T9:T11)-$R$12</f>
        <v>0.0663333333333333</v>
      </c>
      <c r="V9" s="20" t="n">
        <v>908.1</v>
      </c>
      <c r="W9" s="20" t="n">
        <v>908.2</v>
      </c>
      <c r="X9" s="21" t="n">
        <f aca="false">W9-V9</f>
        <v>0.100000000000023</v>
      </c>
      <c r="Z9" s="5"/>
      <c r="AA9" s="15" t="s">
        <v>23</v>
      </c>
      <c r="AB9" s="12" t="n">
        <v>0.191</v>
      </c>
      <c r="AC9" s="8" t="n">
        <f aca="false">AVERAGE(AB9:AB11)-$Z$12</f>
        <v>0.150666666666667</v>
      </c>
      <c r="AD9" s="20" t="n">
        <v>908.1</v>
      </c>
      <c r="AE9" s="20" t="n">
        <v>909.8</v>
      </c>
      <c r="AF9" s="21" t="n">
        <f aca="false">AE9-AD9</f>
        <v>1.69999999999993</v>
      </c>
      <c r="AH9" s="5"/>
      <c r="AI9" s="16" t="s">
        <v>24</v>
      </c>
      <c r="AJ9" s="7" t="n">
        <v>0.05</v>
      </c>
      <c r="AK9" s="8" t="n">
        <f aca="false">AVERAGE(AJ9:AJ11)-$AH$12</f>
        <v>0.0123333333333333</v>
      </c>
      <c r="AL9" s="18" t="n">
        <v>905</v>
      </c>
      <c r="AM9" s="18" t="n">
        <v>905</v>
      </c>
      <c r="AN9" s="19" t="n">
        <f aca="false">AM9-AL9</f>
        <v>0</v>
      </c>
    </row>
    <row r="10" customFormat="false" ht="15" hidden="false" customHeight="false" outlineLevel="0" collapsed="false">
      <c r="B10" s="5"/>
      <c r="C10" s="6"/>
      <c r="D10" s="7" t="n">
        <v>0.243</v>
      </c>
      <c r="E10" s="17" t="n">
        <f aca="false">E9/(2/10^10)</f>
        <v>1023333333.33333</v>
      </c>
      <c r="F10" s="18"/>
      <c r="G10" s="18"/>
      <c r="H10" s="19"/>
      <c r="J10" s="5"/>
      <c r="K10" s="10"/>
      <c r="L10" s="7" t="n">
        <v>0.121</v>
      </c>
      <c r="M10" s="17" t="n">
        <f aca="false">M9/(2/10^10)</f>
        <v>416666666.666667</v>
      </c>
      <c r="N10" s="18"/>
      <c r="O10" s="18"/>
      <c r="P10" s="19"/>
      <c r="R10" s="5"/>
      <c r="S10" s="11"/>
      <c r="T10" s="12" t="n">
        <v>0.104</v>
      </c>
      <c r="U10" s="17" t="n">
        <f aca="false">U9/(3/10^10)</f>
        <v>221111111.111111</v>
      </c>
      <c r="V10" s="20"/>
      <c r="W10" s="20"/>
      <c r="X10" s="21"/>
      <c r="Z10" s="5"/>
      <c r="AA10" s="15"/>
      <c r="AB10" s="12" t="n">
        <v>0.19</v>
      </c>
      <c r="AC10" s="17" t="n">
        <f aca="false">AC9/(4/10^11)</f>
        <v>3766666666.66667</v>
      </c>
      <c r="AD10" s="20"/>
      <c r="AE10" s="20"/>
      <c r="AF10" s="21"/>
      <c r="AH10" s="5"/>
      <c r="AI10" s="16"/>
      <c r="AJ10" s="7" t="n">
        <v>0.051</v>
      </c>
      <c r="AK10" s="17" t="n">
        <f aca="false">AK9/(4/10^11)</f>
        <v>308333333.333333</v>
      </c>
      <c r="AL10" s="18"/>
      <c r="AM10" s="18"/>
      <c r="AN10" s="19"/>
      <c r="AO10" s="0" t="n">
        <v>0.15</v>
      </c>
    </row>
    <row r="11" customFormat="false" ht="16" hidden="false" customHeight="false" outlineLevel="0" collapsed="false">
      <c r="B11" s="5"/>
      <c r="C11" s="6"/>
      <c r="D11" s="18" t="n">
        <v>0.244</v>
      </c>
      <c r="E11" s="17" t="n">
        <f aca="false">E10*10</f>
        <v>10233333333.3333</v>
      </c>
      <c r="F11" s="18"/>
      <c r="G11" s="18"/>
      <c r="H11" s="19"/>
      <c r="J11" s="5"/>
      <c r="K11" s="10"/>
      <c r="L11" s="18" t="n">
        <v>0.125</v>
      </c>
      <c r="M11" s="17" t="n">
        <f aca="false">M10*10</f>
        <v>4166666666.66667</v>
      </c>
      <c r="N11" s="18"/>
      <c r="O11" s="18"/>
      <c r="P11" s="19"/>
      <c r="R11" s="5"/>
      <c r="S11" s="11"/>
      <c r="T11" s="22" t="n">
        <v>0.101</v>
      </c>
      <c r="U11" s="17" t="n">
        <f aca="false">U10*10</f>
        <v>2211111111.11111</v>
      </c>
      <c r="V11" s="20"/>
      <c r="W11" s="20"/>
      <c r="X11" s="21"/>
      <c r="Z11" s="5"/>
      <c r="AA11" s="15"/>
      <c r="AB11" s="22" t="n">
        <v>0.193</v>
      </c>
      <c r="AC11" s="17" t="n">
        <f aca="false">AC10*10</f>
        <v>37666666666.6667</v>
      </c>
      <c r="AD11" s="20"/>
      <c r="AE11" s="20"/>
      <c r="AF11" s="21"/>
      <c r="AH11" s="5"/>
      <c r="AI11" s="16"/>
      <c r="AJ11" s="18" t="n">
        <v>0.051</v>
      </c>
      <c r="AK11" s="17" t="n">
        <f aca="false">AK10*10</f>
        <v>3083333333.33333</v>
      </c>
      <c r="AL11" s="18"/>
      <c r="AM11" s="18"/>
      <c r="AN11" s="19"/>
    </row>
    <row r="12" customFormat="false" ht="15" hidden="false" customHeight="false" outlineLevel="0" collapsed="false">
      <c r="B12" s="23" t="n">
        <f aca="false">(0.039+0.039+0.038)/3</f>
        <v>0.0386666666666667</v>
      </c>
      <c r="C12" s="24"/>
      <c r="D12" s="23"/>
      <c r="E12" s="23"/>
      <c r="F12" s="24"/>
      <c r="G12" s="24"/>
      <c r="H12" s="24"/>
      <c r="J12" s="23" t="n">
        <f aca="false">(0.04+0.039+0.039)/3</f>
        <v>0.0393333333333333</v>
      </c>
      <c r="K12" s="24"/>
      <c r="L12" s="23"/>
      <c r="M12" s="24"/>
      <c r="N12" s="24"/>
      <c r="O12" s="24"/>
      <c r="R12" s="25" t="n">
        <f aca="false">(0.038+0.039+0.038)/3</f>
        <v>0.0383333333333333</v>
      </c>
      <c r="Z12" s="25" t="n">
        <f aca="false">(0.041+0.041+0.04)/3</f>
        <v>0.0406666666666667</v>
      </c>
      <c r="AH12" s="23" t="n">
        <f aca="false">(0.038+0.038+0.039)/3</f>
        <v>0.0383333333333333</v>
      </c>
      <c r="AI12" s="24"/>
      <c r="AJ12" s="23"/>
      <c r="AK12" s="24"/>
      <c r="AL12" s="24"/>
      <c r="AM12" s="24"/>
    </row>
    <row r="13" customFormat="false" ht="15" hidden="false" customHeight="false" outlineLevel="0" collapsed="false">
      <c r="B13" s="24"/>
      <c r="C13" s="24"/>
      <c r="D13" s="23"/>
      <c r="E13" s="23"/>
      <c r="F13" s="24"/>
      <c r="G13" s="24"/>
      <c r="H13" s="24"/>
      <c r="J13" s="24"/>
      <c r="K13" s="24"/>
      <c r="L13" s="23"/>
      <c r="M13" s="24"/>
      <c r="N13" s="24"/>
      <c r="O13" s="24"/>
      <c r="AH13" s="24"/>
      <c r="AI13" s="24"/>
      <c r="AJ13" s="23"/>
      <c r="AK13" s="24"/>
      <c r="AL13" s="24"/>
      <c r="AM13" s="24"/>
    </row>
    <row r="14" customFormat="false" ht="15" hidden="false" customHeight="false" outlineLevel="0" collapsed="false">
      <c r="B14" s="24"/>
      <c r="C14" s="24"/>
      <c r="D14" s="23"/>
      <c r="E14" s="23"/>
      <c r="F14" s="24"/>
      <c r="G14" s="24"/>
      <c r="H14" s="24"/>
      <c r="J14" s="24"/>
      <c r="K14" s="24"/>
      <c r="L14" s="23"/>
      <c r="M14" s="24"/>
      <c r="N14" s="24"/>
      <c r="O14" s="24"/>
      <c r="AH14" s="24"/>
      <c r="AI14" s="24"/>
      <c r="AJ14" s="23"/>
      <c r="AK14" s="24"/>
      <c r="AL14" s="24"/>
      <c r="AM14" s="24"/>
    </row>
    <row r="16" customFormat="false" ht="17" hidden="false" customHeight="false" outlineLevel="0" collapsed="false">
      <c r="AK16" s="24" t="s">
        <v>25</v>
      </c>
      <c r="AL16" s="24" t="s">
        <v>26</v>
      </c>
      <c r="AM16" s="24" t="s">
        <v>27</v>
      </c>
      <c r="AN16" s="24" t="s">
        <v>28</v>
      </c>
      <c r="AO16" s="24" t="s">
        <v>27</v>
      </c>
      <c r="AP16" s="24"/>
      <c r="AQ16" s="24"/>
    </row>
    <row r="17" customFormat="false" ht="16" hidden="false" customHeight="false" outlineLevel="0" collapsed="false">
      <c r="B17" s="26"/>
      <c r="C17" s="27"/>
      <c r="D17" s="28"/>
      <c r="E17" s="29" t="s">
        <v>26</v>
      </c>
      <c r="F17" s="29"/>
      <c r="G17" s="29"/>
      <c r="H17" s="29"/>
      <c r="I17" s="29"/>
      <c r="J17" s="29"/>
      <c r="K17" s="29"/>
      <c r="L17" s="29"/>
      <c r="S17" s="30" t="s">
        <v>25</v>
      </c>
      <c r="T17" s="30"/>
      <c r="U17" s="30"/>
      <c r="V17" s="30"/>
      <c r="W17" s="30"/>
      <c r="X17" s="30"/>
      <c r="Y17" s="30"/>
      <c r="Z17" s="30"/>
      <c r="AA17" s="31" t="s">
        <v>29</v>
      </c>
      <c r="AB17" s="31"/>
      <c r="AC17" s="31"/>
      <c r="AD17" s="31"/>
      <c r="AE17" s="31"/>
      <c r="AF17" s="31"/>
      <c r="AG17" s="31"/>
      <c r="AH17" s="31"/>
      <c r="AK17" s="0" t="s">
        <v>30</v>
      </c>
      <c r="AL17" s="32" t="n">
        <f aca="false">W19</f>
        <v>43.8674734492771</v>
      </c>
      <c r="AM17" s="32" t="n">
        <f aca="false">Y19</f>
        <v>6.68414497106445</v>
      </c>
      <c r="AN17" s="33" t="n">
        <f aca="false">W45</f>
        <v>10.2578413401881</v>
      </c>
      <c r="AO17" s="33" t="n">
        <f aca="false">Y45</f>
        <v>1.61195361497635</v>
      </c>
    </row>
    <row r="18" s="24" customFormat="true" ht="49" hidden="false" customHeight="false" outlineLevel="0" collapsed="false">
      <c r="B18" s="34" t="s">
        <v>31</v>
      </c>
      <c r="C18" s="7" t="s">
        <v>32</v>
      </c>
      <c r="D18" s="35" t="s">
        <v>33</v>
      </c>
      <c r="E18" s="34" t="s">
        <v>34</v>
      </c>
      <c r="F18" s="7" t="s">
        <v>35</v>
      </c>
      <c r="G18" s="7" t="s">
        <v>36</v>
      </c>
      <c r="H18" s="7" t="s">
        <v>37</v>
      </c>
      <c r="I18" s="36" t="s">
        <v>38</v>
      </c>
      <c r="J18" s="7" t="s">
        <v>39</v>
      </c>
      <c r="K18" s="7" t="s">
        <v>40</v>
      </c>
      <c r="L18" s="35" t="s">
        <v>41</v>
      </c>
      <c r="M18" s="37" t="s">
        <v>42</v>
      </c>
      <c r="N18" s="38" t="s">
        <v>43</v>
      </c>
      <c r="O18" s="38" t="s">
        <v>44</v>
      </c>
      <c r="P18" s="38" t="s">
        <v>45</v>
      </c>
      <c r="Q18" s="38" t="s">
        <v>25</v>
      </c>
      <c r="R18" s="38" t="s">
        <v>29</v>
      </c>
      <c r="S18" s="39" t="s">
        <v>46</v>
      </c>
      <c r="T18" s="38" t="s">
        <v>47</v>
      </c>
      <c r="U18" s="38" t="s">
        <v>48</v>
      </c>
      <c r="V18" s="38" t="s">
        <v>27</v>
      </c>
      <c r="W18" s="38" t="s">
        <v>49</v>
      </c>
      <c r="X18" s="38" t="s">
        <v>50</v>
      </c>
      <c r="Y18" s="38" t="s">
        <v>51</v>
      </c>
      <c r="Z18" s="40" t="s">
        <v>48</v>
      </c>
      <c r="AA18" s="41" t="s">
        <v>46</v>
      </c>
      <c r="AB18" s="38" t="s">
        <v>47</v>
      </c>
      <c r="AC18" s="38" t="s">
        <v>48</v>
      </c>
      <c r="AD18" s="38" t="s">
        <v>27</v>
      </c>
      <c r="AE18" s="38" t="s">
        <v>49</v>
      </c>
      <c r="AF18" s="38" t="s">
        <v>52</v>
      </c>
      <c r="AG18" s="38" t="s">
        <v>53</v>
      </c>
      <c r="AH18" s="40" t="s">
        <v>48</v>
      </c>
      <c r="AK18" s="24" t="s">
        <v>54</v>
      </c>
      <c r="AL18" s="42" t="n">
        <f aca="false">W25</f>
        <v>35.5793710744397</v>
      </c>
      <c r="AM18" s="42" t="n">
        <f aca="false">Y25</f>
        <v>3.06106941539731</v>
      </c>
      <c r="AN18" s="43" t="n">
        <f aca="false">W51</f>
        <v>3.84900115932533</v>
      </c>
      <c r="AO18" s="43" t="n">
        <f aca="false">Y51</f>
        <v>0.207841421270584</v>
      </c>
    </row>
    <row r="19" customFormat="false" ht="15" hidden="false" customHeight="false" outlineLevel="0" collapsed="false">
      <c r="B19" s="44" t="s">
        <v>55</v>
      </c>
      <c r="C19" s="45" t="s">
        <v>56</v>
      </c>
      <c r="D19" s="46" t="n">
        <v>0.144</v>
      </c>
      <c r="E19" s="47" t="n">
        <v>617.063</v>
      </c>
      <c r="F19" s="48" t="n">
        <v>51.788</v>
      </c>
      <c r="G19" s="48" t="n">
        <v>91.9</v>
      </c>
      <c r="H19" s="48" t="n">
        <v>89.4</v>
      </c>
      <c r="I19" s="49" t="n">
        <v>0.072</v>
      </c>
      <c r="J19" s="48" t="n">
        <v>49.7</v>
      </c>
      <c r="K19" s="48" t="n">
        <v>1</v>
      </c>
      <c r="L19" s="50" t="n">
        <v>1</v>
      </c>
      <c r="M19" s="51" t="n">
        <f aca="false">E4</f>
        <v>778333333.333333</v>
      </c>
      <c r="N19" s="52" t="n">
        <f aca="false">M19*10</f>
        <v>7783333333.33333</v>
      </c>
      <c r="O19" s="52" t="n">
        <f aca="false">(N19*D19)/H3</f>
        <v>1867999999.99993</v>
      </c>
      <c r="P19" s="53" t="n">
        <f aca="false">I19/O19</f>
        <v>3.85438972162755E-011</v>
      </c>
      <c r="Q19" s="53" t="n">
        <f aca="false">P19*10^12</f>
        <v>38.5438972162755</v>
      </c>
      <c r="R19" s="53" t="n">
        <f aca="false">I19/(D19/1000)</f>
        <v>500</v>
      </c>
      <c r="S19" s="54" t="n">
        <f aca="false">AVERAGE(Q19:Q20)</f>
        <v>38.5438972162755</v>
      </c>
      <c r="T19" s="12" t="n">
        <f aca="false">_xlfn.STDEV.S(Q19:Q20)</f>
        <v>0</v>
      </c>
      <c r="U19" s="12" t="n">
        <f aca="false">T19/S19*100</f>
        <v>0</v>
      </c>
      <c r="V19" s="12" t="n">
        <f aca="false">_xlfn.VAR.S(Q19:Q20)</f>
        <v>0</v>
      </c>
      <c r="W19" s="55" t="n">
        <f aca="false">AVERAGE(S19:S24)</f>
        <v>43.8674734492771</v>
      </c>
      <c r="X19" s="12" t="n">
        <f aca="false">(V19^2+V21^2+V23^2+(2*((S19-W19)^2))+(2*((S21-W19)^2))+(2*((S23-W19)^2)))/(6-1)</f>
        <v>44.6777939942061</v>
      </c>
      <c r="Y19" s="56" t="n">
        <f aca="false">SQRT(X19)</f>
        <v>6.68414497106445</v>
      </c>
      <c r="Z19" s="57" t="n">
        <f aca="false">Y19/W19*100</f>
        <v>15.23713231124</v>
      </c>
      <c r="AA19" s="58" t="n">
        <f aca="false">AVERAGE(R19:R20)</f>
        <v>500</v>
      </c>
      <c r="AB19" s="12" t="n">
        <f aca="false">_xlfn.STDEV.S(R19:R20)</f>
        <v>0</v>
      </c>
      <c r="AC19" s="12" t="n">
        <f aca="false">AB19/AA19*100</f>
        <v>0</v>
      </c>
      <c r="AD19" s="12" t="n">
        <f aca="false">_xlfn.VAR.S(R19:R20)</f>
        <v>0</v>
      </c>
      <c r="AE19" s="55" t="n">
        <f aca="false">AVERAGE(AA19:AA24)</f>
        <v>492.861220415918</v>
      </c>
      <c r="AF19" s="12" t="n">
        <f aca="false">(AD19^2+AD21^2+AD23^2+(2*((AA19-AE19)^2))+(2*((AA21-AE19)^2))+(2*((AA23-AE19)^2)))/(6-1)</f>
        <v>33513.6010866173</v>
      </c>
      <c r="AG19" s="56" t="n">
        <f aca="false">SQRT(AF19)</f>
        <v>183.067203743918</v>
      </c>
      <c r="AH19" s="57" t="n">
        <f aca="false">AG19/AE19*100</f>
        <v>37.1437630230739</v>
      </c>
      <c r="AK19" s="0" t="s">
        <v>57</v>
      </c>
      <c r="AL19" s="59" t="n">
        <f aca="false">W31</f>
        <v>40.9038965689578</v>
      </c>
      <c r="AM19" s="59" t="n">
        <f aca="false">Y31</f>
        <v>13.3179647024655</v>
      </c>
      <c r="AN19" s="60" t="n">
        <f aca="false">W57</f>
        <v>6.82574450634654</v>
      </c>
      <c r="AO19" s="60" t="n">
        <f aca="false">Y57</f>
        <v>1.31676325410826</v>
      </c>
      <c r="AY19" s="0" t="s">
        <v>58</v>
      </c>
      <c r="AZ19" s="0" t="s">
        <v>25</v>
      </c>
    </row>
    <row r="20" customFormat="false" ht="15" hidden="false" customHeight="false" outlineLevel="0" collapsed="false">
      <c r="B20" s="61" t="s">
        <v>55</v>
      </c>
      <c r="C20" s="62" t="s">
        <v>59</v>
      </c>
      <c r="D20" s="63" t="n">
        <v>0.144</v>
      </c>
      <c r="E20" s="34" t="n">
        <v>623.797</v>
      </c>
      <c r="F20" s="7" t="n">
        <v>52.012</v>
      </c>
      <c r="G20" s="7" t="n">
        <v>92.3</v>
      </c>
      <c r="H20" s="7" t="n">
        <v>89.7</v>
      </c>
      <c r="I20" s="36" t="n">
        <v>0.072</v>
      </c>
      <c r="J20" s="7" t="n">
        <v>50.2</v>
      </c>
      <c r="K20" s="7" t="n">
        <v>1</v>
      </c>
      <c r="L20" s="35" t="n">
        <v>1</v>
      </c>
      <c r="M20" s="51" t="n">
        <f aca="false">E4</f>
        <v>778333333.333333</v>
      </c>
      <c r="N20" s="52" t="n">
        <f aca="false">M20*10</f>
        <v>7783333333.33333</v>
      </c>
      <c r="O20" s="52" t="n">
        <f aca="false">(N20*D20)/H3</f>
        <v>1867999999.99993</v>
      </c>
      <c r="P20" s="53" t="n">
        <f aca="false">I20/O20</f>
        <v>3.85438972162755E-011</v>
      </c>
      <c r="Q20" s="53" t="n">
        <f aca="false">P20*10^12</f>
        <v>38.5438972162755</v>
      </c>
      <c r="R20" s="53" t="n">
        <f aca="false">I20/(D20/1000)</f>
        <v>500</v>
      </c>
      <c r="S20" s="54"/>
      <c r="T20" s="12"/>
      <c r="U20" s="12"/>
      <c r="V20" s="12"/>
      <c r="W20" s="12"/>
      <c r="X20" s="12"/>
      <c r="Y20" s="53"/>
      <c r="Z20" s="57"/>
      <c r="AA20" s="58"/>
      <c r="AB20" s="12"/>
      <c r="AC20" s="12"/>
      <c r="AD20" s="12"/>
      <c r="AE20" s="12"/>
      <c r="AF20" s="12"/>
      <c r="AG20" s="53"/>
      <c r="AH20" s="57"/>
      <c r="AK20" s="0" t="s">
        <v>60</v>
      </c>
      <c r="AL20" s="64" t="n">
        <f aca="false">W34</f>
        <v>21.3846415168251</v>
      </c>
      <c r="AM20" s="64" t="n">
        <f aca="false">Y34</f>
        <v>1.5705272672296</v>
      </c>
      <c r="AN20" s="65" t="n">
        <f aca="false">W66</f>
        <v>2.02735211582452</v>
      </c>
      <c r="AO20" s="65" t="n">
        <f aca="false">Y66</f>
        <v>0.725202772533319</v>
      </c>
      <c r="AX20" s="0" t="s">
        <v>61</v>
      </c>
      <c r="AY20" s="0" t="s">
        <v>62</v>
      </c>
      <c r="AZ20" s="0" t="n">
        <f aca="false">S19</f>
        <v>38.5438972162755</v>
      </c>
    </row>
    <row r="21" customFormat="false" ht="15" hidden="false" customHeight="false" outlineLevel="0" collapsed="false">
      <c r="B21" s="61" t="s">
        <v>55</v>
      </c>
      <c r="C21" s="62" t="s">
        <v>63</v>
      </c>
      <c r="D21" s="63" t="n">
        <v>0.146</v>
      </c>
      <c r="E21" s="24" t="n">
        <v>685.218</v>
      </c>
      <c r="F21" s="24" t="n">
        <v>52.933</v>
      </c>
      <c r="G21" s="24" t="n">
        <v>92.5</v>
      </c>
      <c r="H21" s="24" t="n">
        <v>90</v>
      </c>
      <c r="I21" s="66" t="n">
        <v>0.074</v>
      </c>
      <c r="J21" s="24" t="n">
        <v>50.4</v>
      </c>
      <c r="K21" s="24" t="n">
        <v>1</v>
      </c>
      <c r="L21" s="24" t="n">
        <v>1</v>
      </c>
      <c r="M21" s="51" t="n">
        <f aca="false">E7</f>
        <v>603333333.333333</v>
      </c>
      <c r="N21" s="52" t="n">
        <f aca="false">M21*10</f>
        <v>6033333333.33333</v>
      </c>
      <c r="O21" s="52" t="n">
        <f aca="false">(N21*D21)/H6</f>
        <v>1761733333.33333</v>
      </c>
      <c r="P21" s="53" t="n">
        <f aca="false">I21/O21</f>
        <v>4.20040868841293E-011</v>
      </c>
      <c r="Q21" s="53" t="n">
        <f aca="false">P21*10^12</f>
        <v>42.0040868841293</v>
      </c>
      <c r="R21" s="53" t="n">
        <f aca="false">I21/(D21/1000)</f>
        <v>506.849315068493</v>
      </c>
      <c r="S21" s="54" t="n">
        <f aca="false">AVERAGE(Q21:Q22)</f>
        <v>40.8365594275062</v>
      </c>
      <c r="T21" s="12" t="n">
        <f aca="false">_xlfn.STDEV.S(Q21:Q22)</f>
        <v>1.65113316359926</v>
      </c>
      <c r="U21" s="12" t="n">
        <f aca="false">T21/S21*100</f>
        <v>4.0432719767452</v>
      </c>
      <c r="V21" s="12" t="n">
        <f aca="false">_xlfn.VAR.S(Q21:Q22)</f>
        <v>2.7262407239373</v>
      </c>
      <c r="W21" s="12" t="n">
        <f aca="false">((Q21-S21)^2+(Q22-S21)^2)/1</f>
        <v>2.7262407239373</v>
      </c>
      <c r="X21" s="12"/>
      <c r="Y21" s="53"/>
      <c r="Z21" s="57"/>
      <c r="AA21" s="58" t="n">
        <f aca="false">AVERAGE(R21:R22)</f>
        <v>492.761150425242</v>
      </c>
      <c r="AB21" s="12" t="n">
        <f aca="false">_xlfn.STDEV.S(R21:R22)</f>
        <v>19.9236735074311</v>
      </c>
      <c r="AC21" s="12" t="n">
        <f aca="false">AB21/AA21*100</f>
        <v>4.04327197674521</v>
      </c>
      <c r="AD21" s="12" t="n">
        <f aca="false">_xlfn.VAR.S(R21:R22)</f>
        <v>396.952766030712</v>
      </c>
      <c r="AE21" s="12"/>
      <c r="AF21" s="12"/>
      <c r="AG21" s="53"/>
      <c r="AH21" s="57"/>
      <c r="AK21" s="0" t="s">
        <v>64</v>
      </c>
      <c r="AL21" s="65"/>
      <c r="AM21" s="65"/>
      <c r="AN21" s="65"/>
      <c r="AO21" s="65"/>
      <c r="AX21" s="0" t="s">
        <v>61</v>
      </c>
      <c r="AY21" s="0" t="s">
        <v>65</v>
      </c>
      <c r="AZ21" s="0" t="n">
        <f aca="false">S21</f>
        <v>40.8365594275062</v>
      </c>
      <c r="BA21" s="0" t="n">
        <f aca="false">AVERAGE(AZ20:AZ22)</f>
        <v>43.8674734492771</v>
      </c>
    </row>
    <row r="22" customFormat="false" ht="15" hidden="false" customHeight="false" outlineLevel="0" collapsed="false">
      <c r="B22" s="61" t="s">
        <v>55</v>
      </c>
      <c r="C22" s="62" t="s">
        <v>66</v>
      </c>
      <c r="D22" s="63" t="n">
        <v>0.211</v>
      </c>
      <c r="E22" s="67" t="n">
        <v>867.942</v>
      </c>
      <c r="F22" s="68" t="n">
        <v>71.973</v>
      </c>
      <c r="G22" s="68" t="n">
        <v>92.2</v>
      </c>
      <c r="H22" s="68" t="n">
        <v>89.5</v>
      </c>
      <c r="I22" s="69" t="n">
        <v>0.101</v>
      </c>
      <c r="J22" s="68" t="n">
        <v>47.9</v>
      </c>
      <c r="K22" s="68" t="n">
        <v>1</v>
      </c>
      <c r="L22" s="70" t="n">
        <v>1</v>
      </c>
      <c r="M22" s="51" t="n">
        <f aca="false">E7</f>
        <v>603333333.333333</v>
      </c>
      <c r="N22" s="52" t="n">
        <f aca="false">M22*10</f>
        <v>6033333333.33333</v>
      </c>
      <c r="O22" s="52" t="n">
        <f aca="false">(N22*D22)/H6</f>
        <v>2546066666.66667</v>
      </c>
      <c r="P22" s="53" t="n">
        <f aca="false">I22/O22</f>
        <v>3.96690319708832E-011</v>
      </c>
      <c r="Q22" s="53" t="n">
        <f aca="false">P22*10^12</f>
        <v>39.6690319708832</v>
      </c>
      <c r="R22" s="53" t="n">
        <f aca="false">I22/(D22/1000)</f>
        <v>478.67298578199</v>
      </c>
      <c r="S22" s="54"/>
      <c r="T22" s="12"/>
      <c r="U22" s="12"/>
      <c r="V22" s="12"/>
      <c r="W22" s="12"/>
      <c r="X22" s="12"/>
      <c r="Y22" s="53"/>
      <c r="Z22" s="57"/>
      <c r="AA22" s="58"/>
      <c r="AB22" s="12"/>
      <c r="AC22" s="12"/>
      <c r="AD22" s="12"/>
      <c r="AE22" s="12"/>
      <c r="AF22" s="12"/>
      <c r="AG22" s="53"/>
      <c r="AH22" s="57"/>
      <c r="AX22" s="0" t="s">
        <v>61</v>
      </c>
      <c r="AY22" s="0" t="s">
        <v>67</v>
      </c>
      <c r="AZ22" s="0" t="n">
        <f aca="false">S23</f>
        <v>52.2219637040495</v>
      </c>
    </row>
    <row r="23" customFormat="false" ht="16.25" hidden="false" customHeight="true" outlineLevel="0" collapsed="false">
      <c r="B23" s="61" t="s">
        <v>55</v>
      </c>
      <c r="C23" s="62" t="s">
        <v>68</v>
      </c>
      <c r="D23" s="63" t="n">
        <v>0.14</v>
      </c>
      <c r="E23" s="67" t="n">
        <v>592.085</v>
      </c>
      <c r="F23" s="68" t="n">
        <v>49.069</v>
      </c>
      <c r="G23" s="68" t="n">
        <v>92.3</v>
      </c>
      <c r="H23" s="68" t="n">
        <v>89.7</v>
      </c>
      <c r="I23" s="69" t="n">
        <v>0.069</v>
      </c>
      <c r="J23" s="68" t="n">
        <v>49</v>
      </c>
      <c r="K23" s="68" t="n">
        <v>1</v>
      </c>
      <c r="L23" s="70" t="n">
        <v>1</v>
      </c>
      <c r="M23" s="51" t="n">
        <f aca="false">E10</f>
        <v>1023333333.33333</v>
      </c>
      <c r="N23" s="52" t="n">
        <f aca="false">M23*10</f>
        <v>10233333333.3333</v>
      </c>
      <c r="O23" s="52" t="n">
        <f aca="false">(N23*D23)/H9</f>
        <v>1302424242.42422</v>
      </c>
      <c r="P23" s="53" t="n">
        <f aca="false">I23/O23</f>
        <v>5.29781293624953E-011</v>
      </c>
      <c r="Q23" s="53" t="n">
        <f aca="false">P23*10^12</f>
        <v>52.9781293624953</v>
      </c>
      <c r="R23" s="53" t="n">
        <f aca="false">I23/(D23/1000)</f>
        <v>492.857142857143</v>
      </c>
      <c r="S23" s="54" t="n">
        <f aca="false">AVERAGE(Q23:Q24)</f>
        <v>52.2219637040495</v>
      </c>
      <c r="T23" s="12" t="n">
        <f aca="false">_xlfn.STDEV.S(Q23:Q24)</f>
        <v>1.06937972957484</v>
      </c>
      <c r="U23" s="12" t="n">
        <f aca="false">T23/S23*100</f>
        <v>2.04775855545225</v>
      </c>
      <c r="V23" s="12" t="n">
        <f aca="false">_xlfn.VAR.S(Q23:Q24)</f>
        <v>1.14357300602556</v>
      </c>
      <c r="W23" s="12"/>
      <c r="X23" s="12"/>
      <c r="Y23" s="53"/>
      <c r="Z23" s="57"/>
      <c r="AA23" s="58" t="n">
        <f aca="false">AVERAGE(R23:R24)</f>
        <v>485.822510822511</v>
      </c>
      <c r="AB23" s="12" t="n">
        <f aca="false">_xlfn.STDEV.S(R23:R24)</f>
        <v>9.94847202968083</v>
      </c>
      <c r="AC23" s="12" t="n">
        <f aca="false">AB23/AA23*100</f>
        <v>2.04775855545224</v>
      </c>
      <c r="AD23" s="12" t="n">
        <f aca="false">_xlfn.VAR.S(R23:R24)</f>
        <v>98.9720957253418</v>
      </c>
      <c r="AE23" s="12"/>
      <c r="AF23" s="12"/>
      <c r="AG23" s="53"/>
      <c r="AH23" s="57"/>
      <c r="AK23" s="24" t="s">
        <v>29</v>
      </c>
      <c r="AL23" s="24" t="s">
        <v>26</v>
      </c>
      <c r="AM23" s="24" t="s">
        <v>27</v>
      </c>
      <c r="AN23" s="24" t="s">
        <v>28</v>
      </c>
      <c r="AO23" s="24" t="s">
        <v>27</v>
      </c>
      <c r="AP23" s="0" t="s">
        <v>69</v>
      </c>
      <c r="AX23" s="0" t="s">
        <v>61</v>
      </c>
      <c r="AY23" s="0" t="s">
        <v>70</v>
      </c>
      <c r="AZ23" s="0" t="n">
        <f aca="false">S25</f>
        <v>39.2249839017613</v>
      </c>
    </row>
    <row r="24" customFormat="false" ht="16" hidden="false" customHeight="false" outlineLevel="0" collapsed="false">
      <c r="B24" s="71" t="s">
        <v>55</v>
      </c>
      <c r="C24" s="72" t="s">
        <v>71</v>
      </c>
      <c r="D24" s="73" t="n">
        <v>0.165</v>
      </c>
      <c r="E24" s="74" t="n">
        <v>682.684</v>
      </c>
      <c r="F24" s="75" t="n">
        <v>57.063</v>
      </c>
      <c r="G24" s="75" t="n">
        <v>91.6</v>
      </c>
      <c r="H24" s="75" t="n">
        <v>89.3</v>
      </c>
      <c r="I24" s="76" t="n">
        <v>0.079</v>
      </c>
      <c r="J24" s="75" t="n">
        <v>48</v>
      </c>
      <c r="K24" s="75" t="n">
        <v>1</v>
      </c>
      <c r="L24" s="77" t="n">
        <v>1</v>
      </c>
      <c r="M24" s="78" t="n">
        <f aca="false">E10</f>
        <v>1023333333.33333</v>
      </c>
      <c r="N24" s="79" t="n">
        <f aca="false">M24*10</f>
        <v>10233333333.3333</v>
      </c>
      <c r="O24" s="79" t="n">
        <f aca="false">(N24*D24)/H9</f>
        <v>1534999999.99997</v>
      </c>
      <c r="P24" s="80" t="n">
        <f aca="false">I24/O24</f>
        <v>5.14657980456037E-011</v>
      </c>
      <c r="Q24" s="80" t="n">
        <f aca="false">P24*10^12</f>
        <v>51.4657980456037</v>
      </c>
      <c r="R24" s="53" t="n">
        <f aca="false">I24/(D24/1000)</f>
        <v>478.787878787879</v>
      </c>
      <c r="S24" s="54"/>
      <c r="T24" s="12"/>
      <c r="U24" s="12"/>
      <c r="V24" s="12"/>
      <c r="W24" s="12"/>
      <c r="X24" s="12"/>
      <c r="Y24" s="53"/>
      <c r="Z24" s="57"/>
      <c r="AA24" s="58"/>
      <c r="AB24" s="12"/>
      <c r="AC24" s="12"/>
      <c r="AD24" s="12"/>
      <c r="AE24" s="12"/>
      <c r="AF24" s="12"/>
      <c r="AG24" s="53"/>
      <c r="AH24" s="57"/>
      <c r="AK24" s="0" t="s">
        <v>30</v>
      </c>
      <c r="AL24" s="32" t="n">
        <f aca="false">AE19</f>
        <v>492.861220415918</v>
      </c>
      <c r="AM24" s="32" t="n">
        <f aca="false">AG25</f>
        <v>64.6633821908869</v>
      </c>
      <c r="AN24" s="81" t="n">
        <f aca="false">AE45</f>
        <v>115.165239341536</v>
      </c>
      <c r="AO24" s="33" t="n">
        <f aca="false">AG45</f>
        <v>12.5902374222005</v>
      </c>
      <c r="AP24" s="0" t="n">
        <f aca="false">AL24/12</f>
        <v>41.0717683679931</v>
      </c>
      <c r="AQ24" s="0" t="n">
        <f aca="false">AN24/14</f>
        <v>8.22608852439544</v>
      </c>
      <c r="AR24" s="0" t="n">
        <f aca="false">AP24/AQ24</f>
        <v>4.99286729606543</v>
      </c>
      <c r="AS24" s="0" t="n">
        <f aca="false">AL24/AN24</f>
        <v>4.27960053948465</v>
      </c>
      <c r="AT24" s="0" t="n">
        <f aca="false">AL17/AN17</f>
        <v>4.27648196091836</v>
      </c>
      <c r="AX24" s="0" t="s">
        <v>61</v>
      </c>
      <c r="AY24" s="0" t="s">
        <v>72</v>
      </c>
      <c r="AZ24" s="0" t="n">
        <f aca="false">S27</f>
        <v>34.9902235624005</v>
      </c>
      <c r="BA24" s="0" t="n">
        <f aca="false">AVERAGE(AZ23:AZ25)</f>
        <v>35.5793710744397</v>
      </c>
    </row>
    <row r="25" customFormat="false" ht="15" hidden="false" customHeight="false" outlineLevel="0" collapsed="false">
      <c r="B25" s="82" t="s">
        <v>73</v>
      </c>
      <c r="C25" s="83" t="s">
        <v>56</v>
      </c>
      <c r="D25" s="46" t="n">
        <v>0.242</v>
      </c>
      <c r="E25" s="84" t="n">
        <v>915.205</v>
      </c>
      <c r="F25" s="85" t="n">
        <v>74.598</v>
      </c>
      <c r="G25" s="85" t="n">
        <v>96.4</v>
      </c>
      <c r="H25" s="85" t="n">
        <v>95.2</v>
      </c>
      <c r="I25" s="86" t="n">
        <v>0.107</v>
      </c>
      <c r="J25" s="85" t="n">
        <v>44.1</v>
      </c>
      <c r="K25" s="48" t="n">
        <v>1</v>
      </c>
      <c r="L25" s="50" t="n">
        <v>1</v>
      </c>
      <c r="M25" s="87" t="n">
        <f aca="false">M4</f>
        <v>456666666.666667</v>
      </c>
      <c r="N25" s="52" t="n">
        <f aca="false">M25*10</f>
        <v>4566666666.66667</v>
      </c>
      <c r="O25" s="52" t="n">
        <f aca="false">(N25*D25)/P3</f>
        <v>2762833333.33349</v>
      </c>
      <c r="P25" s="88" t="n">
        <f aca="false">I25/O25</f>
        <v>3.87283585690996E-011</v>
      </c>
      <c r="Q25" s="88" t="n">
        <f aca="false">P25*10^12</f>
        <v>38.7283585690996</v>
      </c>
      <c r="R25" s="53" t="n">
        <f aca="false">I25/(D25/1000)</f>
        <v>442.148760330579</v>
      </c>
      <c r="S25" s="54" t="n">
        <f aca="false">AVERAGE(Q25:Q26)</f>
        <v>39.2249839017613</v>
      </c>
      <c r="T25" s="12" t="n">
        <f aca="false">_xlfn.STDEV.S(Q25:Q26)</f>
        <v>0.702334280868348</v>
      </c>
      <c r="U25" s="12" t="n">
        <f aca="false">T25/S25*100</f>
        <v>1.79052790085864</v>
      </c>
      <c r="V25" s="12" t="n">
        <f aca="false">_xlfn.VAR.S(Q25:Q26)</f>
        <v>0.493273442082859</v>
      </c>
      <c r="W25" s="89" t="n">
        <f aca="false">AVERAGE(S25:S30)</f>
        <v>35.5793710744397</v>
      </c>
      <c r="X25" s="12" t="n">
        <f aca="false">(V25^2+V27^2+V29^2+(2*((S25-W25)^2))+(2*((S27-W25)^2))+(2*((S29-W25)^2)))/(6-1)</f>
        <v>9.3701459658808</v>
      </c>
      <c r="Y25" s="90" t="n">
        <f aca="false">SQRT(X25)</f>
        <v>3.06106941539731</v>
      </c>
      <c r="Z25" s="57" t="n">
        <f aca="false">Y25/W25*100</f>
        <v>8.60349501117624</v>
      </c>
      <c r="AA25" s="58" t="n">
        <f aca="false">AVERAGE(R25:R26)</f>
        <v>447.818566211801</v>
      </c>
      <c r="AB25" s="12" t="n">
        <f aca="false">_xlfn.STDEV.S(R25:R26)</f>
        <v>8.01831637324746</v>
      </c>
      <c r="AC25" s="12" t="n">
        <f aca="false">AB25/AA25*100</f>
        <v>1.79052790085865</v>
      </c>
      <c r="AD25" s="12" t="n">
        <f aca="false">_xlfn.VAR.S(R25:R26)</f>
        <v>64.2933974614883</v>
      </c>
      <c r="AE25" s="89" t="n">
        <f aca="false">AVERAGE(AA25:AA30)</f>
        <v>446.930395930854</v>
      </c>
      <c r="AF25" s="12" t="n">
        <f aca="false">(AD25^2+AD27^2+AD29^2+(2*((AA25-AE25)^2))+(2*((AA27-AE25)^2))+(2*((AA29-AE25)^2)))/(6-1)</f>
        <v>4181.35299636471</v>
      </c>
      <c r="AG25" s="90" t="n">
        <f aca="false">SQRT(AF25)</f>
        <v>64.6633821908869</v>
      </c>
      <c r="AH25" s="57" t="n">
        <f aca="false">AG25/AE25*100</f>
        <v>14.4683339463202</v>
      </c>
      <c r="AK25" s="0" t="s">
        <v>54</v>
      </c>
      <c r="AL25" s="42" t="n">
        <f aca="false">AE25</f>
        <v>446.930395930854</v>
      </c>
      <c r="AM25" s="42" t="n">
        <f aca="false">AG25</f>
        <v>64.6633821908869</v>
      </c>
      <c r="AN25" s="91" t="n">
        <f aca="false">AE51</f>
        <v>48.1721419749188</v>
      </c>
      <c r="AO25" s="43" t="n">
        <f aca="false">AG51</f>
        <v>100.220339042642</v>
      </c>
      <c r="AX25" s="0" t="s">
        <v>61</v>
      </c>
      <c r="AY25" s="0" t="s">
        <v>74</v>
      </c>
      <c r="AZ25" s="0" t="n">
        <f aca="false">S29</f>
        <v>32.5229057591574</v>
      </c>
    </row>
    <row r="26" customFormat="false" ht="15" hidden="false" customHeight="false" outlineLevel="0" collapsed="false">
      <c r="B26" s="92" t="s">
        <v>73</v>
      </c>
      <c r="C26" s="93" t="s">
        <v>59</v>
      </c>
      <c r="D26" s="63" t="n">
        <v>0.172</v>
      </c>
      <c r="E26" s="94" t="n">
        <v>674.81</v>
      </c>
      <c r="F26" s="95" t="n">
        <v>55.123</v>
      </c>
      <c r="G26" s="13" t="n">
        <v>96.2</v>
      </c>
      <c r="H26" s="13" t="n">
        <v>95.1</v>
      </c>
      <c r="I26" s="96" t="n">
        <v>0.078</v>
      </c>
      <c r="J26" s="13" t="n">
        <v>45.5</v>
      </c>
      <c r="K26" s="7" t="n">
        <v>1</v>
      </c>
      <c r="L26" s="35" t="n">
        <v>1</v>
      </c>
      <c r="M26" s="51" t="n">
        <f aca="false">M4</f>
        <v>456666666.666667</v>
      </c>
      <c r="N26" s="52" t="n">
        <f aca="false">M26*10</f>
        <v>4566666666.66667</v>
      </c>
      <c r="O26" s="52" t="n">
        <f aca="false">(N26*D26)/P3</f>
        <v>1963666666.66678</v>
      </c>
      <c r="P26" s="53" t="n">
        <f aca="false">I26/O26</f>
        <v>3.97216092344231E-011</v>
      </c>
      <c r="Q26" s="53" t="n">
        <f aca="false">P26*10^12</f>
        <v>39.7216092344231</v>
      </c>
      <c r="R26" s="53" t="n">
        <f aca="false">I26/(D26/1000)</f>
        <v>453.488372093023</v>
      </c>
      <c r="S26" s="54"/>
      <c r="T26" s="12"/>
      <c r="U26" s="12"/>
      <c r="V26" s="12"/>
      <c r="W26" s="12"/>
      <c r="X26" s="12"/>
      <c r="Y26" s="53"/>
      <c r="Z26" s="57"/>
      <c r="AA26" s="58"/>
      <c r="AB26" s="12"/>
      <c r="AC26" s="12"/>
      <c r="AD26" s="12"/>
      <c r="AE26" s="12"/>
      <c r="AF26" s="12"/>
      <c r="AG26" s="53"/>
      <c r="AH26" s="57"/>
      <c r="AK26" s="0" t="s">
        <v>57</v>
      </c>
      <c r="AL26" s="59" t="n">
        <f aca="false">AE31</f>
        <v>504.123708873269</v>
      </c>
      <c r="AM26" s="59" t="n">
        <f aca="false">AG31</f>
        <v>57.2007733052136</v>
      </c>
      <c r="AN26" s="60" t="n">
        <f aca="false">AE57</f>
        <v>88.4678341891832</v>
      </c>
      <c r="AO26" s="60" t="n">
        <f aca="false">AG57</f>
        <v>25.8190654554353</v>
      </c>
      <c r="AP26" s="0" t="n">
        <f aca="false">AL26/12</f>
        <v>42.0103090727725</v>
      </c>
      <c r="AQ26" s="0" t="n">
        <f aca="false">AN26/14</f>
        <v>6.31913101351308</v>
      </c>
      <c r="AR26" s="0" t="n">
        <f aca="false">AP26/AQ26</f>
        <v>6.64811490423856</v>
      </c>
      <c r="AS26" s="0" t="n">
        <f aca="false">AL26/AN26</f>
        <v>5.69838420363305</v>
      </c>
      <c r="AT26" s="0" t="n">
        <f aca="false">AL19/AN19</f>
        <v>5.99259121564329</v>
      </c>
      <c r="AX26" s="0" t="s">
        <v>61</v>
      </c>
      <c r="AY26" s="0" t="s">
        <v>75</v>
      </c>
      <c r="AZ26" s="0" t="n">
        <f aca="false">Q31</f>
        <v>46.0848052471194</v>
      </c>
    </row>
    <row r="27" customFormat="false" ht="15" hidden="false" customHeight="false" outlineLevel="0" collapsed="false">
      <c r="B27" s="92" t="s">
        <v>73</v>
      </c>
      <c r="C27" s="93" t="s">
        <v>63</v>
      </c>
      <c r="D27" s="63" t="n">
        <v>0.187</v>
      </c>
      <c r="E27" s="94" t="n">
        <v>724.013</v>
      </c>
      <c r="F27" s="95" t="n">
        <v>59.498</v>
      </c>
      <c r="G27" s="13" t="n">
        <v>92.4</v>
      </c>
      <c r="H27" s="13" t="n">
        <v>90.2</v>
      </c>
      <c r="I27" s="96" t="n">
        <v>0.084</v>
      </c>
      <c r="J27" s="13" t="n">
        <v>45</v>
      </c>
      <c r="K27" s="24" t="n">
        <v>1</v>
      </c>
      <c r="L27" s="24" t="n">
        <v>1</v>
      </c>
      <c r="M27" s="51" t="n">
        <f aca="false">M7</f>
        <v>378333333.333333</v>
      </c>
      <c r="N27" s="52" t="n">
        <f aca="false">M27*10</f>
        <v>3783333333.33333</v>
      </c>
      <c r="O27" s="52" t="n">
        <f aca="false">(N27*D27)/P6</f>
        <v>2358277777.77724</v>
      </c>
      <c r="P27" s="53" t="n">
        <f aca="false">I27/O27</f>
        <v>3.56192136446169E-011</v>
      </c>
      <c r="Q27" s="53" t="n">
        <f aca="false">P27*10^12</f>
        <v>35.6192136446169</v>
      </c>
      <c r="R27" s="53" t="n">
        <f aca="false">I27/(D27/1000)</f>
        <v>449.197860962567</v>
      </c>
      <c r="S27" s="54" t="n">
        <f aca="false">AVERAGE(Q27:Q28)</f>
        <v>34.9902235624005</v>
      </c>
      <c r="T27" s="12" t="n">
        <f aca="false">_xlfn.STDEV.S(Q27:Q28)</f>
        <v>0.889526304868667</v>
      </c>
      <c r="U27" s="12" t="n">
        <f aca="false">T27/S27*100</f>
        <v>2.542213836623</v>
      </c>
      <c r="V27" s="12" t="n">
        <f aca="false">_xlfn.VAR.S(Q27:Q28)</f>
        <v>0.791257047053305</v>
      </c>
      <c r="W27" s="12"/>
      <c r="X27" s="12"/>
      <c r="Y27" s="53"/>
      <c r="Z27" s="57"/>
      <c r="AA27" s="58" t="n">
        <f aca="false">AVERAGE(R27:R28)</f>
        <v>441.26559714795</v>
      </c>
      <c r="AB27" s="12" t="n">
        <f aca="false">_xlfn.STDEV.S(R27:R28)</f>
        <v>11.2179150669524</v>
      </c>
      <c r="AC27" s="12" t="n">
        <f aca="false">AB27/AA27*100</f>
        <v>2.54221383662302</v>
      </c>
      <c r="AD27" s="12" t="n">
        <f aca="false">_xlfn.VAR.S(R27:R28)</f>
        <v>125.841618449357</v>
      </c>
      <c r="AE27" s="12"/>
      <c r="AF27" s="12"/>
      <c r="AG27" s="53"/>
      <c r="AH27" s="57"/>
      <c r="AK27" s="0" t="s">
        <v>60</v>
      </c>
      <c r="AL27" s="64" t="n">
        <f aca="false">AE34</f>
        <v>450.55644172395</v>
      </c>
      <c r="AM27" s="64" t="n">
        <f aca="false">AG34</f>
        <v>102.114166643989</v>
      </c>
      <c r="AN27" s="25" t="n">
        <f aca="false">AE60</f>
        <v>72.9590924092374</v>
      </c>
      <c r="AO27" s="0" t="n">
        <f aca="false">AG60</f>
        <v>20.0602845381319</v>
      </c>
      <c r="AX27" s="0" t="s">
        <v>61</v>
      </c>
      <c r="AY27" s="0" t="s">
        <v>76</v>
      </c>
      <c r="AZ27" s="0" t="n">
        <f aca="false">Q32</f>
        <v>50.8528530121876</v>
      </c>
      <c r="BA27" s="0" t="n">
        <f aca="false">AVERAGE(AZ26:AZ28)</f>
        <v>45.9471849427549</v>
      </c>
    </row>
    <row r="28" customFormat="false" ht="15" hidden="false" customHeight="false" outlineLevel="0" collapsed="false">
      <c r="B28" s="92" t="s">
        <v>73</v>
      </c>
      <c r="C28" s="93" t="s">
        <v>66</v>
      </c>
      <c r="D28" s="63" t="n">
        <v>0.09</v>
      </c>
      <c r="E28" s="94" t="n">
        <v>337.6</v>
      </c>
      <c r="F28" s="95" t="n">
        <v>27.654</v>
      </c>
      <c r="G28" s="13" t="n">
        <v>73.5</v>
      </c>
      <c r="H28" s="13" t="n">
        <v>70.2</v>
      </c>
      <c r="I28" s="96" t="n">
        <v>0.039</v>
      </c>
      <c r="J28" s="13" t="n">
        <v>43.2</v>
      </c>
      <c r="K28" s="68" t="n">
        <v>1</v>
      </c>
      <c r="L28" s="70" t="n">
        <v>1</v>
      </c>
      <c r="M28" s="51" t="n">
        <f aca="false">M7</f>
        <v>378333333.333333</v>
      </c>
      <c r="N28" s="52" t="n">
        <f aca="false">M28*10</f>
        <v>3783333333.33333</v>
      </c>
      <c r="O28" s="52" t="n">
        <f aca="false">(N28*D28)/P6</f>
        <v>1134999999.99974</v>
      </c>
      <c r="P28" s="53" t="n">
        <f aca="false">I28/O28</f>
        <v>3.4361233480184E-011</v>
      </c>
      <c r="Q28" s="53" t="n">
        <f aca="false">P28*10^12</f>
        <v>34.361233480184</v>
      </c>
      <c r="R28" s="53" t="n">
        <f aca="false">I28/(D28/1000)</f>
        <v>433.333333333333</v>
      </c>
      <c r="S28" s="54"/>
      <c r="T28" s="12"/>
      <c r="U28" s="12"/>
      <c r="V28" s="12"/>
      <c r="W28" s="12"/>
      <c r="X28" s="12"/>
      <c r="Y28" s="53"/>
      <c r="Z28" s="57"/>
      <c r="AA28" s="58"/>
      <c r="AB28" s="12"/>
      <c r="AC28" s="12"/>
      <c r="AD28" s="12"/>
      <c r="AE28" s="12"/>
      <c r="AF28" s="12"/>
      <c r="AG28" s="53"/>
      <c r="AH28" s="57"/>
      <c r="AK28" s="0" t="s">
        <v>64</v>
      </c>
      <c r="AL28" s="0" t="n">
        <f aca="false">AE40</f>
        <v>234.975510538067</v>
      </c>
      <c r="AM28" s="0" t="n">
        <f aca="false">AG40</f>
        <v>68.528792577055</v>
      </c>
      <c r="AN28" s="0" t="n">
        <f aca="false">AE66</f>
        <v>41.5491873862711</v>
      </c>
      <c r="AO28" s="0" t="n">
        <f aca="false">AG66</f>
        <v>14.1736893528121</v>
      </c>
      <c r="AX28" s="0" t="s">
        <v>61</v>
      </c>
      <c r="AY28" s="0" t="s">
        <v>77</v>
      </c>
      <c r="AZ28" s="0" t="n">
        <f aca="false">S31</f>
        <v>40.9038965689578</v>
      </c>
    </row>
    <row r="29" customFormat="false" ht="15" hidden="false" customHeight="false" outlineLevel="0" collapsed="false">
      <c r="B29" s="92" t="s">
        <v>73</v>
      </c>
      <c r="C29" s="93" t="s">
        <v>68</v>
      </c>
      <c r="D29" s="63" t="n">
        <v>0.191</v>
      </c>
      <c r="E29" s="94" t="n">
        <v>744.812</v>
      </c>
      <c r="F29" s="13" t="n">
        <v>61.458</v>
      </c>
      <c r="G29" s="13" t="n">
        <v>92.5</v>
      </c>
      <c r="H29" s="13" t="n">
        <v>91.5</v>
      </c>
      <c r="I29" s="96" t="n">
        <v>0.087</v>
      </c>
      <c r="J29" s="13" t="n">
        <v>45.3</v>
      </c>
      <c r="K29" s="68" t="n">
        <v>1</v>
      </c>
      <c r="L29" s="70" t="n">
        <v>1</v>
      </c>
      <c r="M29" s="51" t="n">
        <f aca="false">M10</f>
        <v>416666666.666667</v>
      </c>
      <c r="N29" s="52" t="n">
        <f aca="false">M29*10</f>
        <v>4166666666.66667</v>
      </c>
      <c r="O29" s="52" t="n">
        <f aca="false">(N29*D29)/P9</f>
        <v>2652777777.77818</v>
      </c>
      <c r="P29" s="53" t="n">
        <f aca="false">I29/O29</f>
        <v>3.27958115183196E-011</v>
      </c>
      <c r="Q29" s="53" t="n">
        <f aca="false">P29*10^12</f>
        <v>32.7958115183196</v>
      </c>
      <c r="R29" s="53" t="n">
        <f aca="false">I29/(D29/1000)</f>
        <v>455.497382198953</v>
      </c>
      <c r="S29" s="54" t="n">
        <f aca="false">AVERAGE(Q29:Q30)</f>
        <v>32.5229057591574</v>
      </c>
      <c r="T29" s="12" t="n">
        <f aca="false">_xlfn.STDEV.S(Q29:Q30)</f>
        <v>0.385947025856998</v>
      </c>
      <c r="U29" s="12" t="n">
        <f aca="false">T29/S29*100</f>
        <v>1.1866929379406</v>
      </c>
      <c r="V29" s="12" t="n">
        <f aca="false">_xlfn.VAR.S(Q29:Q30)</f>
        <v>0.148955106767863</v>
      </c>
      <c r="W29" s="12"/>
      <c r="X29" s="12"/>
      <c r="Y29" s="53"/>
      <c r="Z29" s="57"/>
      <c r="AA29" s="58" t="n">
        <f aca="false">AVERAGE(R29:R30)</f>
        <v>451.70702443281</v>
      </c>
      <c r="AB29" s="12" t="n">
        <f aca="false">_xlfn.STDEV.S(R29:R30)</f>
        <v>5.36037535912576</v>
      </c>
      <c r="AC29" s="12" t="n">
        <f aca="false">AB29/AA29*100</f>
        <v>1.1866929379406</v>
      </c>
      <c r="AD29" s="12" t="n">
        <f aca="false">_xlfn.VAR.S(R29:R30)</f>
        <v>28.7336239907227</v>
      </c>
      <c r="AE29" s="12"/>
      <c r="AF29" s="12"/>
      <c r="AG29" s="53"/>
      <c r="AH29" s="57"/>
      <c r="AX29" s="0" t="s">
        <v>78</v>
      </c>
      <c r="AY29" s="0" t="s">
        <v>62</v>
      </c>
      <c r="AZ29" s="97" t="n">
        <f aca="false">S45</f>
        <v>9.10064239828728</v>
      </c>
    </row>
    <row r="30" customFormat="false" ht="16" hidden="false" customHeight="false" outlineLevel="0" collapsed="false">
      <c r="B30" s="98" t="s">
        <v>73</v>
      </c>
      <c r="C30" s="99" t="s">
        <v>71</v>
      </c>
      <c r="D30" s="73" t="n">
        <v>0.096</v>
      </c>
      <c r="E30" s="100" t="n">
        <v>376.531</v>
      </c>
      <c r="F30" s="20" t="n">
        <v>31.172</v>
      </c>
      <c r="G30" s="20" t="n">
        <v>96.7</v>
      </c>
      <c r="H30" s="20" t="n">
        <v>95.6</v>
      </c>
      <c r="I30" s="101" t="n">
        <v>0.043</v>
      </c>
      <c r="J30" s="20" t="n">
        <v>45.3</v>
      </c>
      <c r="K30" s="75" t="n">
        <v>1</v>
      </c>
      <c r="L30" s="77" t="n">
        <v>1</v>
      </c>
      <c r="M30" s="78" t="n">
        <f aca="false">M10</f>
        <v>416666666.666667</v>
      </c>
      <c r="N30" s="79" t="n">
        <f aca="false">M30*10</f>
        <v>4166666666.66667</v>
      </c>
      <c r="O30" s="79" t="n">
        <f aca="false">(N30*D30)/P9</f>
        <v>1333333333.33354</v>
      </c>
      <c r="P30" s="80" t="n">
        <f aca="false">I30/O30</f>
        <v>3.22499999999951E-011</v>
      </c>
      <c r="Q30" s="80" t="n">
        <f aca="false">P30*10^12</f>
        <v>32.2499999999951</v>
      </c>
      <c r="R30" s="53" t="n">
        <f aca="false">I30/(D30/1000)</f>
        <v>447.916666666667</v>
      </c>
      <c r="S30" s="54"/>
      <c r="T30" s="12"/>
      <c r="U30" s="12"/>
      <c r="V30" s="12"/>
      <c r="W30" s="12"/>
      <c r="X30" s="12"/>
      <c r="Y30" s="53"/>
      <c r="Z30" s="57"/>
      <c r="AA30" s="58"/>
      <c r="AB30" s="12"/>
      <c r="AC30" s="12"/>
      <c r="AD30" s="12"/>
      <c r="AE30" s="12"/>
      <c r="AF30" s="12"/>
      <c r="AG30" s="53"/>
      <c r="AH30" s="57"/>
      <c r="AX30" s="0" t="s">
        <v>78</v>
      </c>
      <c r="AY30" s="0" t="s">
        <v>65</v>
      </c>
      <c r="AZ30" s="97" t="n">
        <f aca="false">S47</f>
        <v>9.3415647306993</v>
      </c>
      <c r="BA30" s="0" t="n">
        <f aca="false">AVERAGE(AZ29:AZ31)</f>
        <v>10.2578413401881</v>
      </c>
    </row>
    <row r="31" customFormat="false" ht="15" hidden="false" customHeight="false" outlineLevel="0" collapsed="false">
      <c r="B31" s="102" t="s">
        <v>79</v>
      </c>
      <c r="C31" s="103" t="n">
        <v>1</v>
      </c>
      <c r="D31" s="46" t="n">
        <v>0.382</v>
      </c>
      <c r="E31" s="104" t="n">
        <v>1524.196</v>
      </c>
      <c r="F31" s="105" t="n">
        <v>121.427</v>
      </c>
      <c r="G31" s="105" t="n">
        <v>94.6</v>
      </c>
      <c r="H31" s="105" t="n">
        <v>92.4</v>
      </c>
      <c r="I31" s="86" t="n">
        <v>0.178</v>
      </c>
      <c r="J31" s="105" t="n">
        <v>46.5</v>
      </c>
      <c r="K31" s="106" t="n">
        <v>1</v>
      </c>
      <c r="L31" s="107" t="n">
        <v>1</v>
      </c>
      <c r="M31" s="87" t="n">
        <f aca="false">U4</f>
        <v>303333333.333333</v>
      </c>
      <c r="N31" s="88" t="n">
        <f aca="false">M31*10</f>
        <v>3033333333.33333</v>
      </c>
      <c r="O31" s="88" t="n">
        <f aca="false">(N31*D31)/X3</f>
        <v>3862444444.44357</v>
      </c>
      <c r="P31" s="88" t="n">
        <f aca="false">I31/O31</f>
        <v>4.60848052471194E-011</v>
      </c>
      <c r="Q31" s="108" t="n">
        <f aca="false">P31*10^12</f>
        <v>46.0848052471194</v>
      </c>
      <c r="R31" s="53" t="n">
        <f aca="false">I31/(D31/1000)</f>
        <v>465.968586387435</v>
      </c>
      <c r="S31" s="109" t="n">
        <f aca="false">AVERAGE(Q31:Q33)</f>
        <v>40.9038965689578</v>
      </c>
      <c r="T31" s="88" t="n">
        <f aca="false">_xlfn.STDEV.S(Q31:Q33)</f>
        <v>13.3179647024655</v>
      </c>
      <c r="U31" s="88" t="n">
        <f aca="false">T31/S31*100</f>
        <v>32.559158954486</v>
      </c>
      <c r="V31" s="88" t="n">
        <f aca="false">_xlfn.VAR.S(Q31:Q33)</f>
        <v>177.368183816117</v>
      </c>
      <c r="W31" s="110" t="n">
        <f aca="false">S31</f>
        <v>40.9038965689578</v>
      </c>
      <c r="X31" s="88"/>
      <c r="Y31" s="110" t="n">
        <f aca="false">T31</f>
        <v>13.3179647024655</v>
      </c>
      <c r="Z31" s="28" t="n">
        <f aca="false">Y31/W31*100</f>
        <v>32.559158954486</v>
      </c>
      <c r="AA31" s="109" t="n">
        <f aca="false">AVERAGE(R31:R33)</f>
        <v>504.123708873269</v>
      </c>
      <c r="AB31" s="88" t="n">
        <f aca="false">_xlfn.STDEV.S(R31:R33)</f>
        <v>57.2007733052136</v>
      </c>
      <c r="AC31" s="88" t="n">
        <f aca="false">AB31/AA31*100</f>
        <v>11.34657471934</v>
      </c>
      <c r="AD31" s="88" t="n">
        <f aca="false">_xlfn.VAR.S(R31:R33)</f>
        <v>3271.92846671443</v>
      </c>
      <c r="AE31" s="110" t="n">
        <f aca="false">AA31</f>
        <v>504.123708873269</v>
      </c>
      <c r="AF31" s="88"/>
      <c r="AG31" s="110" t="n">
        <f aca="false">AB31</f>
        <v>57.2007733052136</v>
      </c>
      <c r="AH31" s="28" t="n">
        <f aca="false">AG31/AE31*100</f>
        <v>11.34657471934</v>
      </c>
      <c r="AX31" s="0" t="s">
        <v>78</v>
      </c>
      <c r="AY31" s="0" t="s">
        <v>67</v>
      </c>
      <c r="AZ31" s="97" t="n">
        <f aca="false">S49</f>
        <v>12.3313168915777</v>
      </c>
    </row>
    <row r="32" customFormat="false" ht="15" hidden="false" customHeight="false" outlineLevel="0" collapsed="false">
      <c r="B32" s="111" t="s">
        <v>79</v>
      </c>
      <c r="C32" s="112" t="n">
        <v>2</v>
      </c>
      <c r="D32" s="63" t="n">
        <v>0.149</v>
      </c>
      <c r="E32" s="113" t="n">
        <v>608.706</v>
      </c>
      <c r="F32" s="95" t="n">
        <v>50.241</v>
      </c>
      <c r="G32" s="95" t="n">
        <v>94.6</v>
      </c>
      <c r="H32" s="95" t="n">
        <v>92.8</v>
      </c>
      <c r="I32" s="96" t="n">
        <v>0.071</v>
      </c>
      <c r="J32" s="95" t="n">
        <v>47.5</v>
      </c>
      <c r="K32" s="68" t="n">
        <v>1</v>
      </c>
      <c r="L32" s="70" t="n">
        <v>1</v>
      </c>
      <c r="M32" s="51" t="n">
        <f aca="false">U7</f>
        <v>281111111.111111</v>
      </c>
      <c r="N32" s="53" t="n">
        <f aca="false">M32*10</f>
        <v>2811111111.11111</v>
      </c>
      <c r="O32" s="53" t="n">
        <f aca="false">(N32*D32)/X6</f>
        <v>1396185185.18487</v>
      </c>
      <c r="P32" s="53" t="n">
        <f aca="false">I32/O32</f>
        <v>5.08528530121876E-011</v>
      </c>
      <c r="Q32" s="114" t="n">
        <f aca="false">P32*10^12</f>
        <v>50.8528530121876</v>
      </c>
      <c r="R32" s="53" t="n">
        <f aca="false">I32/(D32/1000)</f>
        <v>476.510067114094</v>
      </c>
      <c r="S32" s="115"/>
      <c r="T32" s="53"/>
      <c r="U32" s="53"/>
      <c r="V32" s="53"/>
      <c r="W32" s="53"/>
      <c r="X32" s="53"/>
      <c r="Y32" s="53"/>
      <c r="Z32" s="57"/>
      <c r="AA32" s="116"/>
      <c r="AB32" s="53"/>
      <c r="AC32" s="53"/>
      <c r="AD32" s="53"/>
      <c r="AE32" s="53"/>
      <c r="AF32" s="53"/>
      <c r="AG32" s="53"/>
      <c r="AH32" s="57"/>
      <c r="AX32" s="0" t="s">
        <v>78</v>
      </c>
      <c r="AY32" s="0" t="s">
        <v>70</v>
      </c>
      <c r="AZ32" s="97" t="n">
        <f aca="false">S51</f>
        <v>4.02771562167228</v>
      </c>
    </row>
    <row r="33" customFormat="false" ht="16" hidden="false" customHeight="false" outlineLevel="0" collapsed="false">
      <c r="B33" s="117" t="s">
        <v>79</v>
      </c>
      <c r="C33" s="118" t="n">
        <v>3</v>
      </c>
      <c r="D33" s="73" t="n">
        <v>0.093</v>
      </c>
      <c r="E33" s="113" t="n">
        <v>452.112</v>
      </c>
      <c r="F33" s="95" t="n">
        <v>37.646</v>
      </c>
      <c r="G33" s="95" t="n">
        <v>92.9</v>
      </c>
      <c r="H33" s="95" t="n">
        <v>90.8</v>
      </c>
      <c r="I33" s="96" t="n">
        <v>0.053</v>
      </c>
      <c r="J33" s="95" t="n">
        <v>56.5</v>
      </c>
      <c r="K33" s="68" t="n">
        <v>1</v>
      </c>
      <c r="L33" s="70" t="n">
        <v>1</v>
      </c>
      <c r="M33" s="78" t="n">
        <f aca="false">U10</f>
        <v>221111111.111111</v>
      </c>
      <c r="N33" s="80" t="n">
        <f aca="false">M33*10</f>
        <v>2211111111.11111</v>
      </c>
      <c r="O33" s="80" t="n">
        <f aca="false">(N33*D33)/X9</f>
        <v>2056333333.33287</v>
      </c>
      <c r="P33" s="80" t="n">
        <f aca="false">I33/O33</f>
        <v>2.57740314475662E-011</v>
      </c>
      <c r="Q33" s="119" t="n">
        <f aca="false">P33*10^12</f>
        <v>25.7740314475662</v>
      </c>
      <c r="R33" s="53" t="n">
        <f aca="false">I33/(D33/1000)</f>
        <v>569.892473118279</v>
      </c>
      <c r="S33" s="120"/>
      <c r="T33" s="80"/>
      <c r="U33" s="80"/>
      <c r="V33" s="80"/>
      <c r="W33" s="80"/>
      <c r="X33" s="80"/>
      <c r="Y33" s="80"/>
      <c r="Z33" s="121"/>
      <c r="AA33" s="122"/>
      <c r="AB33" s="80"/>
      <c r="AC33" s="80"/>
      <c r="AD33" s="80"/>
      <c r="AE33" s="80"/>
      <c r="AF33" s="80"/>
      <c r="AG33" s="80"/>
      <c r="AH33" s="121"/>
      <c r="AX33" s="0" t="s">
        <v>78</v>
      </c>
      <c r="AY33" s="0" t="s">
        <v>72</v>
      </c>
      <c r="AZ33" s="97" t="n">
        <f aca="false">S53</f>
        <v>3.67028669697838</v>
      </c>
      <c r="BA33" s="0" t="n">
        <f aca="false">AVERAGE(AZ32:AZ34)</f>
        <v>3.81992747445404</v>
      </c>
    </row>
    <row r="34" customFormat="false" ht="15" hidden="false" customHeight="false" outlineLevel="0" collapsed="false">
      <c r="B34" s="123" t="s">
        <v>80</v>
      </c>
      <c r="C34" s="124" t="s">
        <v>56</v>
      </c>
      <c r="D34" s="125" t="n">
        <v>0.285</v>
      </c>
      <c r="E34" s="84" t="n">
        <v>1095.322</v>
      </c>
      <c r="F34" s="85" t="n">
        <v>89.151</v>
      </c>
      <c r="G34" s="85" t="n">
        <v>94.6</v>
      </c>
      <c r="H34" s="85" t="n">
        <v>92.6</v>
      </c>
      <c r="I34" s="86" t="n">
        <v>0.128</v>
      </c>
      <c r="J34" s="85" t="n">
        <v>45</v>
      </c>
      <c r="K34" s="106" t="n">
        <v>1</v>
      </c>
      <c r="L34" s="107" t="n">
        <v>1</v>
      </c>
      <c r="M34" s="126" t="n">
        <f aca="false">AC4</f>
        <v>3241666666.66667</v>
      </c>
      <c r="N34" s="52" t="n">
        <f aca="false">M34*10</f>
        <v>32416666666.6667</v>
      </c>
      <c r="O34" s="52" t="n">
        <f aca="false">(N34*D34)/AF3</f>
        <v>6159166666.66667</v>
      </c>
      <c r="P34" s="0" t="n">
        <f aca="false">I34/O34</f>
        <v>2.07820322013259E-011</v>
      </c>
      <c r="Q34" s="0" t="n">
        <f aca="false">P34*10^12</f>
        <v>20.7820322013259</v>
      </c>
      <c r="R34" s="53" t="n">
        <f aca="false">I34/(D34/1000)</f>
        <v>449.122807017544</v>
      </c>
      <c r="S34" s="127" t="n">
        <f aca="false">AVERAGE(Q34:Q35)</f>
        <v>20.3987879665086</v>
      </c>
      <c r="T34" s="128" t="n">
        <f aca="false">_xlfn.STDEV.S(Q34:Q35)</f>
        <v>0.541989194579969</v>
      </c>
      <c r="U34" s="128" t="n">
        <f aca="false">T34/S34*100</f>
        <v>2.6569676368509</v>
      </c>
      <c r="V34" s="128" t="n">
        <f aca="false">_xlfn.VAR.S(Q34:Q35)</f>
        <v>0.293752287041444</v>
      </c>
      <c r="W34" s="129" t="n">
        <f aca="false">AVERAGE(S34:S39)</f>
        <v>21.3846415168251</v>
      </c>
      <c r="X34" s="128" t="n">
        <f aca="false">(V34^2+V36^2+V38^2+(2*((S34-W34)^2))+(2*((S36-W34)^2))+(2*((S38-W34)^2)))/(6-1)</f>
        <v>2.46655589711168</v>
      </c>
      <c r="Y34" s="130" t="n">
        <f aca="false">SQRT(X34)</f>
        <v>1.5705272672296</v>
      </c>
      <c r="Z34" s="28" t="n">
        <f aca="false">Y34/W34*100</f>
        <v>7.34418328216508</v>
      </c>
      <c r="AA34" s="131" t="n">
        <f aca="false">AVERAGE(R34:R35)</f>
        <v>440.840473276214</v>
      </c>
      <c r="AB34" s="128" t="n">
        <f aca="false">_xlfn.STDEV.S(R34:R35)</f>
        <v>11.7129887050893</v>
      </c>
      <c r="AC34" s="128" t="n">
        <f aca="false">AB34/AA34*100</f>
        <v>2.65696763685089</v>
      </c>
      <c r="AD34" s="128" t="n">
        <f aca="false">_xlfn.VAR.S(R34:R35)</f>
        <v>137.19410440555</v>
      </c>
      <c r="AE34" s="129" t="n">
        <f aca="false">AVERAGE(AA34:AA39)</f>
        <v>450.55644172395</v>
      </c>
      <c r="AF34" s="128" t="n">
        <f aca="false">(AD34^2+AD36^2+AD38^2+(2*((AA34-AE34)^2))+(2*((AA36-AE34)^2))+(2*((AA38-AE34)^2)))/(6-1)</f>
        <v>10427.3030293964</v>
      </c>
      <c r="AG34" s="130" t="n">
        <f aca="false">SQRT(AF34)</f>
        <v>102.114166643989</v>
      </c>
      <c r="AH34" s="28" t="n">
        <f aca="false">AG34/AE34*100</f>
        <v>22.6640121386952</v>
      </c>
      <c r="AX34" s="0" t="s">
        <v>78</v>
      </c>
      <c r="AY34" s="0" t="s">
        <v>74</v>
      </c>
      <c r="AZ34" s="97" t="n">
        <f aca="false">S55</f>
        <v>3.76178010471147</v>
      </c>
    </row>
    <row r="35" customFormat="false" ht="15" hidden="false" customHeight="false" outlineLevel="0" collapsed="false">
      <c r="B35" s="123" t="s">
        <v>80</v>
      </c>
      <c r="C35" s="124" t="s">
        <v>59</v>
      </c>
      <c r="D35" s="125" t="n">
        <v>0.215</v>
      </c>
      <c r="E35" s="94" t="n">
        <v>799.132</v>
      </c>
      <c r="F35" s="13" t="n">
        <v>65.229</v>
      </c>
      <c r="G35" s="13" t="n">
        <v>94.2</v>
      </c>
      <c r="H35" s="13" t="n">
        <v>92.5</v>
      </c>
      <c r="I35" s="96" t="n">
        <v>0.093</v>
      </c>
      <c r="J35" s="13" t="n">
        <v>43.2</v>
      </c>
      <c r="K35" s="68" t="n">
        <v>1</v>
      </c>
      <c r="L35" s="70" t="n">
        <v>1</v>
      </c>
      <c r="M35" s="126" t="n">
        <f aca="false">AC4</f>
        <v>3241666666.66667</v>
      </c>
      <c r="N35" s="52" t="n">
        <f aca="false">M35*10</f>
        <v>32416666666.6667</v>
      </c>
      <c r="O35" s="52" t="n">
        <f aca="false">(N35*D35)/AF3</f>
        <v>4646388888.88889</v>
      </c>
      <c r="P35" s="0" t="n">
        <f aca="false">I35/O35</f>
        <v>2.00155437316913E-011</v>
      </c>
      <c r="Q35" s="0" t="n">
        <f aca="false">P35*10^12</f>
        <v>20.0155437316913</v>
      </c>
      <c r="R35" s="53" t="n">
        <f aca="false">I35/(D35/1000)</f>
        <v>432.558139534884</v>
      </c>
      <c r="S35" s="54"/>
      <c r="T35" s="12"/>
      <c r="U35" s="12"/>
      <c r="V35" s="12"/>
      <c r="W35" s="12"/>
      <c r="X35" s="12"/>
      <c r="Y35" s="53"/>
      <c r="Z35" s="57"/>
      <c r="AA35" s="58"/>
      <c r="AB35" s="12"/>
      <c r="AC35" s="12"/>
      <c r="AD35" s="12"/>
      <c r="AE35" s="12"/>
      <c r="AF35" s="12"/>
      <c r="AG35" s="53"/>
      <c r="AH35" s="57"/>
      <c r="AX35" s="0" t="s">
        <v>78</v>
      </c>
      <c r="AY35" s="0" t="s">
        <v>75</v>
      </c>
      <c r="AZ35" s="0" t="n">
        <f aca="false">Q57</f>
        <v>7.24929520741204</v>
      </c>
    </row>
    <row r="36" customFormat="false" ht="15" hidden="false" customHeight="false" outlineLevel="0" collapsed="false">
      <c r="B36" s="123" t="s">
        <v>80</v>
      </c>
      <c r="C36" s="124" t="s">
        <v>63</v>
      </c>
      <c r="D36" s="125" t="n">
        <v>0.16</v>
      </c>
      <c r="E36" s="94" t="n">
        <v>620.018</v>
      </c>
      <c r="F36" s="13" t="n">
        <v>51.362</v>
      </c>
      <c r="G36" s="13" t="n">
        <v>93.7</v>
      </c>
      <c r="H36" s="13" t="n">
        <v>90.4</v>
      </c>
      <c r="I36" s="96" t="n">
        <v>0.072</v>
      </c>
      <c r="J36" s="13" t="n">
        <v>44.9</v>
      </c>
      <c r="K36" s="68" t="n">
        <v>1</v>
      </c>
      <c r="L36" s="70" t="n">
        <v>1</v>
      </c>
      <c r="M36" s="126" t="n">
        <f aca="false">AC7</f>
        <v>3733333333.33333</v>
      </c>
      <c r="N36" s="52" t="n">
        <f aca="false">M36*10</f>
        <v>37333333333.3333</v>
      </c>
      <c r="O36" s="52" t="n">
        <f aca="false">(N36*D36)/AF6</f>
        <v>3143859649.12285</v>
      </c>
      <c r="P36" s="0" t="n">
        <f aca="false">I36/O36</f>
        <v>2.29017857142854E-011</v>
      </c>
      <c r="Q36" s="0" t="n">
        <f aca="false">P36*10^12</f>
        <v>22.9017857142854</v>
      </c>
      <c r="R36" s="53" t="n">
        <f aca="false">I36/(D36/1000)</f>
        <v>450</v>
      </c>
      <c r="S36" s="54" t="n">
        <f aca="false">AVERAGE(Q36:Q37)</f>
        <v>23.3866769427638</v>
      </c>
      <c r="T36" s="12" t="n">
        <f aca="false">_xlfn.STDEV.S(Q36:Q37)</f>
        <v>0.685739751589844</v>
      </c>
      <c r="U36" s="12" t="n">
        <f aca="false">T36/S36*100</f>
        <v>2.93218122980068</v>
      </c>
      <c r="V36" s="12" t="n">
        <f aca="false">_xlfn.VAR.S(Q36:Q37)</f>
        <v>0.470239006910501</v>
      </c>
      <c r="W36" s="12"/>
      <c r="X36" s="12"/>
      <c r="Y36" s="53"/>
      <c r="Z36" s="57"/>
      <c r="AA36" s="58" t="n">
        <f aca="false">AVERAGE(R36:R37)</f>
        <v>459.527687296417</v>
      </c>
      <c r="AB36" s="12" t="n">
        <f aca="false">_xlfn.STDEV.S(R36:R37)</f>
        <v>13.4741845926427</v>
      </c>
      <c r="AC36" s="12" t="n">
        <f aca="false">AB36/AA36*100</f>
        <v>2.93218122980068</v>
      </c>
      <c r="AD36" s="12" t="n">
        <f aca="false">_xlfn.VAR.S(R36:R37)</f>
        <v>181.55365043661</v>
      </c>
      <c r="AE36" s="12"/>
      <c r="AF36" s="12"/>
      <c r="AG36" s="53"/>
      <c r="AH36" s="57"/>
      <c r="AX36" s="0" t="s">
        <v>78</v>
      </c>
      <c r="AY36" s="0" t="s">
        <v>76</v>
      </c>
      <c r="AZ36" s="0" t="n">
        <f aca="false">Q58</f>
        <v>7.87861103005723</v>
      </c>
      <c r="BA36" s="0" t="n">
        <f aca="false">AVERAGE(AZ35:AZ37)</f>
        <v>7.31788358127194</v>
      </c>
    </row>
    <row r="37" customFormat="false" ht="15" hidden="false" customHeight="false" outlineLevel="0" collapsed="false">
      <c r="B37" s="123" t="s">
        <v>80</v>
      </c>
      <c r="C37" s="124" t="s">
        <v>66</v>
      </c>
      <c r="D37" s="125" t="n">
        <v>0.307</v>
      </c>
      <c r="E37" s="94" t="n">
        <v>1226.104</v>
      </c>
      <c r="F37" s="13" t="n">
        <v>99.873</v>
      </c>
      <c r="G37" s="13" t="n">
        <v>92.7</v>
      </c>
      <c r="H37" s="13" t="n">
        <v>91.5</v>
      </c>
      <c r="I37" s="96" t="n">
        <v>0.144</v>
      </c>
      <c r="J37" s="13" t="n">
        <v>46.9</v>
      </c>
      <c r="K37" s="68" t="n">
        <v>1</v>
      </c>
      <c r="L37" s="70" t="n">
        <v>1</v>
      </c>
      <c r="M37" s="126" t="n">
        <f aca="false">AC7</f>
        <v>3733333333.33333</v>
      </c>
      <c r="N37" s="52" t="n">
        <f aca="false">M37*10</f>
        <v>37333333333.3333</v>
      </c>
      <c r="O37" s="52" t="n">
        <f aca="false">(N37*D37)/AF6</f>
        <v>6032280701.75446</v>
      </c>
      <c r="P37" s="0" t="n">
        <f aca="false">I37/O37</f>
        <v>2.38715681712421E-011</v>
      </c>
      <c r="Q37" s="0" t="n">
        <f aca="false">P37*10^12</f>
        <v>23.8715681712421</v>
      </c>
      <c r="R37" s="53" t="n">
        <f aca="false">I37/(D37/1000)</f>
        <v>469.055374592834</v>
      </c>
      <c r="S37" s="54"/>
      <c r="T37" s="12"/>
      <c r="U37" s="12"/>
      <c r="V37" s="12"/>
      <c r="W37" s="12"/>
      <c r="X37" s="12"/>
      <c r="Y37" s="53"/>
      <c r="Z37" s="57"/>
      <c r="AA37" s="58"/>
      <c r="AB37" s="12"/>
      <c r="AC37" s="12"/>
      <c r="AD37" s="12"/>
      <c r="AE37" s="12"/>
      <c r="AF37" s="12"/>
      <c r="AG37" s="53"/>
      <c r="AH37" s="57"/>
      <c r="AX37" s="0" t="s">
        <v>78</v>
      </c>
      <c r="AY37" s="0" t="s">
        <v>77</v>
      </c>
      <c r="AZ37" s="0" t="n">
        <f aca="false">S57</f>
        <v>6.82574450634654</v>
      </c>
    </row>
    <row r="38" customFormat="false" ht="15" hidden="false" customHeight="false" outlineLevel="0" collapsed="false">
      <c r="B38" s="123" t="s">
        <v>80</v>
      </c>
      <c r="C38" s="124" t="s">
        <v>68</v>
      </c>
      <c r="D38" s="125" t="n">
        <v>0.202</v>
      </c>
      <c r="E38" s="94" t="n">
        <v>778.613</v>
      </c>
      <c r="F38" s="13" t="n">
        <v>63.89</v>
      </c>
      <c r="G38" s="13" t="n">
        <v>93.7</v>
      </c>
      <c r="H38" s="13" t="n">
        <v>90.6</v>
      </c>
      <c r="I38" s="96" t="n">
        <v>0.091</v>
      </c>
      <c r="J38" s="13" t="n">
        <v>44.8</v>
      </c>
      <c r="K38" s="68" t="n">
        <v>1</v>
      </c>
      <c r="L38" s="70" t="n">
        <v>1</v>
      </c>
      <c r="M38" s="126" t="n">
        <f aca="false">AC10</f>
        <v>3766666666.66667</v>
      </c>
      <c r="N38" s="52" t="n">
        <f aca="false">M38*10</f>
        <v>37666666666.6667</v>
      </c>
      <c r="O38" s="52" t="n">
        <f aca="false">(N38*D38)/AF9</f>
        <v>4475686274.50998</v>
      </c>
      <c r="P38" s="0" t="n">
        <f aca="false">I38/O38</f>
        <v>2.03320774555323E-011</v>
      </c>
      <c r="Q38" s="0" t="n">
        <f aca="false">P38*10^12</f>
        <v>20.3320774555323</v>
      </c>
      <c r="R38" s="53" t="n">
        <f aca="false">I38/(D38/1000)</f>
        <v>450.49504950495</v>
      </c>
      <c r="S38" s="54" t="n">
        <f aca="false">AVERAGE(Q38:Q39)</f>
        <v>20.3684596412028</v>
      </c>
      <c r="T38" s="12" t="n">
        <f aca="false">_xlfn.STDEV.S(Q38:Q39)</f>
        <v>0.0514521804039984</v>
      </c>
      <c r="U38" s="12" t="n">
        <f aca="false">T38/S38*100</f>
        <v>0.252607125479028</v>
      </c>
      <c r="V38" s="12" t="n">
        <f aca="false">_xlfn.VAR.S(Q38:Q39)</f>
        <v>0.0026473268683256</v>
      </c>
      <c r="W38" s="12"/>
      <c r="X38" s="12"/>
      <c r="Y38" s="53"/>
      <c r="Z38" s="57"/>
      <c r="AA38" s="58" t="n">
        <f aca="false">AVERAGE(R38:R39)</f>
        <v>451.301164599219</v>
      </c>
      <c r="AB38" s="12" t="n">
        <f aca="false">_xlfn.STDEV.S(R38:R39)</f>
        <v>1.14001889914754</v>
      </c>
      <c r="AC38" s="12" t="n">
        <f aca="false">AB38/AA38*100</f>
        <v>0.252607125479046</v>
      </c>
      <c r="AD38" s="12" t="n">
        <f aca="false">_xlfn.VAR.S(R38:R39)</f>
        <v>1.29964309041358</v>
      </c>
      <c r="AE38" s="12"/>
      <c r="AF38" s="12"/>
      <c r="AG38" s="53"/>
      <c r="AH38" s="57"/>
    </row>
    <row r="39" customFormat="false" ht="16" hidden="false" customHeight="false" outlineLevel="0" collapsed="false">
      <c r="B39" s="123" t="s">
        <v>80</v>
      </c>
      <c r="C39" s="124" t="s">
        <v>71</v>
      </c>
      <c r="D39" s="125" t="n">
        <v>0.261</v>
      </c>
      <c r="E39" s="100" t="n">
        <v>1007.398</v>
      </c>
      <c r="F39" s="20" t="n">
        <v>81.937</v>
      </c>
      <c r="G39" s="20" t="n">
        <v>94.3</v>
      </c>
      <c r="H39" s="20" t="n">
        <v>92.4</v>
      </c>
      <c r="I39" s="101" t="n">
        <v>0.118</v>
      </c>
      <c r="J39" s="20" t="n">
        <v>45.1</v>
      </c>
      <c r="K39" s="75" t="n">
        <v>1</v>
      </c>
      <c r="L39" s="77" t="n">
        <v>1</v>
      </c>
      <c r="M39" s="126" t="n">
        <f aca="false">AC10</f>
        <v>3766666666.66667</v>
      </c>
      <c r="N39" s="79" t="n">
        <f aca="false">M39*10</f>
        <v>37666666666.6667</v>
      </c>
      <c r="O39" s="79" t="n">
        <f aca="false">(N39*D39)/AF9</f>
        <v>5782941176.47082</v>
      </c>
      <c r="P39" s="0" t="n">
        <f aca="false">I39/O39</f>
        <v>2.04048418268734E-011</v>
      </c>
      <c r="Q39" s="0" t="n">
        <f aca="false">P39*10^12</f>
        <v>20.4048418268734</v>
      </c>
      <c r="R39" s="53" t="n">
        <f aca="false">I39/(D39/1000)</f>
        <v>452.107279693487</v>
      </c>
      <c r="S39" s="54"/>
      <c r="T39" s="12"/>
      <c r="U39" s="12"/>
      <c r="V39" s="12"/>
      <c r="W39" s="12"/>
      <c r="X39" s="12"/>
      <c r="Y39" s="53"/>
      <c r="Z39" s="57"/>
      <c r="AA39" s="58"/>
      <c r="AB39" s="12"/>
      <c r="AC39" s="12"/>
      <c r="AD39" s="12"/>
      <c r="AE39" s="12"/>
      <c r="AF39" s="12"/>
      <c r="AG39" s="53"/>
      <c r="AH39" s="57"/>
    </row>
    <row r="40" customFormat="false" ht="15" hidden="false" customHeight="false" outlineLevel="0" collapsed="false">
      <c r="B40" s="132" t="s">
        <v>81</v>
      </c>
      <c r="C40" s="133" t="n">
        <v>1</v>
      </c>
      <c r="D40" s="46" t="n">
        <v>0.28</v>
      </c>
      <c r="E40" s="94" t="n">
        <v>463.672</v>
      </c>
      <c r="F40" s="13" t="n">
        <v>38.664</v>
      </c>
      <c r="G40" s="13" t="n">
        <v>94.2</v>
      </c>
      <c r="H40" s="13" t="n">
        <v>92.4</v>
      </c>
      <c r="I40" s="96" t="n">
        <v>0.054</v>
      </c>
      <c r="J40" s="13" t="n">
        <v>19.2</v>
      </c>
      <c r="K40" s="13" t="n">
        <v>1</v>
      </c>
      <c r="L40" s="134" t="n">
        <v>1</v>
      </c>
      <c r="M40" s="87" t="n">
        <f aca="false">AK4</f>
        <v>341666666.666667</v>
      </c>
      <c r="N40" s="88" t="n">
        <f aca="false">M40*10</f>
        <v>3416666666.66667</v>
      </c>
      <c r="O40" s="88" t="n">
        <f aca="false">(N40*D40)/AN3</f>
        <v>4783333333.33225</v>
      </c>
      <c r="P40" s="88" t="n">
        <f aca="false">I40/O40</f>
        <v>1.12891986062743E-011</v>
      </c>
      <c r="Q40" s="108" t="n">
        <f aca="false">P40*10^12</f>
        <v>11.2891986062743</v>
      </c>
      <c r="R40" s="53" t="n">
        <f aca="false">I40/(D40/1000)</f>
        <v>192.857142857143</v>
      </c>
      <c r="S40" s="109" t="n">
        <f aca="false">AVERAGE(Q40:Q42)</f>
        <v>11.496026230281</v>
      </c>
      <c r="T40" s="88" t="n">
        <f aca="false">_xlfn.STDEV.S(Q40:Q42)</f>
        <v>3.68300612079119</v>
      </c>
      <c r="U40" s="88" t="n">
        <f aca="false">T40/S40*100</f>
        <v>32.0372104848717</v>
      </c>
      <c r="V40" s="88" t="n">
        <f aca="false">_xlfn.VAR.S(Q40:Q42)</f>
        <v>13.5645340857853</v>
      </c>
      <c r="W40" s="135" t="n">
        <f aca="false">S40</f>
        <v>11.496026230281</v>
      </c>
      <c r="X40" s="88"/>
      <c r="Y40" s="135" t="n">
        <f aca="false">T40</f>
        <v>3.68300612079119</v>
      </c>
      <c r="Z40" s="28" t="n">
        <f aca="false">Y40/W40*100</f>
        <v>32.0372104848717</v>
      </c>
      <c r="AA40" s="136" t="n">
        <f aca="false">AVERAGE(R40:R42)</f>
        <v>234.975510538067</v>
      </c>
      <c r="AB40" s="88" t="n">
        <f aca="false">_xlfn.STDEV.S(R40:R42)</f>
        <v>68.528792577055</v>
      </c>
      <c r="AC40" s="88" t="n">
        <f aca="false">AB40/AA40*100</f>
        <v>29.1642275487058</v>
      </c>
      <c r="AD40" s="88" t="n">
        <f aca="false">_xlfn.VAR.S(R40:R42)</f>
        <v>4696.19541206904</v>
      </c>
      <c r="AE40" s="135" t="n">
        <f aca="false">AA40</f>
        <v>234.975510538067</v>
      </c>
      <c r="AF40" s="88"/>
      <c r="AG40" s="135" t="n">
        <f aca="false">AB40</f>
        <v>68.528792577055</v>
      </c>
      <c r="AH40" s="28" t="n">
        <f aca="false">AG40/AE40*100</f>
        <v>29.1642275487058</v>
      </c>
    </row>
    <row r="41" customFormat="false" ht="15" hidden="false" customHeight="false" outlineLevel="0" collapsed="false">
      <c r="B41" s="137" t="s">
        <v>81</v>
      </c>
      <c r="C41" s="138" t="n">
        <v>2</v>
      </c>
      <c r="D41" s="63" t="n">
        <v>0.202</v>
      </c>
      <c r="E41" s="94" t="n">
        <v>348.839</v>
      </c>
      <c r="F41" s="13" t="n">
        <v>28.945</v>
      </c>
      <c r="G41" s="13" t="n">
        <v>92.6</v>
      </c>
      <c r="H41" s="13" t="n">
        <v>91.2</v>
      </c>
      <c r="I41" s="96" t="n">
        <v>0.04</v>
      </c>
      <c r="J41" s="13" t="n">
        <v>20</v>
      </c>
      <c r="K41" s="13" t="n">
        <v>1</v>
      </c>
      <c r="L41" s="134" t="n">
        <v>1</v>
      </c>
      <c r="M41" s="51" t="n">
        <f aca="false">AK7</f>
        <v>250000000</v>
      </c>
      <c r="N41" s="53" t="n">
        <f aca="false">M41*10</f>
        <v>2500000000</v>
      </c>
      <c r="O41" s="53" t="n">
        <f aca="false">(N41*D41)/AO7</f>
        <v>5050000000.00001</v>
      </c>
      <c r="P41" s="53" t="n">
        <f aca="false">I41/O41</f>
        <v>7.92079207920791E-012</v>
      </c>
      <c r="Q41" s="114" t="n">
        <f aca="false">P41*10^12</f>
        <v>7.92079207920791</v>
      </c>
      <c r="R41" s="53" t="n">
        <f aca="false">I41/(D41/1000)</f>
        <v>198.019801980198</v>
      </c>
      <c r="S41" s="115"/>
      <c r="T41" s="53"/>
      <c r="U41" s="53"/>
      <c r="V41" s="53"/>
      <c r="W41" s="53"/>
      <c r="X41" s="53"/>
      <c r="Y41" s="53"/>
      <c r="Z41" s="57"/>
      <c r="AA41" s="116"/>
      <c r="AB41" s="53"/>
      <c r="AC41" s="53"/>
      <c r="AD41" s="53"/>
      <c r="AE41" s="53"/>
      <c r="AF41" s="53"/>
      <c r="AG41" s="53"/>
      <c r="AH41" s="57"/>
    </row>
    <row r="42" customFormat="false" ht="16" hidden="false" customHeight="false" outlineLevel="0" collapsed="false">
      <c r="B42" s="139" t="s">
        <v>81</v>
      </c>
      <c r="C42" s="140" t="n">
        <v>3</v>
      </c>
      <c r="D42" s="73" t="n">
        <v>0.121</v>
      </c>
      <c r="E42" s="100" t="n">
        <v>326.022</v>
      </c>
      <c r="F42" s="20" t="n">
        <v>26.997</v>
      </c>
      <c r="G42" s="20" t="n">
        <v>92.5</v>
      </c>
      <c r="H42" s="20" t="n">
        <v>91.3</v>
      </c>
      <c r="I42" s="101" t="n">
        <v>0.038</v>
      </c>
      <c r="J42" s="20" t="n">
        <v>31.3</v>
      </c>
      <c r="K42" s="20" t="n">
        <v>1</v>
      </c>
      <c r="L42" s="141" t="n">
        <v>1</v>
      </c>
      <c r="M42" s="78" t="n">
        <f aca="false">AK10</f>
        <v>308333333.333333</v>
      </c>
      <c r="N42" s="80" t="n">
        <f aca="false">M42*10</f>
        <v>3083333333.33333</v>
      </c>
      <c r="O42" s="80" t="n">
        <f aca="false">(N42*D42)/AO10</f>
        <v>2487222222.22222</v>
      </c>
      <c r="P42" s="80" t="n">
        <f aca="false">I42/O42</f>
        <v>1.52780880053607E-011</v>
      </c>
      <c r="Q42" s="119" t="n">
        <f aca="false">P42*10^12</f>
        <v>15.2780880053607</v>
      </c>
      <c r="R42" s="53" t="n">
        <f aca="false">I42/(D42/1000)</f>
        <v>314.049586776859</v>
      </c>
      <c r="S42" s="120"/>
      <c r="T42" s="80"/>
      <c r="U42" s="80"/>
      <c r="V42" s="80"/>
      <c r="W42" s="80"/>
      <c r="X42" s="80"/>
      <c r="Y42" s="80"/>
      <c r="Z42" s="121"/>
      <c r="AA42" s="122"/>
      <c r="AB42" s="80"/>
      <c r="AC42" s="80"/>
      <c r="AD42" s="80"/>
      <c r="AE42" s="80"/>
      <c r="AF42" s="80"/>
      <c r="AG42" s="80"/>
      <c r="AH42" s="121"/>
    </row>
    <row r="43" customFormat="false" ht="17" hidden="false" customHeight="false" outlineLevel="0" collapsed="false">
      <c r="B43" s="142" t="s">
        <v>31</v>
      </c>
      <c r="C43" s="143"/>
      <c r="D43" s="144"/>
      <c r="E43" s="145" t="s">
        <v>28</v>
      </c>
      <c r="F43" s="145"/>
      <c r="G43" s="145"/>
      <c r="H43" s="145"/>
      <c r="I43" s="145"/>
      <c r="J43" s="145"/>
      <c r="K43" s="145"/>
      <c r="L43" s="145"/>
      <c r="M43" s="146"/>
      <c r="N43" s="146"/>
      <c r="O43" s="146"/>
      <c r="P43" s="146"/>
      <c r="Q43" s="146"/>
      <c r="R43" s="146"/>
      <c r="S43" s="147" t="s">
        <v>25</v>
      </c>
      <c r="T43" s="147"/>
      <c r="U43" s="147"/>
      <c r="V43" s="147"/>
      <c r="W43" s="147"/>
      <c r="X43" s="147"/>
      <c r="Y43" s="147"/>
      <c r="Z43" s="147"/>
      <c r="AA43" s="148" t="s">
        <v>29</v>
      </c>
      <c r="AB43" s="148"/>
      <c r="AC43" s="148"/>
      <c r="AD43" s="148"/>
      <c r="AE43" s="148"/>
      <c r="AF43" s="148"/>
      <c r="AG43" s="148"/>
      <c r="AH43" s="148"/>
    </row>
    <row r="44" customFormat="false" ht="49" hidden="false" customHeight="false" outlineLevel="0" collapsed="false">
      <c r="B44" s="37" t="s">
        <v>31</v>
      </c>
      <c r="C44" s="149"/>
      <c r="D44" s="40" t="s">
        <v>33</v>
      </c>
      <c r="E44" s="34" t="s">
        <v>34</v>
      </c>
      <c r="F44" s="7" t="s">
        <v>35</v>
      </c>
      <c r="G44" s="7" t="s">
        <v>36</v>
      </c>
      <c r="H44" s="7" t="s">
        <v>37</v>
      </c>
      <c r="I44" s="36" t="s">
        <v>38</v>
      </c>
      <c r="J44" s="7" t="s">
        <v>39</v>
      </c>
      <c r="K44" s="7" t="s">
        <v>40</v>
      </c>
      <c r="L44" s="35" t="s">
        <v>41</v>
      </c>
      <c r="M44" s="37" t="s">
        <v>42</v>
      </c>
      <c r="N44" s="38" t="s">
        <v>43</v>
      </c>
      <c r="O44" s="38" t="s">
        <v>44</v>
      </c>
      <c r="P44" s="38" t="s">
        <v>45</v>
      </c>
      <c r="Q44" s="38" t="s">
        <v>25</v>
      </c>
      <c r="R44" s="38" t="s">
        <v>29</v>
      </c>
      <c r="S44" s="37" t="s">
        <v>46</v>
      </c>
      <c r="T44" s="38" t="s">
        <v>47</v>
      </c>
      <c r="U44" s="38" t="s">
        <v>48</v>
      </c>
      <c r="V44" s="38" t="s">
        <v>27</v>
      </c>
      <c r="W44" s="38" t="s">
        <v>49</v>
      </c>
      <c r="X44" s="38" t="s">
        <v>52</v>
      </c>
      <c r="Y44" s="38" t="s">
        <v>53</v>
      </c>
      <c r="Z44" s="150" t="s">
        <v>48</v>
      </c>
      <c r="AA44" s="37" t="s">
        <v>46</v>
      </c>
      <c r="AB44" s="38" t="s">
        <v>47</v>
      </c>
      <c r="AC44" s="38" t="s">
        <v>48</v>
      </c>
      <c r="AD44" s="38" t="s">
        <v>27</v>
      </c>
      <c r="AE44" s="38" t="s">
        <v>49</v>
      </c>
      <c r="AF44" s="38" t="s">
        <v>52</v>
      </c>
      <c r="AG44" s="38" t="s">
        <v>53</v>
      </c>
      <c r="AH44" s="150" t="s">
        <v>48</v>
      </c>
    </row>
    <row r="45" customFormat="false" ht="15" hidden="false" customHeight="false" outlineLevel="0" collapsed="false">
      <c r="B45" s="44" t="s">
        <v>55</v>
      </c>
      <c r="C45" s="45" t="s">
        <v>56</v>
      </c>
      <c r="D45" s="151" t="n">
        <v>0.144</v>
      </c>
      <c r="E45" s="47" t="n">
        <v>51.255</v>
      </c>
      <c r="F45" s="48" t="n">
        <v>5.957</v>
      </c>
      <c r="G45" s="48" t="n">
        <v>7.6</v>
      </c>
      <c r="H45" s="48" t="n">
        <v>10.3</v>
      </c>
      <c r="I45" s="49" t="n">
        <v>0.017</v>
      </c>
      <c r="J45" s="48" t="n">
        <v>11.6</v>
      </c>
      <c r="K45" s="48" t="n">
        <v>0.083</v>
      </c>
      <c r="L45" s="50" t="n">
        <v>4.227</v>
      </c>
      <c r="M45" s="51" t="n">
        <f aca="false">E4</f>
        <v>778333333.333333</v>
      </c>
      <c r="N45" s="152" t="n">
        <f aca="false">M45*10</f>
        <v>7783333333.33333</v>
      </c>
      <c r="O45" s="152" t="n">
        <f aca="false">(N45*D45)/H3</f>
        <v>1867999999.99993</v>
      </c>
      <c r="P45" s="153" t="n">
        <f aca="false">I45/O45</f>
        <v>9.10064239828728E-012</v>
      </c>
      <c r="Q45" s="97" t="n">
        <f aca="false">P45*10^12</f>
        <v>9.10064239828728</v>
      </c>
      <c r="R45" s="25" t="n">
        <f aca="false">I45/(D45/1000)</f>
        <v>118.055555555556</v>
      </c>
      <c r="S45" s="154" t="n">
        <f aca="false">AVERAGE(Q45:Q46)</f>
        <v>9.10064239828728</v>
      </c>
      <c r="T45" s="128" t="n">
        <f aca="false">_xlfn.STDEV.S(Q45:Q46)</f>
        <v>0</v>
      </c>
      <c r="U45" s="128" t="n">
        <f aca="false">T45/S45*100</f>
        <v>0</v>
      </c>
      <c r="V45" s="128" t="n">
        <f aca="false">_xlfn.VAR.S(Q45:Q46)</f>
        <v>0</v>
      </c>
      <c r="W45" s="131" t="n">
        <f aca="false">AVERAGE(S45:S50)</f>
        <v>10.2578413401881</v>
      </c>
      <c r="X45" s="128" t="n">
        <f aca="false">(V45^2+V47^2+V49^2+(2*((S45-W45)^2))+(2*((S47-W45)^2))+(2*((S49-W45)^2)))/(6-1)</f>
        <v>2.59839445683533</v>
      </c>
      <c r="Y45" s="136" t="n">
        <f aca="false">SQRT(X45)</f>
        <v>1.61195361497635</v>
      </c>
      <c r="Z45" s="28" t="n">
        <f aca="false">Y45/W45*100</f>
        <v>15.7143551115482</v>
      </c>
      <c r="AA45" s="155" t="n">
        <f aca="false">AVERAGE(R45:R46)</f>
        <v>118.055555555556</v>
      </c>
      <c r="AB45" s="128" t="n">
        <f aca="false">_xlfn.STDEV.S(R45:R46)</f>
        <v>0</v>
      </c>
      <c r="AC45" s="128" t="n">
        <f aca="false">AB45/AA45*100</f>
        <v>0</v>
      </c>
      <c r="AD45" s="128" t="n">
        <f aca="false">_xlfn.VAR.S(R45:R46)</f>
        <v>0</v>
      </c>
      <c r="AE45" s="156" t="n">
        <f aca="false">AVERAGE(AA45,AA47,AA49)</f>
        <v>115.165239341536</v>
      </c>
      <c r="AF45" s="128" t="n">
        <f aca="false">(AD45^2+AD47^2+AD49^2+(2*((AA45-AE45)^2))+(2*((AA47-AE45)^2))+(2*((AA49-AE45)^2)))/(6-1)</f>
        <v>158.514078347377</v>
      </c>
      <c r="AG45" s="136" t="n">
        <f aca="false">SQRT(AF45)</f>
        <v>12.5902374222005</v>
      </c>
      <c r="AH45" s="28" t="n">
        <f aca="false">AG45/AE45*100</f>
        <v>10.9323242796054</v>
      </c>
    </row>
    <row r="46" customFormat="false" ht="15" hidden="false" customHeight="false" outlineLevel="0" collapsed="false">
      <c r="B46" s="61" t="s">
        <v>55</v>
      </c>
      <c r="C46" s="62" t="s">
        <v>59</v>
      </c>
      <c r="D46" s="125" t="n">
        <v>0.144</v>
      </c>
      <c r="E46" s="34" t="n">
        <v>51.224</v>
      </c>
      <c r="F46" s="7" t="n">
        <v>9.966</v>
      </c>
      <c r="G46" s="7" t="n">
        <v>7.7</v>
      </c>
      <c r="H46" s="7" t="n">
        <v>10.3</v>
      </c>
      <c r="I46" s="36" t="n">
        <v>0.017</v>
      </c>
      <c r="J46" s="7" t="n">
        <v>11.7</v>
      </c>
      <c r="K46" s="7" t="n">
        <v>0.083</v>
      </c>
      <c r="L46" s="35" t="n">
        <v>4.285</v>
      </c>
      <c r="M46" s="51" t="n">
        <f aca="false">E4</f>
        <v>778333333.333333</v>
      </c>
      <c r="N46" s="152" t="n">
        <f aca="false">M46*10</f>
        <v>7783333333.33333</v>
      </c>
      <c r="O46" s="152" t="n">
        <f aca="false">(N46*D46)/H3</f>
        <v>1867999999.99993</v>
      </c>
      <c r="P46" s="153" t="n">
        <f aca="false">I46/O46</f>
        <v>9.10064239828728E-012</v>
      </c>
      <c r="Q46" s="97" t="n">
        <f aca="false">P46*10^12</f>
        <v>9.10064239828728</v>
      </c>
      <c r="R46" s="25" t="n">
        <f aca="false">I46/(D46/1000)</f>
        <v>118.055555555556</v>
      </c>
      <c r="S46" s="54"/>
      <c r="T46" s="12"/>
      <c r="U46" s="12"/>
      <c r="V46" s="12"/>
      <c r="W46" s="12"/>
      <c r="X46" s="12"/>
      <c r="Y46" s="53"/>
      <c r="Z46" s="57"/>
      <c r="AA46" s="12"/>
      <c r="AB46" s="12"/>
      <c r="AC46" s="12"/>
      <c r="AD46" s="12"/>
      <c r="AE46" s="12"/>
      <c r="AF46" s="12"/>
      <c r="AG46" s="53"/>
      <c r="AH46" s="57"/>
    </row>
    <row r="47" customFormat="false" ht="15" hidden="false" customHeight="false" outlineLevel="0" collapsed="false">
      <c r="B47" s="61" t="s">
        <v>55</v>
      </c>
      <c r="C47" s="62" t="s">
        <v>63</v>
      </c>
      <c r="D47" s="125" t="n">
        <v>0.146</v>
      </c>
      <c r="E47" s="34" t="n">
        <v>51.28</v>
      </c>
      <c r="F47" s="7" t="n">
        <v>5.9</v>
      </c>
      <c r="G47" s="7" t="n">
        <v>7.5</v>
      </c>
      <c r="H47" s="7" t="n">
        <v>10</v>
      </c>
      <c r="I47" s="36" t="n">
        <v>0.017</v>
      </c>
      <c r="J47" s="7" t="n">
        <v>11.5</v>
      </c>
      <c r="K47" s="7" t="n">
        <v>0.081</v>
      </c>
      <c r="L47" s="35" t="n">
        <v>4.402</v>
      </c>
      <c r="M47" s="51" t="n">
        <f aca="false">E7</f>
        <v>603333333.333333</v>
      </c>
      <c r="N47" s="152" t="n">
        <f aca="false">M47*10</f>
        <v>6033333333.33333</v>
      </c>
      <c r="O47" s="152" t="n">
        <f aca="false">(N47*D47)/H6</f>
        <v>1761733333.33333</v>
      </c>
      <c r="P47" s="153" t="n">
        <f aca="false">I47/O47</f>
        <v>9.6495875274351E-012</v>
      </c>
      <c r="Q47" s="97" t="n">
        <f aca="false">P47*10^12</f>
        <v>9.6495875274351</v>
      </c>
      <c r="R47" s="25" t="n">
        <f aca="false">I47/(D47/1000)</f>
        <v>116.438356164384</v>
      </c>
      <c r="S47" s="157" t="n">
        <f aca="false">AVERAGE(Q47:Q48)</f>
        <v>9.3415647306993</v>
      </c>
      <c r="T47" s="12" t="n">
        <f aca="false">_xlfn.STDEV.S(Q47:Q48)</f>
        <v>0.435610016663862</v>
      </c>
      <c r="U47" s="12" t="n">
        <f aca="false">T47/S47*100</f>
        <v>4.66313759227415</v>
      </c>
      <c r="V47" s="12" t="n">
        <f aca="false">_xlfn.VAR.S(Q47:Q48)</f>
        <v>0.18975608661789</v>
      </c>
      <c r="W47" s="12"/>
      <c r="X47" s="12"/>
      <c r="Y47" s="53"/>
      <c r="Z47" s="57"/>
      <c r="AA47" s="8" t="n">
        <f aca="false">AVERAGE(R47:R48)</f>
        <v>112.721547750438</v>
      </c>
      <c r="AB47" s="12" t="n">
        <f aca="false">_xlfn.STDEV.S(R47:R48)</f>
        <v>5.25636086774394</v>
      </c>
      <c r="AC47" s="12" t="n">
        <f aca="false">AB47/AA47*100</f>
        <v>4.66313759227415</v>
      </c>
      <c r="AD47" s="12" t="n">
        <f aca="false">_xlfn.VAR.S(R47:R48)</f>
        <v>27.6293295719498</v>
      </c>
      <c r="AE47" s="12"/>
      <c r="AF47" s="12"/>
      <c r="AG47" s="53"/>
      <c r="AH47" s="57"/>
    </row>
    <row r="48" customFormat="false" ht="15" hidden="false" customHeight="false" outlineLevel="0" collapsed="false">
      <c r="B48" s="61" t="s">
        <v>55</v>
      </c>
      <c r="C48" s="62" t="s">
        <v>66</v>
      </c>
      <c r="D48" s="125" t="n">
        <v>0.211</v>
      </c>
      <c r="E48" s="34" t="n">
        <v>71.79</v>
      </c>
      <c r="F48" s="7" t="n">
        <v>8.336</v>
      </c>
      <c r="G48" s="7" t="n">
        <v>7.6</v>
      </c>
      <c r="H48" s="7" t="n">
        <v>10.4</v>
      </c>
      <c r="I48" s="36" t="n">
        <v>0.023</v>
      </c>
      <c r="J48" s="7" t="n">
        <v>11.1</v>
      </c>
      <c r="K48" s="7" t="n">
        <v>0.083</v>
      </c>
      <c r="L48" s="35" t="n">
        <v>4.316</v>
      </c>
      <c r="M48" s="51" t="n">
        <f aca="false">E7</f>
        <v>603333333.333333</v>
      </c>
      <c r="N48" s="152" t="n">
        <f aca="false">M48*10</f>
        <v>6033333333.33333</v>
      </c>
      <c r="O48" s="152" t="n">
        <f aca="false">(N48*D48)/H6</f>
        <v>2546066666.66667</v>
      </c>
      <c r="P48" s="153" t="n">
        <f aca="false">I48/O48</f>
        <v>9.0335419339635E-012</v>
      </c>
      <c r="Q48" s="97" t="n">
        <f aca="false">P48*10^12</f>
        <v>9.0335419339635</v>
      </c>
      <c r="R48" s="25" t="n">
        <f aca="false">I48/(D48/1000)</f>
        <v>109.004739336493</v>
      </c>
      <c r="S48" s="54"/>
      <c r="T48" s="12"/>
      <c r="U48" s="12"/>
      <c r="V48" s="12"/>
      <c r="W48" s="12"/>
      <c r="X48" s="12"/>
      <c r="Y48" s="53"/>
      <c r="Z48" s="57"/>
      <c r="AA48" s="12"/>
      <c r="AB48" s="12"/>
      <c r="AC48" s="12"/>
      <c r="AD48" s="12"/>
      <c r="AE48" s="12"/>
      <c r="AF48" s="12"/>
      <c r="AG48" s="53"/>
      <c r="AH48" s="57"/>
    </row>
    <row r="49" customFormat="false" ht="15" hidden="false" customHeight="false" outlineLevel="0" collapsed="false">
      <c r="B49" s="61" t="s">
        <v>55</v>
      </c>
      <c r="C49" s="62" t="s">
        <v>68</v>
      </c>
      <c r="D49" s="125" t="n">
        <v>0.14</v>
      </c>
      <c r="E49" s="34" t="n">
        <v>49.552</v>
      </c>
      <c r="F49" s="7" t="n">
        <v>5.619</v>
      </c>
      <c r="G49" s="7" t="n">
        <v>7.7</v>
      </c>
      <c r="H49" s="7" t="n">
        <v>10.3</v>
      </c>
      <c r="I49" s="36" t="n">
        <v>0.016</v>
      </c>
      <c r="J49" s="7" t="n">
        <v>11.5</v>
      </c>
      <c r="K49" s="7" t="n">
        <v>0.084</v>
      </c>
      <c r="L49" s="35" t="n">
        <v>4.243</v>
      </c>
      <c r="M49" s="51" t="n">
        <f aca="false">E10</f>
        <v>1023333333.33333</v>
      </c>
      <c r="N49" s="152" t="n">
        <f aca="false">M49*10</f>
        <v>10233333333.3333</v>
      </c>
      <c r="O49" s="152" t="n">
        <f aca="false">(N49*D49)/H9</f>
        <v>1302424242.42422</v>
      </c>
      <c r="P49" s="153" t="n">
        <f aca="false">I49/O49</f>
        <v>1.22847836202888E-011</v>
      </c>
      <c r="Q49" s="97" t="n">
        <f aca="false">P49*10^12</f>
        <v>12.2847836202888</v>
      </c>
      <c r="R49" s="25" t="n">
        <f aca="false">I49/(D49/1000)</f>
        <v>114.285714285714</v>
      </c>
      <c r="S49" s="157" t="n">
        <f aca="false">AVERAGE(Q49:Q50)</f>
        <v>12.3313168915777</v>
      </c>
      <c r="T49" s="12" t="n">
        <f aca="false">_xlfn.STDEV.S(Q49:Q50)</f>
        <v>0.0658079833584519</v>
      </c>
      <c r="U49" s="12" t="n">
        <f aca="false">T49/S49*100</f>
        <v>0.533665495235132</v>
      </c>
      <c r="V49" s="12" t="n">
        <f aca="false">_xlfn.VAR.S(Q49:Q50)</f>
        <v>0.00433069067370628</v>
      </c>
      <c r="W49" s="12"/>
      <c r="X49" s="12"/>
      <c r="Y49" s="53"/>
      <c r="Z49" s="57"/>
      <c r="AA49" s="8" t="n">
        <f aca="false">AVERAGE(R49:R50)</f>
        <v>114.718614718615</v>
      </c>
      <c r="AB49" s="12" t="n">
        <f aca="false">_xlfn.STDEV.S(R49:R50)</f>
        <v>0.612213663364985</v>
      </c>
      <c r="AC49" s="12" t="n">
        <f aca="false">AB49/AA49*100</f>
        <v>0.533665495235138</v>
      </c>
      <c r="AD49" s="12" t="n">
        <f aca="false">_xlfn.VAR.S(R49:R50)</f>
        <v>0.374805569610775</v>
      </c>
      <c r="AE49" s="12"/>
      <c r="AF49" s="12"/>
      <c r="AG49" s="53"/>
      <c r="AH49" s="57"/>
    </row>
    <row r="50" customFormat="false" ht="16" hidden="false" customHeight="false" outlineLevel="0" collapsed="false">
      <c r="B50" s="71" t="s">
        <v>55</v>
      </c>
      <c r="C50" s="72" t="s">
        <v>71</v>
      </c>
      <c r="D50" s="158" t="n">
        <v>0.165</v>
      </c>
      <c r="E50" s="159" t="n">
        <v>57.456</v>
      </c>
      <c r="F50" s="18" t="n">
        <v>6.603</v>
      </c>
      <c r="G50" s="18" t="n">
        <v>7.7</v>
      </c>
      <c r="H50" s="18" t="n">
        <v>10.3</v>
      </c>
      <c r="I50" s="160" t="n">
        <v>0.019</v>
      </c>
      <c r="J50" s="18" t="n">
        <v>11.4</v>
      </c>
      <c r="K50" s="18" t="n">
        <v>0.084</v>
      </c>
      <c r="L50" s="161" t="n">
        <v>4.226</v>
      </c>
      <c r="M50" s="51" t="n">
        <f aca="false">E10</f>
        <v>1023333333.33333</v>
      </c>
      <c r="N50" s="152" t="n">
        <f aca="false">M50*10</f>
        <v>10233333333.3333</v>
      </c>
      <c r="O50" s="152" t="n">
        <f aca="false">(N50*D50)/H9</f>
        <v>1534999999.99997</v>
      </c>
      <c r="P50" s="153" t="n">
        <f aca="false">I50/O50</f>
        <v>1.23778501628667E-011</v>
      </c>
      <c r="Q50" s="97" t="n">
        <f aca="false">P50*10^12</f>
        <v>12.3778501628667</v>
      </c>
      <c r="R50" s="25" t="n">
        <f aca="false">I50/(D50/1000)</f>
        <v>115.151515151515</v>
      </c>
      <c r="S50" s="162"/>
      <c r="T50" s="22"/>
      <c r="U50" s="22"/>
      <c r="V50" s="22"/>
      <c r="W50" s="22"/>
      <c r="X50" s="22"/>
      <c r="Y50" s="80"/>
      <c r="Z50" s="121"/>
      <c r="AA50" s="22"/>
      <c r="AB50" s="22"/>
      <c r="AC50" s="22"/>
      <c r="AD50" s="22"/>
      <c r="AE50" s="22"/>
      <c r="AF50" s="22"/>
      <c r="AG50" s="80"/>
      <c r="AH50" s="121"/>
    </row>
    <row r="51" customFormat="false" ht="15" hidden="false" customHeight="false" outlineLevel="0" collapsed="false">
      <c r="B51" s="82" t="s">
        <v>73</v>
      </c>
      <c r="C51" s="83" t="s">
        <v>56</v>
      </c>
      <c r="D51" s="151" t="n">
        <v>0.242</v>
      </c>
      <c r="E51" s="84" t="n">
        <v>32.683</v>
      </c>
      <c r="F51" s="85" t="n">
        <v>3.661</v>
      </c>
      <c r="G51" s="85" t="n">
        <v>3.4</v>
      </c>
      <c r="H51" s="85" t="n">
        <v>4.7</v>
      </c>
      <c r="I51" s="86" t="n">
        <v>0.011</v>
      </c>
      <c r="J51" s="85" t="n">
        <v>4.4</v>
      </c>
      <c r="K51" s="85" t="n">
        <v>0.036</v>
      </c>
      <c r="L51" s="163" t="n">
        <v>10.006</v>
      </c>
      <c r="M51" s="87" t="n">
        <f aca="false">M4</f>
        <v>456666666.666667</v>
      </c>
      <c r="N51" s="164" t="n">
        <f aca="false">M51*10</f>
        <v>4566666666.66667</v>
      </c>
      <c r="O51" s="164" t="n">
        <f aca="false">(N51*D51)/P3</f>
        <v>2762833333.33349</v>
      </c>
      <c r="P51" s="165" t="n">
        <f aca="false">I51/O51</f>
        <v>3.98142003981397E-012</v>
      </c>
      <c r="Q51" s="166" t="n">
        <f aca="false">P51*10^12</f>
        <v>3.98142003981397</v>
      </c>
      <c r="R51" s="25" t="n">
        <f aca="false">I51/(D51/1000)</f>
        <v>45.4545454545455</v>
      </c>
      <c r="S51" s="154" t="n">
        <f aca="false">AVERAGE(Q51:Q52)</f>
        <v>4.02771562167228</v>
      </c>
      <c r="T51" s="128" t="n">
        <f aca="false">_xlfn.STDEV.S(Q51:Q52)</f>
        <v>0.0654718397419645</v>
      </c>
      <c r="U51" s="128" t="n">
        <f aca="false">T51/S51*100</f>
        <v>1.6255328303139</v>
      </c>
      <c r="V51" s="128" t="n">
        <f aca="false">_xlfn.VAR.S(Q51:Q52)</f>
        <v>0.00428656179919748</v>
      </c>
      <c r="W51" s="167" t="n">
        <f aca="false">AVERAGE(S51,S53)</f>
        <v>3.84900115932533</v>
      </c>
      <c r="X51" s="128" t="n">
        <f aca="false">(V51^2+V53^2+(2*((S51-W51)^2))+(2*((S53-W51)^2)))/(4-1)</f>
        <v>0.0431980563957764</v>
      </c>
      <c r="Y51" s="168" t="n">
        <f aca="false">SQRT(X51)</f>
        <v>0.207841421270584</v>
      </c>
      <c r="Z51" s="169" t="n">
        <f aca="false">Y51/W51*100</f>
        <v>5.39987941461196</v>
      </c>
      <c r="AA51" s="155" t="n">
        <f aca="false">AVERAGE(R51:R52)</f>
        <v>45.9830866807611</v>
      </c>
      <c r="AB51" s="128" t="n">
        <f aca="false">_xlfn.STDEV.S(R51:R52)</f>
        <v>0.747470170387475</v>
      </c>
      <c r="AC51" s="128" t="n">
        <f aca="false">AB51/AA51*100</f>
        <v>1.62553283031391</v>
      </c>
      <c r="AD51" s="128" t="n">
        <f aca="false">_xlfn.VAR.S(R51:R52)</f>
        <v>0.558711655619081</v>
      </c>
      <c r="AE51" s="170" t="n">
        <f aca="false">AVERAGE(AA51,AA53,AA55)</f>
        <v>48.1721419749188</v>
      </c>
      <c r="AF51" s="128" t="n">
        <f aca="false">(AD51^2+AD53^2+AD55^2+(2*((AA51-AE51)^2))+(2*((AA53-AE51)^2))+(2*((AA55-AE51)^2)))/(6-1)</f>
        <v>10044.116357822</v>
      </c>
      <c r="AG51" s="168" t="n">
        <f aca="false">SQRT(AF51)</f>
        <v>100.220339042642</v>
      </c>
      <c r="AH51" s="28" t="n">
        <f aca="false">AG51/AE51*100</f>
        <v>208.04625855089</v>
      </c>
    </row>
    <row r="52" customFormat="false" ht="15" hidden="false" customHeight="false" outlineLevel="0" collapsed="false">
      <c r="B52" s="92" t="s">
        <v>73</v>
      </c>
      <c r="C52" s="93" t="s">
        <v>59</v>
      </c>
      <c r="D52" s="125" t="n">
        <v>0.172</v>
      </c>
      <c r="E52" s="94" t="n">
        <v>24.057</v>
      </c>
      <c r="F52" s="171" t="n">
        <v>2.731</v>
      </c>
      <c r="G52" s="13" t="n">
        <v>3.4</v>
      </c>
      <c r="H52" s="13" t="n">
        <v>4.7</v>
      </c>
      <c r="I52" s="96" t="n">
        <v>0.008</v>
      </c>
      <c r="J52" s="13" t="n">
        <v>4.6</v>
      </c>
      <c r="K52" s="13" t="n">
        <v>0.036</v>
      </c>
      <c r="L52" s="134" t="n">
        <v>9.976</v>
      </c>
      <c r="M52" s="51" t="n">
        <f aca="false">M4</f>
        <v>456666666.666667</v>
      </c>
      <c r="N52" s="52" t="n">
        <f aca="false">M52*10</f>
        <v>4566666666.66667</v>
      </c>
      <c r="O52" s="52" t="n">
        <f aca="false">(N52*D52)/P3</f>
        <v>1963666666.66678</v>
      </c>
      <c r="P52" s="172" t="n">
        <f aca="false">I52/O52</f>
        <v>4.07401120353058E-012</v>
      </c>
      <c r="Q52" s="173" t="n">
        <f aca="false">P52*10^12</f>
        <v>4.07401120353058</v>
      </c>
      <c r="R52" s="25" t="n">
        <f aca="false">I52/(D52/1000)</f>
        <v>46.5116279069767</v>
      </c>
      <c r="S52" s="54"/>
      <c r="T52" s="12"/>
      <c r="U52" s="12"/>
      <c r="V52" s="12"/>
      <c r="W52" s="12"/>
      <c r="X52" s="12"/>
      <c r="Y52" s="53"/>
      <c r="Z52" s="57"/>
      <c r="AA52" s="12"/>
      <c r="AB52" s="12"/>
      <c r="AC52" s="12"/>
      <c r="AD52" s="12"/>
      <c r="AE52" s="12"/>
      <c r="AF52" s="12"/>
      <c r="AG52" s="53"/>
      <c r="AH52" s="57"/>
    </row>
    <row r="53" customFormat="false" ht="15" hidden="false" customHeight="false" outlineLevel="0" collapsed="false">
      <c r="B53" s="92" t="s">
        <v>73</v>
      </c>
      <c r="C53" s="93" t="s">
        <v>63</v>
      </c>
      <c r="D53" s="125" t="n">
        <v>0.187</v>
      </c>
      <c r="E53" s="94" t="n">
        <v>27.35</v>
      </c>
      <c r="F53" s="171" t="n">
        <v>3.092</v>
      </c>
      <c r="G53" s="13" t="n">
        <v>3.5</v>
      </c>
      <c r="H53" s="13" t="n">
        <v>4.7</v>
      </c>
      <c r="I53" s="96" t="n">
        <v>0.009</v>
      </c>
      <c r="J53" s="13" t="n">
        <v>4.8</v>
      </c>
      <c r="K53" s="13" t="n">
        <v>0.038</v>
      </c>
      <c r="L53" s="134" t="n">
        <v>9.424</v>
      </c>
      <c r="M53" s="51" t="n">
        <f aca="false">M7</f>
        <v>378333333.333333</v>
      </c>
      <c r="N53" s="52" t="n">
        <f aca="false">M53*10</f>
        <v>3783333333.33333</v>
      </c>
      <c r="O53" s="52" t="n">
        <f aca="false">(N53*D53)/P6</f>
        <v>2358277777.77724</v>
      </c>
      <c r="P53" s="172" t="n">
        <f aca="false">I53/O53</f>
        <v>3.8163443190661E-012</v>
      </c>
      <c r="Q53" s="173" t="n">
        <f aca="false">P53*10^12</f>
        <v>3.8163443190661</v>
      </c>
      <c r="R53" s="25" t="n">
        <f aca="false">I53/(D53/1000)</f>
        <v>48.1283422459893</v>
      </c>
      <c r="S53" s="157" t="n">
        <f aca="false">AVERAGE(Q53:Q54)</f>
        <v>3.67028669697838</v>
      </c>
      <c r="T53" s="12" t="n">
        <f aca="false">_xlfn.STDEV.S(Q53:Q54)</f>
        <v>0.20655667004441</v>
      </c>
      <c r="U53" s="12" t="n">
        <f aca="false">T53/S53*100</f>
        <v>5.6278075010996</v>
      </c>
      <c r="V53" s="12" t="n">
        <f aca="false">_xlfn.VAR.S(Q53:Q54)</f>
        <v>0.0426656579398353</v>
      </c>
      <c r="W53" s="12"/>
      <c r="X53" s="12"/>
      <c r="Y53" s="53"/>
      <c r="Z53" s="57"/>
      <c r="AA53" s="8" t="n">
        <f aca="false">AVERAGE(R53:R54)</f>
        <v>46.2863933452169</v>
      </c>
      <c r="AB53" s="12" t="n">
        <f aca="false">_xlfn.STDEV.S(R53:R54)</f>
        <v>2.60490911667058</v>
      </c>
      <c r="AC53" s="12" t="n">
        <f aca="false">AB53/AA53*100</f>
        <v>5.62780750109959</v>
      </c>
      <c r="AD53" s="12" t="n">
        <f aca="false">_xlfn.VAR.S(R53:R54)</f>
        <v>6.7855515061135</v>
      </c>
      <c r="AE53" s="12"/>
      <c r="AF53" s="12"/>
      <c r="AG53" s="53"/>
      <c r="AH53" s="57"/>
    </row>
    <row r="54" customFormat="false" ht="15" hidden="false" customHeight="false" outlineLevel="0" collapsed="false">
      <c r="B54" s="92" t="s">
        <v>73</v>
      </c>
      <c r="C54" s="93" t="s">
        <v>66</v>
      </c>
      <c r="D54" s="125" t="n">
        <v>0.09</v>
      </c>
      <c r="E54" s="94" t="n">
        <v>10.796</v>
      </c>
      <c r="F54" s="171" t="n">
        <v>1.218</v>
      </c>
      <c r="G54" s="13" t="n">
        <v>2.4</v>
      </c>
      <c r="H54" s="13" t="n">
        <v>3.1</v>
      </c>
      <c r="I54" s="96" t="n">
        <v>0.004</v>
      </c>
      <c r="J54" s="13" t="n">
        <v>3.9</v>
      </c>
      <c r="K54" s="13" t="n">
        <v>0.032</v>
      </c>
      <c r="L54" s="134" t="n">
        <v>11.049</v>
      </c>
      <c r="M54" s="51" t="n">
        <f aca="false">M7</f>
        <v>378333333.333333</v>
      </c>
      <c r="N54" s="52" t="n">
        <f aca="false">M54*10</f>
        <v>3783333333.33333</v>
      </c>
      <c r="O54" s="52" t="n">
        <f aca="false">(N54*D54)/P6</f>
        <v>1134999999.99974</v>
      </c>
      <c r="P54" s="172" t="n">
        <f aca="false">I54/O54</f>
        <v>3.52422907489067E-012</v>
      </c>
      <c r="Q54" s="173" t="n">
        <f aca="false">P54*10^12</f>
        <v>3.52422907489067</v>
      </c>
      <c r="R54" s="25" t="n">
        <f aca="false">I54/(D54/1000)</f>
        <v>44.4444444444444</v>
      </c>
      <c r="S54" s="54"/>
      <c r="T54" s="12"/>
      <c r="U54" s="12"/>
      <c r="V54" s="12"/>
      <c r="W54" s="12"/>
      <c r="X54" s="12"/>
      <c r="Y54" s="53"/>
      <c r="Z54" s="57"/>
      <c r="AA54" s="12"/>
      <c r="AB54" s="12"/>
      <c r="AC54" s="12"/>
      <c r="AD54" s="12"/>
      <c r="AE54" s="12"/>
      <c r="AF54" s="12"/>
      <c r="AG54" s="53"/>
      <c r="AH54" s="57"/>
    </row>
    <row r="55" customFormat="false" ht="15" hidden="false" customHeight="false" outlineLevel="0" collapsed="false">
      <c r="B55" s="92" t="s">
        <v>73</v>
      </c>
      <c r="C55" s="93" t="s">
        <v>68</v>
      </c>
      <c r="D55" s="125" t="n">
        <v>0.191</v>
      </c>
      <c r="E55" s="94" t="n">
        <v>36.548</v>
      </c>
      <c r="F55" s="171" t="n">
        <v>3.501</v>
      </c>
      <c r="G55" s="13" t="n">
        <v>4.5</v>
      </c>
      <c r="H55" s="13" t="n">
        <v>5.2</v>
      </c>
      <c r="I55" s="96" t="n">
        <v>0.012</v>
      </c>
      <c r="J55" s="13" t="n">
        <v>6.2</v>
      </c>
      <c r="K55" s="13" t="n">
        <v>0.049</v>
      </c>
      <c r="L55" s="134" t="n">
        <v>7.258</v>
      </c>
      <c r="M55" s="51" t="n">
        <f aca="false">M10</f>
        <v>416666666.666667</v>
      </c>
      <c r="N55" s="52" t="n">
        <f aca="false">M55*10</f>
        <v>4166666666.66667</v>
      </c>
      <c r="O55" s="52" t="n">
        <f aca="false">(N55*D55)/P9</f>
        <v>2652777777.77818</v>
      </c>
      <c r="P55" s="172" t="n">
        <f aca="false">I55/O55</f>
        <v>4.5235602094234E-012</v>
      </c>
      <c r="Q55" s="173" t="n">
        <f aca="false">P55*10^12</f>
        <v>4.5235602094234</v>
      </c>
      <c r="R55" s="25" t="n">
        <f aca="false">I55/(D55/1000)</f>
        <v>62.8272251308901</v>
      </c>
      <c r="S55" s="157" t="n">
        <f aca="false">AVERAGE(Q55:Q56)</f>
        <v>3.76178010471147</v>
      </c>
      <c r="T55" s="12" t="n">
        <f aca="false">_xlfn.STDEV.S(Q55:Q56)</f>
        <v>1.0773197556296</v>
      </c>
      <c r="U55" s="12" t="n">
        <f aca="false">T55/S55*100</f>
        <v>28.6385627453424</v>
      </c>
      <c r="V55" s="174" t="n">
        <f aca="false">_xlfn.VAR.S(Q55:Q56)</f>
        <v>1.16061785586982</v>
      </c>
      <c r="W55" s="12"/>
      <c r="X55" s="12"/>
      <c r="Y55" s="53"/>
      <c r="Z55" s="57"/>
      <c r="AA55" s="8" t="n">
        <f aca="false">AVERAGE(R55:R56)</f>
        <v>52.2469458987784</v>
      </c>
      <c r="AB55" s="12" t="n">
        <f aca="false">_xlfn.STDEV.S(R55:R56)</f>
        <v>14.9627743837467</v>
      </c>
      <c r="AC55" s="12" t="n">
        <f aca="false">AB55/AA55*100</f>
        <v>28.6385627453424</v>
      </c>
      <c r="AD55" s="12" t="n">
        <f aca="false">_xlfn.VAR.S(R55:R56)</f>
        <v>223.884617258907</v>
      </c>
      <c r="AE55" s="12"/>
      <c r="AF55" s="12"/>
      <c r="AG55" s="53"/>
      <c r="AH55" s="57"/>
      <c r="AL55" s="0" t="s">
        <v>58</v>
      </c>
      <c r="AM55" s="0" t="s">
        <v>25</v>
      </c>
    </row>
    <row r="56" customFormat="false" ht="16" hidden="false" customHeight="false" outlineLevel="0" collapsed="false">
      <c r="B56" s="98" t="s">
        <v>73</v>
      </c>
      <c r="C56" s="99" t="s">
        <v>71</v>
      </c>
      <c r="D56" s="158" t="n">
        <v>0.096</v>
      </c>
      <c r="E56" s="100" t="n">
        <v>12.732</v>
      </c>
      <c r="F56" s="20" t="n">
        <v>1.432</v>
      </c>
      <c r="G56" s="20" t="n">
        <v>3.3</v>
      </c>
      <c r="H56" s="20" t="n">
        <v>4.4</v>
      </c>
      <c r="I56" s="101" t="n">
        <v>0.004</v>
      </c>
      <c r="J56" s="20" t="n">
        <v>4.3</v>
      </c>
      <c r="K56" s="20" t="n">
        <v>0.034</v>
      </c>
      <c r="L56" s="141" t="n">
        <v>10.457</v>
      </c>
      <c r="M56" s="78" t="n">
        <f aca="false">M10</f>
        <v>416666666.666667</v>
      </c>
      <c r="N56" s="79" t="n">
        <f aca="false">M56*10</f>
        <v>4166666666.66667</v>
      </c>
      <c r="O56" s="79" t="n">
        <f aca="false">(N56*D56)/P9</f>
        <v>1333333333.33354</v>
      </c>
      <c r="P56" s="175" t="n">
        <f aca="false">I56/O56</f>
        <v>2.99999999999955E-012</v>
      </c>
      <c r="Q56" s="176" t="n">
        <f aca="false">P56*10^12</f>
        <v>2.99999999999955</v>
      </c>
      <c r="R56" s="25" t="n">
        <f aca="false">I56/(D56/1000)</f>
        <v>41.6666666666667</v>
      </c>
      <c r="S56" s="162"/>
      <c r="T56" s="22"/>
      <c r="U56" s="22"/>
      <c r="V56" s="22"/>
      <c r="W56" s="22"/>
      <c r="X56" s="22"/>
      <c r="Y56" s="80"/>
      <c r="Z56" s="121"/>
      <c r="AA56" s="22"/>
      <c r="AB56" s="22"/>
      <c r="AC56" s="22"/>
      <c r="AD56" s="22"/>
      <c r="AE56" s="22"/>
      <c r="AF56" s="22"/>
      <c r="AG56" s="80"/>
      <c r="AH56" s="121"/>
      <c r="AK56" s="0" t="s">
        <v>61</v>
      </c>
      <c r="AL56" s="0" t="s">
        <v>82</v>
      </c>
      <c r="AM56" s="97" t="n">
        <f aca="false">S34</f>
        <v>20.3987879665086</v>
      </c>
    </row>
    <row r="57" customFormat="false" ht="15" hidden="false" customHeight="false" outlineLevel="0" collapsed="false">
      <c r="B57" s="102" t="s">
        <v>79</v>
      </c>
      <c r="C57" s="103" t="n">
        <v>1</v>
      </c>
      <c r="D57" s="151" t="n">
        <v>0.382</v>
      </c>
      <c r="E57" s="84" t="n">
        <v>87.145</v>
      </c>
      <c r="F57" s="85" t="n">
        <v>9.727</v>
      </c>
      <c r="G57" s="85" t="n">
        <v>5.4</v>
      </c>
      <c r="H57" s="85" t="n">
        <v>7.4</v>
      </c>
      <c r="I57" s="86" t="n">
        <v>0.028</v>
      </c>
      <c r="J57" s="85" t="n">
        <v>7.2</v>
      </c>
      <c r="K57" s="85" t="n">
        <v>0.057</v>
      </c>
      <c r="L57" s="163" t="n">
        <v>6.429</v>
      </c>
      <c r="M57" s="87" t="n">
        <f aca="false">U4</f>
        <v>303333333.333333</v>
      </c>
      <c r="N57" s="88" t="n">
        <f aca="false">M57*10</f>
        <v>3033333333.33333</v>
      </c>
      <c r="O57" s="88" t="n">
        <f aca="false">(N57*D57)/X3</f>
        <v>3862444444.44357</v>
      </c>
      <c r="P57" s="88" t="n">
        <f aca="false">I57/O57</f>
        <v>7.24929520741204E-012</v>
      </c>
      <c r="Q57" s="108" t="n">
        <f aca="false">P57*10^12</f>
        <v>7.24929520741204</v>
      </c>
      <c r="R57" s="25" t="n">
        <f aca="false">I57/(D57/1000)</f>
        <v>73.2984293193717</v>
      </c>
      <c r="S57" s="177" t="n">
        <f aca="false">AVERAGE(Q57:Q59)</f>
        <v>6.82574450634654</v>
      </c>
      <c r="T57" s="53" t="n">
        <f aca="false">_xlfn.STDEV.S(Q57:Q59)</f>
        <v>1.31676325410826</v>
      </c>
      <c r="U57" s="53" t="n">
        <f aca="false">T57/S57*100</f>
        <v>19.2911301160473</v>
      </c>
      <c r="V57" s="53" t="n">
        <f aca="false">_xlfn.VAR.S(Q57:Q59)</f>
        <v>1.73386546736978</v>
      </c>
      <c r="W57" s="178" t="n">
        <f aca="false">S57</f>
        <v>6.82574450634654</v>
      </c>
      <c r="X57" s="53"/>
      <c r="Y57" s="178" t="n">
        <f aca="false">T57</f>
        <v>1.31676325410826</v>
      </c>
      <c r="Z57" s="57" t="n">
        <f aca="false">Y57/W57*100</f>
        <v>19.2911301160473</v>
      </c>
      <c r="AA57" s="53" t="n">
        <f aca="false">AVERAGE(R57:R59)</f>
        <v>88.4678341891832</v>
      </c>
      <c r="AB57" s="53" t="n">
        <f aca="false">_xlfn.STDEV.S(R57:R59)</f>
        <v>25.8190654554353</v>
      </c>
      <c r="AC57" s="53" t="n">
        <f aca="false">AB57/AA57*100</f>
        <v>29.1846925971114</v>
      </c>
      <c r="AD57" s="53" t="n">
        <f aca="false">_xlfn.VAR.S(R57:R59)</f>
        <v>666.624140992053</v>
      </c>
      <c r="AE57" s="178" t="n">
        <f aca="false">AA57</f>
        <v>88.4678341891832</v>
      </c>
      <c r="AF57" s="53"/>
      <c r="AG57" s="178" t="n">
        <f aca="false">AB57</f>
        <v>25.8190654554353</v>
      </c>
      <c r="AH57" s="57" t="n">
        <f aca="false">AG57/AE57*100</f>
        <v>29.1846925971114</v>
      </c>
      <c r="AK57" s="0" t="s">
        <v>61</v>
      </c>
      <c r="AL57" s="0" t="s">
        <v>83</v>
      </c>
      <c r="AM57" s="97" t="n">
        <f aca="false">S36</f>
        <v>23.3866769427638</v>
      </c>
      <c r="AN57" s="0" t="n">
        <f aca="false">AVERAGE(AM56:AM58)</f>
        <v>21.3846415168251</v>
      </c>
    </row>
    <row r="58" customFormat="false" ht="15" hidden="false" customHeight="false" outlineLevel="0" collapsed="false">
      <c r="B58" s="111" t="s">
        <v>79</v>
      </c>
      <c r="C58" s="112" t="n">
        <v>2</v>
      </c>
      <c r="D58" s="125" t="n">
        <v>0.149</v>
      </c>
      <c r="E58" s="94" t="n">
        <v>34.718</v>
      </c>
      <c r="F58" s="13" t="n">
        <v>3.881</v>
      </c>
      <c r="G58" s="13" t="n">
        <v>5.4</v>
      </c>
      <c r="H58" s="13" t="n">
        <v>7.2</v>
      </c>
      <c r="I58" s="96" t="n">
        <v>0.011</v>
      </c>
      <c r="J58" s="13" t="n">
        <v>7.4</v>
      </c>
      <c r="K58" s="13" t="n">
        <v>0.057</v>
      </c>
      <c r="L58" s="134" t="n">
        <v>6.42</v>
      </c>
      <c r="M58" s="51" t="n">
        <f aca="false">U7</f>
        <v>281111111.111111</v>
      </c>
      <c r="N58" s="53" t="n">
        <f aca="false">M58*10</f>
        <v>2811111111.11111</v>
      </c>
      <c r="O58" s="53" t="n">
        <f aca="false">(N58*D58)/X6</f>
        <v>1396185185.18487</v>
      </c>
      <c r="P58" s="53" t="n">
        <f aca="false">I58/O58</f>
        <v>7.87861103005723E-012</v>
      </c>
      <c r="Q58" s="114" t="n">
        <f aca="false">P58*10^12</f>
        <v>7.87861103005723</v>
      </c>
      <c r="R58" s="25" t="n">
        <f aca="false">I58/(D58/1000)</f>
        <v>73.8255033557047</v>
      </c>
      <c r="S58" s="177"/>
      <c r="T58" s="53"/>
      <c r="U58" s="53"/>
      <c r="V58" s="53"/>
      <c r="W58" s="53"/>
      <c r="X58" s="53"/>
      <c r="Y58" s="53"/>
      <c r="Z58" s="57"/>
      <c r="AA58" s="53"/>
      <c r="AB58" s="53"/>
      <c r="AC58" s="53"/>
      <c r="AD58" s="53"/>
      <c r="AE58" s="53"/>
      <c r="AF58" s="53"/>
      <c r="AG58" s="53"/>
      <c r="AH58" s="57"/>
      <c r="AK58" s="0" t="s">
        <v>61</v>
      </c>
      <c r="AL58" s="0" t="s">
        <v>84</v>
      </c>
      <c r="AM58" s="0" t="n">
        <f aca="false">S38</f>
        <v>20.3684596412028</v>
      </c>
    </row>
    <row r="59" customFormat="false" ht="16" hidden="false" customHeight="false" outlineLevel="0" collapsed="false">
      <c r="B59" s="111" t="s">
        <v>79</v>
      </c>
      <c r="C59" s="112" t="n">
        <v>3</v>
      </c>
      <c r="D59" s="125" t="n">
        <v>0.093</v>
      </c>
      <c r="E59" s="100" t="n">
        <v>34.452</v>
      </c>
      <c r="F59" s="20" t="n">
        <v>3.826</v>
      </c>
      <c r="G59" s="20" t="n">
        <v>7.1</v>
      </c>
      <c r="H59" s="20" t="n">
        <v>9.2</v>
      </c>
      <c r="I59" s="101" t="n">
        <v>0.011</v>
      </c>
      <c r="J59" s="20" t="n">
        <v>11.8</v>
      </c>
      <c r="K59" s="13" t="n">
        <v>0.076</v>
      </c>
      <c r="L59" s="134" t="n">
        <v>4.802</v>
      </c>
      <c r="M59" s="78" t="n">
        <f aca="false">U10</f>
        <v>221111111.111111</v>
      </c>
      <c r="N59" s="80" t="n">
        <f aca="false">M59*10</f>
        <v>2211111111.11111</v>
      </c>
      <c r="O59" s="80" t="n">
        <f aca="false">(N59*D59)/X9</f>
        <v>2056333333.33287</v>
      </c>
      <c r="P59" s="80" t="n">
        <f aca="false">I59/O59</f>
        <v>5.34932728157035E-012</v>
      </c>
      <c r="Q59" s="119" t="n">
        <f aca="false">P59*10^12</f>
        <v>5.34932728157035</v>
      </c>
      <c r="R59" s="25" t="n">
        <f aca="false">I59/(D59/1000)</f>
        <v>118.279569892473</v>
      </c>
      <c r="S59" s="177"/>
      <c r="T59" s="53"/>
      <c r="U59" s="53"/>
      <c r="V59" s="53"/>
      <c r="W59" s="53"/>
      <c r="X59" s="53"/>
      <c r="Y59" s="53"/>
      <c r="Z59" s="57"/>
      <c r="AA59" s="53"/>
      <c r="AB59" s="53"/>
      <c r="AC59" s="53"/>
      <c r="AD59" s="53"/>
      <c r="AE59" s="53"/>
      <c r="AF59" s="53"/>
      <c r="AG59" s="53"/>
      <c r="AH59" s="57"/>
      <c r="AK59" s="0" t="s">
        <v>61</v>
      </c>
      <c r="AL59" s="0" t="s">
        <v>85</v>
      </c>
      <c r="AM59" s="0" t="n">
        <f aca="false">Q40</f>
        <v>11.2891986062743</v>
      </c>
    </row>
    <row r="60" customFormat="false" ht="15" hidden="false" customHeight="false" outlineLevel="0" collapsed="false">
      <c r="B60" s="179" t="s">
        <v>80</v>
      </c>
      <c r="C60" s="180" t="s">
        <v>56</v>
      </c>
      <c r="D60" s="151" t="n">
        <v>0.285</v>
      </c>
      <c r="E60" s="84" t="n">
        <v>62.759</v>
      </c>
      <c r="F60" s="85" t="n">
        <v>7.086</v>
      </c>
      <c r="G60" s="85" t="n">
        <v>5.4</v>
      </c>
      <c r="H60" s="85" t="n">
        <v>7.4</v>
      </c>
      <c r="I60" s="86" t="n">
        <v>0.02</v>
      </c>
      <c r="J60" s="85" t="n">
        <v>7.2</v>
      </c>
      <c r="K60" s="85" t="n">
        <v>0.057</v>
      </c>
      <c r="L60" s="163" t="n">
        <v>6.278</v>
      </c>
      <c r="M60" s="164" t="n">
        <f aca="false">AC4</f>
        <v>3241666666.66667</v>
      </c>
      <c r="N60" s="88" t="n">
        <f aca="false">M60*10</f>
        <v>32416666666.6667</v>
      </c>
      <c r="O60" s="88" t="n">
        <f aca="false">(N60*D60)/AF3</f>
        <v>6159166666.66667</v>
      </c>
      <c r="P60" s="88" t="n">
        <f aca="false">I60/O60</f>
        <v>3.24719253145718E-012</v>
      </c>
      <c r="Q60" s="88" t="n">
        <f aca="false">P60*10^12</f>
        <v>3.24719253145718</v>
      </c>
      <c r="R60" s="25" t="n">
        <f aca="false">I60/(D60/1000)</f>
        <v>70.1754385964912</v>
      </c>
      <c r="S60" s="154" t="n">
        <f aca="false">AVERAGE(Q60:Q61)</f>
        <v>3.23775301828434</v>
      </c>
      <c r="T60" s="128" t="n">
        <f aca="false">_xlfn.STDEV.S(Q60:Q61)</f>
        <v>0.013349487551231</v>
      </c>
      <c r="U60" s="128" t="n">
        <f aca="false">T60/S60*100</f>
        <v>0.412307161041729</v>
      </c>
      <c r="V60" s="128" t="n">
        <f aca="false">_xlfn.VAR.S(Q60:Q61)</f>
        <v>0.000178208817880472</v>
      </c>
      <c r="W60" s="131" t="n">
        <f aca="false">AVERAGE(S60:S65)</f>
        <v>3.46047896107296</v>
      </c>
      <c r="X60" s="128" t="n">
        <f aca="false">(V60^2+V62^2+V64^2+(2*((S60-W60)^2))+(2*((S62-W60)^2))+(2*((S64-W60)^2)))/(6-1)</f>
        <v>0.0547022738685974</v>
      </c>
      <c r="Y60" s="136" t="n">
        <f aca="false">SQRT(X60)</f>
        <v>0.233885172400042</v>
      </c>
      <c r="Z60" s="28" t="n">
        <f aca="false">Y60/W60*100</f>
        <v>6.75875146276062</v>
      </c>
      <c r="AA60" s="155" t="n">
        <f aca="false">AVERAGE(R60:R61)</f>
        <v>69.9714402284782</v>
      </c>
      <c r="AB60" s="128" t="n">
        <f aca="false">_xlfn.STDEV.S(R60:R61)</f>
        <v>0.288497258746048</v>
      </c>
      <c r="AC60" s="128" t="n">
        <f aca="false">AB60/AA60*100</f>
        <v>0.412307161041728</v>
      </c>
      <c r="AD60" s="128" t="n">
        <f aca="false">_xlfn.VAR.S(R60:R61)</f>
        <v>0.083230668303984</v>
      </c>
      <c r="AE60" s="156" t="n">
        <f aca="false">AVERAGE(AA60,AA62,AA64)</f>
        <v>72.9590924092374</v>
      </c>
      <c r="AF60" s="128" t="n">
        <f aca="false">(AD60^2+AD62^2+AD64^2+(2*((AA60-AE60)^2))+(2*((AA62-AE60)^2))+(2*((AA64-AE60)^2)))/(6-1)</f>
        <v>402.415015750813</v>
      </c>
      <c r="AG60" s="136" t="n">
        <f aca="false">SQRT(AF60)</f>
        <v>20.0602845381319</v>
      </c>
      <c r="AH60" s="28" t="n">
        <f aca="false">AG60/AE60*100</f>
        <v>27.4952495647987</v>
      </c>
      <c r="AK60" s="0" t="s">
        <v>61</v>
      </c>
      <c r="AL60" s="0" t="s">
        <v>86</v>
      </c>
      <c r="AM60" s="0" t="n">
        <f aca="false">Q41</f>
        <v>7.92079207920791</v>
      </c>
      <c r="AN60" s="0" t="n">
        <f aca="false">AVERAGE(AM59:AM61)</f>
        <v>11.496026230281</v>
      </c>
    </row>
    <row r="61" customFormat="false" ht="15" hidden="false" customHeight="false" outlineLevel="0" collapsed="false">
      <c r="B61" s="123" t="s">
        <v>80</v>
      </c>
      <c r="C61" s="124" t="s">
        <v>59</v>
      </c>
      <c r="D61" s="125" t="n">
        <v>0.215</v>
      </c>
      <c r="E61" s="94" t="n">
        <v>45.639</v>
      </c>
      <c r="F61" s="13" t="n">
        <v>5.089</v>
      </c>
      <c r="G61" s="13" t="n">
        <v>5.4</v>
      </c>
      <c r="H61" s="13" t="n">
        <v>7.2</v>
      </c>
      <c r="I61" s="96" t="n">
        <v>0.015</v>
      </c>
      <c r="J61" s="13" t="n">
        <v>6.9</v>
      </c>
      <c r="K61" s="13" t="n">
        <v>0.057</v>
      </c>
      <c r="L61" s="134" t="n">
        <v>6.242</v>
      </c>
      <c r="M61" s="52" t="n">
        <f aca="false">AC4</f>
        <v>3241666666.66667</v>
      </c>
      <c r="N61" s="53" t="n">
        <f aca="false">M61*10</f>
        <v>32416666666.6667</v>
      </c>
      <c r="O61" s="53" t="n">
        <f aca="false">(N61*D61)/AF3</f>
        <v>4646388888.88889</v>
      </c>
      <c r="P61" s="53" t="n">
        <f aca="false">I61/O61</f>
        <v>3.2283135051115E-012</v>
      </c>
      <c r="Q61" s="53" t="n">
        <f aca="false">P61*10^12</f>
        <v>3.2283135051115</v>
      </c>
      <c r="R61" s="25" t="n">
        <f aca="false">I61/(D61/1000)</f>
        <v>69.7674418604651</v>
      </c>
      <c r="S61" s="54"/>
      <c r="T61" s="12"/>
      <c r="U61" s="12"/>
      <c r="V61" s="12"/>
      <c r="W61" s="12"/>
      <c r="X61" s="12"/>
      <c r="Y61" s="53"/>
      <c r="Z61" s="57"/>
      <c r="AA61" s="12"/>
      <c r="AB61" s="12"/>
      <c r="AC61" s="12"/>
      <c r="AD61" s="12"/>
      <c r="AE61" s="12"/>
      <c r="AF61" s="12"/>
      <c r="AG61" s="53"/>
      <c r="AH61" s="57"/>
      <c r="AK61" s="0" t="s">
        <v>61</v>
      </c>
      <c r="AL61" s="0" t="s">
        <v>87</v>
      </c>
      <c r="AM61" s="0" t="n">
        <f aca="false">Q42</f>
        <v>15.2780880053607</v>
      </c>
    </row>
    <row r="62" customFormat="false" ht="15" hidden="false" customHeight="false" outlineLevel="0" collapsed="false">
      <c r="B62" s="123" t="s">
        <v>80</v>
      </c>
      <c r="C62" s="124" t="s">
        <v>63</v>
      </c>
      <c r="D62" s="125" t="n">
        <v>0.16</v>
      </c>
      <c r="E62" s="94" t="n">
        <v>33.461</v>
      </c>
      <c r="F62" s="13" t="n">
        <v>3.811</v>
      </c>
      <c r="G62" s="13" t="n">
        <v>5.1</v>
      </c>
      <c r="H62" s="13" t="n">
        <v>6.7</v>
      </c>
      <c r="I62" s="96" t="n">
        <v>0.011</v>
      </c>
      <c r="J62" s="13" t="n">
        <v>6.8</v>
      </c>
      <c r="K62" s="13" t="n">
        <v>0.054</v>
      </c>
      <c r="L62" s="134" t="n">
        <v>6.583</v>
      </c>
      <c r="M62" s="181" t="n">
        <f aca="false">AC7</f>
        <v>3733333333.33333</v>
      </c>
      <c r="N62" s="53" t="n">
        <f aca="false">M62*10</f>
        <v>37333333333.3333</v>
      </c>
      <c r="O62" s="53" t="n">
        <f aca="false">(N62*D62)/AF6</f>
        <v>3143859649.12285</v>
      </c>
      <c r="P62" s="53" t="n">
        <f aca="false">I62/O62</f>
        <v>3.49888392857139E-012</v>
      </c>
      <c r="Q62" s="53" t="n">
        <f aca="false">P62*10^12</f>
        <v>3.49888392857139</v>
      </c>
      <c r="R62" s="25" t="n">
        <f aca="false">I62/(D62/1000)</f>
        <v>68.75</v>
      </c>
      <c r="S62" s="157" t="n">
        <f aca="false">AVERAGE(Q62:Q63)</f>
        <v>3.7387393118892</v>
      </c>
      <c r="T62" s="12" t="n">
        <f aca="false">_xlfn.STDEV.S(Q62:Q63)</f>
        <v>0.339206736096258</v>
      </c>
      <c r="U62" s="12" t="n">
        <f aca="false">T62/S62*100</f>
        <v>9.0727570926804</v>
      </c>
      <c r="V62" s="12" t="n">
        <f aca="false">_xlfn.VAR.S(Q62:Q63)</f>
        <v>0.115061209813077</v>
      </c>
      <c r="W62" s="12"/>
      <c r="X62" s="12"/>
      <c r="Y62" s="53"/>
      <c r="Z62" s="57"/>
      <c r="AA62" s="8" t="n">
        <f aca="false">AVERAGE(R62:R63)</f>
        <v>73.4629478827362</v>
      </c>
      <c r="AB62" s="12" t="n">
        <f aca="false">_xlfn.STDEV.S(R62:R63)</f>
        <v>6.66511481452305</v>
      </c>
      <c r="AC62" s="12" t="n">
        <f aca="false">AB62/AA62*100</f>
        <v>9.0727570926804</v>
      </c>
      <c r="AD62" s="12" t="n">
        <f aca="false">_xlfn.VAR.S(R62:R63)</f>
        <v>44.4237554907746</v>
      </c>
      <c r="AE62" s="12"/>
      <c r="AF62" s="12"/>
      <c r="AG62" s="53"/>
      <c r="AH62" s="57"/>
      <c r="AK62" s="0" t="s">
        <v>61</v>
      </c>
      <c r="AL62" s="0" t="s">
        <v>88</v>
      </c>
      <c r="AM62" s="0" t="n">
        <v>0</v>
      </c>
    </row>
    <row r="63" customFormat="false" ht="15" hidden="false" customHeight="false" outlineLevel="0" collapsed="false">
      <c r="B63" s="123" t="s">
        <v>80</v>
      </c>
      <c r="C63" s="124" t="s">
        <v>66</v>
      </c>
      <c r="D63" s="125" t="n">
        <v>0.307</v>
      </c>
      <c r="E63" s="94" t="n">
        <v>74.649</v>
      </c>
      <c r="F63" s="13" t="n">
        <v>8.113</v>
      </c>
      <c r="G63" s="13" t="n">
        <v>5.6</v>
      </c>
      <c r="H63" s="13" t="n">
        <v>7.4</v>
      </c>
      <c r="I63" s="96" t="n">
        <v>0.024</v>
      </c>
      <c r="J63" s="13" t="n">
        <v>7.9</v>
      </c>
      <c r="K63" s="13" t="n">
        <v>0.061</v>
      </c>
      <c r="L63" s="134" t="n">
        <v>5.906</v>
      </c>
      <c r="M63" s="52" t="n">
        <f aca="false">AC7</f>
        <v>3733333333.33333</v>
      </c>
      <c r="N63" s="53" t="n">
        <f aca="false">M63*10</f>
        <v>37333333333.3333</v>
      </c>
      <c r="O63" s="53" t="n">
        <f aca="false">(N63*D63)/AF6</f>
        <v>6032280701.75446</v>
      </c>
      <c r="P63" s="53" t="n">
        <f aca="false">I63/O63</f>
        <v>3.97859469520702E-012</v>
      </c>
      <c r="Q63" s="53" t="n">
        <f aca="false">P63*10^12</f>
        <v>3.97859469520702</v>
      </c>
      <c r="R63" s="25" t="n">
        <f aca="false">I63/(D63/1000)</f>
        <v>78.1758957654723</v>
      </c>
      <c r="S63" s="54"/>
      <c r="T63" s="12"/>
      <c r="U63" s="12"/>
      <c r="V63" s="12"/>
      <c r="W63" s="12"/>
      <c r="X63" s="12"/>
      <c r="Y63" s="53"/>
      <c r="Z63" s="57"/>
      <c r="AA63" s="12"/>
      <c r="AB63" s="12"/>
      <c r="AC63" s="12"/>
      <c r="AD63" s="12"/>
      <c r="AE63" s="12"/>
      <c r="AF63" s="12"/>
      <c r="AG63" s="53"/>
      <c r="AH63" s="57"/>
      <c r="AK63" s="0" t="s">
        <v>61</v>
      </c>
      <c r="AL63" s="0" t="s">
        <v>89</v>
      </c>
      <c r="AM63" s="0" t="n">
        <v>0</v>
      </c>
      <c r="AN63" s="0" t="n">
        <f aca="false">AVERAGE(AM62:AM64)</f>
        <v>0</v>
      </c>
    </row>
    <row r="64" customFormat="false" ht="15" hidden="false" customHeight="false" outlineLevel="0" collapsed="false">
      <c r="B64" s="123" t="s">
        <v>80</v>
      </c>
      <c r="C64" s="124" t="s">
        <v>68</v>
      </c>
      <c r="D64" s="125" t="n">
        <v>0.202</v>
      </c>
      <c r="E64" s="94" t="n">
        <v>45.762</v>
      </c>
      <c r="F64" s="13" t="n">
        <v>5.532</v>
      </c>
      <c r="G64" s="13" t="n">
        <v>5.5</v>
      </c>
      <c r="H64" s="13" t="n">
        <v>7.8</v>
      </c>
      <c r="I64" s="96" t="n">
        <v>0.015</v>
      </c>
      <c r="J64" s="13" t="n">
        <v>7.4</v>
      </c>
      <c r="K64" s="13" t="n">
        <v>0.059</v>
      </c>
      <c r="L64" s="134" t="n">
        <v>6.063</v>
      </c>
      <c r="M64" s="52" t="n">
        <f aca="false">AC10</f>
        <v>3766666666.66667</v>
      </c>
      <c r="N64" s="53" t="n">
        <f aca="false">M64*10</f>
        <v>37666666666.6667</v>
      </c>
      <c r="O64" s="53" t="n">
        <f aca="false">(N64*D64)/AF9</f>
        <v>4475686274.50998</v>
      </c>
      <c r="P64" s="53" t="n">
        <f aca="false">I64/O64</f>
        <v>3.35144133882401E-012</v>
      </c>
      <c r="Q64" s="53" t="n">
        <f aca="false">P64*10^12</f>
        <v>3.35144133882401</v>
      </c>
      <c r="R64" s="25" t="n">
        <f aca="false">I64/(D64/1000)</f>
        <v>74.2574257425743</v>
      </c>
      <c r="S64" s="157" t="n">
        <f aca="false">AVERAGE(Q64:Q65)</f>
        <v>3.40494455304534</v>
      </c>
      <c r="T64" s="12" t="n">
        <f aca="false">_xlfn.STDEV.S(Q64:Q65)</f>
        <v>0.0756649711823559</v>
      </c>
      <c r="U64" s="12" t="n">
        <f aca="false">T64/S64*100</f>
        <v>2.22220861466546</v>
      </c>
      <c r="V64" s="12" t="n">
        <f aca="false">_xlfn.VAR.S(Q64:Q65)</f>
        <v>0.00572518786402674</v>
      </c>
      <c r="W64" s="12"/>
      <c r="X64" s="12"/>
      <c r="Y64" s="53"/>
      <c r="Z64" s="57"/>
      <c r="AA64" s="8" t="n">
        <f aca="false">AVERAGE(R64:R65)</f>
        <v>75.4428891164979</v>
      </c>
      <c r="AB64" s="12" t="n">
        <f aca="false">_xlfn.STDEV.S(R64:R65)</f>
        <v>1.67649838109933</v>
      </c>
      <c r="AC64" s="12" t="n">
        <f aca="false">AB64/AA64*100</f>
        <v>2.22220861466546</v>
      </c>
      <c r="AD64" s="12" t="n">
        <f aca="false">_xlfn.VAR.S(R64:R65)</f>
        <v>2.81064682182867</v>
      </c>
      <c r="AE64" s="12"/>
      <c r="AF64" s="12"/>
      <c r="AG64" s="53"/>
      <c r="AH64" s="57"/>
      <c r="AK64" s="0" t="s">
        <v>61</v>
      </c>
      <c r="AL64" s="0" t="s">
        <v>90</v>
      </c>
      <c r="AM64" s="0" t="n">
        <v>0</v>
      </c>
    </row>
    <row r="65" customFormat="false" ht="16" hidden="false" customHeight="false" outlineLevel="0" collapsed="false">
      <c r="B65" s="123" t="s">
        <v>80</v>
      </c>
      <c r="C65" s="124" t="s">
        <v>71</v>
      </c>
      <c r="D65" s="125" t="n">
        <v>0.261</v>
      </c>
      <c r="E65" s="94" t="n">
        <v>60.759</v>
      </c>
      <c r="F65" s="13" t="n">
        <v>6.784</v>
      </c>
      <c r="G65" s="13" t="n">
        <v>5.7</v>
      </c>
      <c r="H65" s="13" t="n">
        <v>7.6</v>
      </c>
      <c r="I65" s="96" t="n">
        <v>0.02</v>
      </c>
      <c r="J65" s="13" t="n">
        <v>7.6</v>
      </c>
      <c r="K65" s="13" t="n">
        <v>0.06</v>
      </c>
      <c r="L65" s="134" t="n">
        <v>5.935</v>
      </c>
      <c r="M65" s="52" t="n">
        <f aca="false">AC10</f>
        <v>3766666666.66667</v>
      </c>
      <c r="N65" s="53" t="n">
        <f aca="false">M65*10</f>
        <v>37666666666.6667</v>
      </c>
      <c r="O65" s="53" t="n">
        <f aca="false">(N65*D65)/AF9</f>
        <v>5782941176.47082</v>
      </c>
      <c r="P65" s="53" t="n">
        <f aca="false">I65/O65</f>
        <v>3.45844776726667E-012</v>
      </c>
      <c r="Q65" s="53" t="n">
        <f aca="false">P65*10^12</f>
        <v>3.45844776726667</v>
      </c>
      <c r="R65" s="25" t="n">
        <f aca="false">I65/(D65/1000)</f>
        <v>76.6283524904215</v>
      </c>
      <c r="S65" s="162"/>
      <c r="T65" s="22"/>
      <c r="U65" s="22"/>
      <c r="V65" s="22"/>
      <c r="W65" s="22"/>
      <c r="X65" s="22"/>
      <c r="Y65" s="80"/>
      <c r="Z65" s="121"/>
      <c r="AA65" s="22"/>
      <c r="AB65" s="22"/>
      <c r="AC65" s="22"/>
      <c r="AD65" s="22"/>
      <c r="AE65" s="22"/>
      <c r="AF65" s="22"/>
      <c r="AG65" s="80"/>
      <c r="AH65" s="121"/>
      <c r="AK65" s="0" t="s">
        <v>78</v>
      </c>
      <c r="AL65" s="0" t="s">
        <v>82</v>
      </c>
      <c r="AM65" s="97" t="n">
        <f aca="false">S60</f>
        <v>3.23775301828434</v>
      </c>
    </row>
    <row r="66" customFormat="false" ht="15" hidden="false" customHeight="false" outlineLevel="0" collapsed="false">
      <c r="B66" s="132" t="s">
        <v>81</v>
      </c>
      <c r="C66" s="133" t="n">
        <v>1</v>
      </c>
      <c r="D66" s="151" t="n">
        <v>0.28</v>
      </c>
      <c r="E66" s="84" t="n">
        <v>28.326</v>
      </c>
      <c r="F66" s="85" t="n">
        <v>3.198</v>
      </c>
      <c r="G66" s="85" t="n">
        <v>5.8</v>
      </c>
      <c r="H66" s="85" t="n">
        <v>7.6</v>
      </c>
      <c r="I66" s="86" t="n">
        <v>0.009</v>
      </c>
      <c r="J66" s="85" t="n">
        <v>3.2</v>
      </c>
      <c r="K66" s="85" t="n">
        <v>0.061</v>
      </c>
      <c r="L66" s="163" t="n">
        <v>5.99</v>
      </c>
      <c r="M66" s="87" t="n">
        <f aca="false">AK4</f>
        <v>341666666.666667</v>
      </c>
      <c r="N66" s="88" t="n">
        <f aca="false">M66*10</f>
        <v>3416666666.66667</v>
      </c>
      <c r="O66" s="88" t="n">
        <f aca="false">(N66*D66)/AN3</f>
        <v>4783333333.33225</v>
      </c>
      <c r="P66" s="88" t="n">
        <f aca="false">I66/O66</f>
        <v>1.88153310104572E-012</v>
      </c>
      <c r="Q66" s="108" t="n">
        <f aca="false">P66*10^12</f>
        <v>1.88153310104572</v>
      </c>
      <c r="R66" s="25" t="n">
        <f aca="false">I66/(D66/1000)</f>
        <v>32.1428571428571</v>
      </c>
      <c r="S66" s="26" t="n">
        <f aca="false">AVERAGE(Q66:Q68)</f>
        <v>2.02735211582452</v>
      </c>
      <c r="T66" s="88" t="n">
        <f aca="false">_xlfn.STDEV.S(Q66:Q68)</f>
        <v>0.725202772533319</v>
      </c>
      <c r="U66" s="88" t="n">
        <f aca="false">T66/S66*100</f>
        <v>35.770933271667</v>
      </c>
      <c r="V66" s="88" t="n">
        <f aca="false">_xlfn.VAR.S(Q66:Q68)</f>
        <v>0.525919061290012</v>
      </c>
      <c r="W66" s="88" t="n">
        <f aca="false">S66</f>
        <v>2.02735211582452</v>
      </c>
      <c r="X66" s="88"/>
      <c r="Y66" s="88" t="n">
        <f aca="false">T66</f>
        <v>0.725202772533319</v>
      </c>
      <c r="Z66" s="28" t="n">
        <f aca="false">Y66/W66*100</f>
        <v>35.770933271667</v>
      </c>
      <c r="AA66" s="88" t="n">
        <f aca="false">AVERAGE(R66:R68)</f>
        <v>41.5491873862711</v>
      </c>
      <c r="AB66" s="88" t="n">
        <f aca="false">_xlfn.STDEV.S(R66:R68)</f>
        <v>14.1736893528121</v>
      </c>
      <c r="AC66" s="88" t="n">
        <f aca="false">AB66/AA66*100</f>
        <v>34.1130362455547</v>
      </c>
      <c r="AD66" s="88" t="n">
        <f aca="false">_xlfn.VAR.S(R66:R68)</f>
        <v>200.89346987002</v>
      </c>
      <c r="AE66" s="88" t="n">
        <f aca="false">AA66</f>
        <v>41.5491873862711</v>
      </c>
      <c r="AF66" s="88"/>
      <c r="AG66" s="88" t="n">
        <f aca="false">AB66</f>
        <v>14.1736893528121</v>
      </c>
      <c r="AH66" s="28" t="n">
        <f aca="false">AG66/AE66*100</f>
        <v>34.1130362455547</v>
      </c>
      <c r="AK66" s="0" t="s">
        <v>78</v>
      </c>
      <c r="AL66" s="0" t="s">
        <v>83</v>
      </c>
      <c r="AM66" s="97" t="n">
        <f aca="false">S62</f>
        <v>3.7387393118892</v>
      </c>
      <c r="AN66" s="0" t="n">
        <f aca="false">AVERAGE(AM65:AM67)</f>
        <v>3.46047896107296</v>
      </c>
    </row>
    <row r="67" customFormat="false" ht="15" hidden="false" customHeight="false" outlineLevel="0" collapsed="false">
      <c r="B67" s="137" t="s">
        <v>81</v>
      </c>
      <c r="C67" s="138" t="n">
        <v>2</v>
      </c>
      <c r="D67" s="125" t="n">
        <v>0.202</v>
      </c>
      <c r="E67" s="94" t="n">
        <v>23.115</v>
      </c>
      <c r="F67" s="13" t="n">
        <v>2.572</v>
      </c>
      <c r="G67" s="13" t="n">
        <v>6.1</v>
      </c>
      <c r="H67" s="13" t="n">
        <v>8.1</v>
      </c>
      <c r="I67" s="96" t="n">
        <v>0.007</v>
      </c>
      <c r="J67" s="13" t="n">
        <v>3.6</v>
      </c>
      <c r="K67" s="13" t="n">
        <v>0.066</v>
      </c>
      <c r="L67" s="134" t="n">
        <v>5.52</v>
      </c>
      <c r="M67" s="51" t="n">
        <f aca="false">AK7</f>
        <v>250000000</v>
      </c>
      <c r="N67" s="53" t="n">
        <f aca="false">M67*10</f>
        <v>2500000000</v>
      </c>
      <c r="O67" s="53" t="n">
        <f aca="false">(N67*D67)/AO7</f>
        <v>5050000000.00001</v>
      </c>
      <c r="P67" s="53" t="n">
        <f aca="false">I67/O67</f>
        <v>1.38613861386139E-012</v>
      </c>
      <c r="Q67" s="114" t="n">
        <f aca="false">P67*10^12</f>
        <v>1.38613861386138</v>
      </c>
      <c r="R67" s="25" t="n">
        <f aca="false">I67/(D67/1000)</f>
        <v>34.6534653465347</v>
      </c>
      <c r="S67" s="177"/>
      <c r="T67" s="53"/>
      <c r="U67" s="53"/>
      <c r="V67" s="53"/>
      <c r="W67" s="53"/>
      <c r="X67" s="53"/>
      <c r="Y67" s="53"/>
      <c r="Z67" s="57"/>
      <c r="AA67" s="53"/>
      <c r="AB67" s="53"/>
      <c r="AC67" s="53"/>
      <c r="AD67" s="53"/>
      <c r="AE67" s="53"/>
      <c r="AF67" s="53"/>
      <c r="AG67" s="53"/>
      <c r="AH67" s="57"/>
      <c r="AK67" s="0" t="s">
        <v>78</v>
      </c>
      <c r="AL67" s="0" t="s">
        <v>84</v>
      </c>
      <c r="AM67" s="97" t="n">
        <f aca="false">S64</f>
        <v>3.40494455304534</v>
      </c>
    </row>
    <row r="68" customFormat="false" ht="16" hidden="false" customHeight="false" outlineLevel="0" collapsed="false">
      <c r="B68" s="139" t="s">
        <v>81</v>
      </c>
      <c r="C68" s="140" t="n">
        <v>3</v>
      </c>
      <c r="D68" s="158" t="n">
        <v>0.121</v>
      </c>
      <c r="E68" s="100" t="n">
        <v>21.023</v>
      </c>
      <c r="F68" s="20" t="n">
        <v>2.312</v>
      </c>
      <c r="G68" s="20" t="n">
        <v>6</v>
      </c>
      <c r="H68" s="20" t="n">
        <v>7.8</v>
      </c>
      <c r="I68" s="101" t="n">
        <v>0.007</v>
      </c>
      <c r="J68" s="20" t="n">
        <v>5.5</v>
      </c>
      <c r="K68" s="20" t="n">
        <v>0.064</v>
      </c>
      <c r="L68" s="141" t="n">
        <v>5.672</v>
      </c>
      <c r="M68" s="78" t="n">
        <f aca="false">AK10</f>
        <v>308333333.333333</v>
      </c>
      <c r="N68" s="80" t="n">
        <f aca="false">M68*10</f>
        <v>3083333333.33333</v>
      </c>
      <c r="O68" s="80" t="n">
        <f aca="false">(N68*D68)/AO10</f>
        <v>2487222222.22222</v>
      </c>
      <c r="P68" s="80" t="n">
        <f aca="false">I68/O68</f>
        <v>2.81438463256645E-012</v>
      </c>
      <c r="Q68" s="119" t="n">
        <f aca="false">P68*10^12</f>
        <v>2.81438463256645</v>
      </c>
      <c r="R68" s="25" t="n">
        <f aca="false">I68/(D68/1000)</f>
        <v>57.8512396694215</v>
      </c>
      <c r="S68" s="182"/>
      <c r="T68" s="80"/>
      <c r="U68" s="80"/>
      <c r="V68" s="80"/>
      <c r="W68" s="80"/>
      <c r="X68" s="80"/>
      <c r="Y68" s="80"/>
      <c r="Z68" s="121"/>
      <c r="AA68" s="80"/>
      <c r="AB68" s="80"/>
      <c r="AC68" s="80"/>
      <c r="AD68" s="80"/>
      <c r="AE68" s="80"/>
      <c r="AF68" s="80"/>
      <c r="AG68" s="80"/>
      <c r="AH68" s="121"/>
      <c r="AK68" s="0" t="s">
        <v>78</v>
      </c>
      <c r="AL68" s="0" t="s">
        <v>85</v>
      </c>
      <c r="AM68" s="97" t="n">
        <f aca="false">Q66</f>
        <v>1.88153310104572</v>
      </c>
    </row>
    <row r="69" customFormat="false" ht="15" hidden="false" customHeight="false" outlineLevel="0" collapsed="false">
      <c r="AK69" s="0" t="s">
        <v>78</v>
      </c>
      <c r="AL69" s="0" t="s">
        <v>86</v>
      </c>
      <c r="AM69" s="97" t="n">
        <f aca="false">Q67</f>
        <v>1.38613861386138</v>
      </c>
      <c r="AN69" s="0" t="n">
        <f aca="false">AVERAGE(AM68:AM70)</f>
        <v>2.02735211582452</v>
      </c>
    </row>
    <row r="70" customFormat="false" ht="15" hidden="false" customHeight="false" outlineLevel="0" collapsed="false">
      <c r="AK70" s="0" t="s">
        <v>78</v>
      </c>
      <c r="AL70" s="0" t="s">
        <v>87</v>
      </c>
      <c r="AM70" s="97" t="n">
        <f aca="false">Q68</f>
        <v>2.81438463256645</v>
      </c>
    </row>
    <row r="71" customFormat="false" ht="15" hidden="false" customHeight="false" outlineLevel="0" collapsed="false">
      <c r="AK71" s="0" t="s">
        <v>78</v>
      </c>
      <c r="AL71" s="0" t="s">
        <v>88</v>
      </c>
      <c r="AM71" s="0" t="n">
        <f aca="false">D93</f>
        <v>0</v>
      </c>
    </row>
    <row r="72" customFormat="false" ht="15" hidden="false" customHeight="false" outlineLevel="0" collapsed="false">
      <c r="AK72" s="0" t="s">
        <v>78</v>
      </c>
      <c r="AL72" s="0" t="s">
        <v>89</v>
      </c>
      <c r="AM72" s="0" t="n">
        <f aca="false">D94</f>
        <v>0</v>
      </c>
      <c r="AN72" s="0" t="n">
        <f aca="false">AVERAGE(AM71:AM73)</f>
        <v>0</v>
      </c>
    </row>
    <row r="73" customFormat="false" ht="15" hidden="false" customHeight="false" outlineLevel="0" collapsed="false">
      <c r="AK73" s="0" t="s">
        <v>78</v>
      </c>
      <c r="AL73" s="0" t="s">
        <v>90</v>
      </c>
      <c r="AM73" s="0" t="n">
        <f aca="false">F93</f>
        <v>0</v>
      </c>
    </row>
  </sheetData>
  <mergeCells count="76">
    <mergeCell ref="B2:G2"/>
    <mergeCell ref="J2:O2"/>
    <mergeCell ref="R2:W2"/>
    <mergeCell ref="Z2:AE2"/>
    <mergeCell ref="AH2:AM2"/>
    <mergeCell ref="B3:B11"/>
    <mergeCell ref="C3:C5"/>
    <mergeCell ref="F3:F5"/>
    <mergeCell ref="G3:G5"/>
    <mergeCell ref="H3:H5"/>
    <mergeCell ref="J3:J11"/>
    <mergeCell ref="K3:K5"/>
    <mergeCell ref="N3:N5"/>
    <mergeCell ref="O3:O5"/>
    <mergeCell ref="P3:P5"/>
    <mergeCell ref="R3:R11"/>
    <mergeCell ref="S3:S5"/>
    <mergeCell ref="V3:V5"/>
    <mergeCell ref="W3:W5"/>
    <mergeCell ref="X3:X5"/>
    <mergeCell ref="Z3:Z11"/>
    <mergeCell ref="AA3:AA5"/>
    <mergeCell ref="AD3:AD5"/>
    <mergeCell ref="AE3:AE5"/>
    <mergeCell ref="AF3:AF5"/>
    <mergeCell ref="AH3:AH11"/>
    <mergeCell ref="AI3:AI5"/>
    <mergeCell ref="AL3:AL5"/>
    <mergeCell ref="AM3:AM5"/>
    <mergeCell ref="AN3:AN5"/>
    <mergeCell ref="C6:C8"/>
    <mergeCell ref="F6:F8"/>
    <mergeCell ref="G6:G8"/>
    <mergeCell ref="H6:H8"/>
    <mergeCell ref="K6:K8"/>
    <mergeCell ref="N6:N8"/>
    <mergeCell ref="O6:O8"/>
    <mergeCell ref="P6:P8"/>
    <mergeCell ref="S6:S8"/>
    <mergeCell ref="V6:V8"/>
    <mergeCell ref="W6:W8"/>
    <mergeCell ref="X6:X8"/>
    <mergeCell ref="AA6:AA8"/>
    <mergeCell ref="AD6:AD8"/>
    <mergeCell ref="AE6:AE8"/>
    <mergeCell ref="AF6:AF8"/>
    <mergeCell ref="AI6:AI8"/>
    <mergeCell ref="AL6:AL8"/>
    <mergeCell ref="AM6:AM8"/>
    <mergeCell ref="AN6:AN8"/>
    <mergeCell ref="C9:C11"/>
    <mergeCell ref="F9:F11"/>
    <mergeCell ref="G9:G11"/>
    <mergeCell ref="H9:H11"/>
    <mergeCell ref="K9:K11"/>
    <mergeCell ref="N9:N11"/>
    <mergeCell ref="O9:O11"/>
    <mergeCell ref="P9:P11"/>
    <mergeCell ref="S9:S11"/>
    <mergeCell ref="V9:V11"/>
    <mergeCell ref="W9:W11"/>
    <mergeCell ref="X9:X11"/>
    <mergeCell ref="AA9:AA11"/>
    <mergeCell ref="AD9:AD11"/>
    <mergeCell ref="AE9:AE11"/>
    <mergeCell ref="AF9:AF11"/>
    <mergeCell ref="AI9:AI11"/>
    <mergeCell ref="AL9:AL11"/>
    <mergeCell ref="AM9:AM11"/>
    <mergeCell ref="AN9:AN11"/>
    <mergeCell ref="E17:L17"/>
    <mergeCell ref="S17:Z17"/>
    <mergeCell ref="AA17:AH17"/>
    <mergeCell ref="E43:L43"/>
    <mergeCell ref="S43:Z43"/>
    <mergeCell ref="AA43:AH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2023-02-17T15:54:36Z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