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lricciardelli/Desktop/ucb/UCB-Projects/excel/"/>
    </mc:Choice>
  </mc:AlternateContent>
  <xr:revisionPtr revIDLastSave="0" documentId="13_ncr:1_{CEE80DE3-C723-F44C-8136-AABC38601179}" xr6:coauthVersionLast="46" xr6:coauthVersionMax="46" xr10:uidLastSave="{00000000-0000-0000-0000-000000000000}"/>
  <bookViews>
    <workbookView xWindow="0" yWindow="480" windowWidth="33660" windowHeight="18940" activeTab="3" xr2:uid="{00000000-000D-0000-FFFF-FFFF00000000}"/>
  </bookViews>
  <sheets>
    <sheet name="Category Statistics" sheetId="2" r:id="rId1"/>
    <sheet name="GB Musicals" sheetId="10" r:id="rId2"/>
    <sheet name="Theater Outcomes by Launch Date" sheetId="11" r:id="rId3"/>
    <sheet name="Kickstarter" sheetId="1" r:id="rId4"/>
    <sheet name="Outcomes Based on Goals" sheetId="12" r:id="rId5"/>
    <sheet name="Subcategory Statistics" sheetId="3" r:id="rId6"/>
    <sheet name="Outcomes Based on Launch Date" sheetId="5" r:id="rId7"/>
    <sheet name="Edinburgh Research" sheetId="6" r:id="rId8"/>
    <sheet name="Successful US Kickstarters" sheetId="7" r:id="rId9"/>
    <sheet name="Failed US Kickstarters" sheetId="8" r:id="rId10"/>
    <sheet name="Descriptive Statistics" sheetId="9" r:id="rId11"/>
  </sheets>
  <definedNames>
    <definedName name="_xlnm._FilterDatabase" localSheetId="3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2" i="12"/>
  <c r="B11" i="12"/>
  <c r="B10" i="12"/>
  <c r="B9" i="12"/>
  <c r="B8" i="12"/>
  <c r="B7" i="12"/>
  <c r="B6" i="12"/>
  <c r="B5" i="12"/>
  <c r="B4" i="12"/>
  <c r="B13" i="12"/>
  <c r="B3" i="12"/>
  <c r="B2" i="12"/>
  <c r="C13" i="9"/>
  <c r="C12" i="9"/>
  <c r="C11" i="9"/>
  <c r="B13" i="9"/>
  <c r="B12" i="9"/>
  <c r="B11" i="9"/>
  <c r="C7" i="9"/>
  <c r="C6" i="9"/>
  <c r="C5" i="9"/>
  <c r="B7" i="9"/>
  <c r="B6" i="9"/>
  <c r="B5" i="9"/>
  <c r="C4" i="9"/>
  <c r="B4" i="9"/>
  <c r="B10" i="9"/>
  <c r="C10" i="9"/>
  <c r="C9" i="9"/>
  <c r="B9" i="9"/>
  <c r="C3" i="9"/>
  <c r="C2" i="9"/>
  <c r="B3" i="9"/>
  <c r="B2" i="9"/>
  <c r="F3" i="6"/>
  <c r="F4" i="6"/>
  <c r="F5" i="6"/>
  <c r="F6" i="6"/>
  <c r="F2" i="6"/>
  <c r="B6" i="6"/>
  <c r="B5" i="6"/>
  <c r="B4" i="6"/>
  <c r="B3" i="6"/>
  <c r="B2" i="6"/>
  <c r="D3" i="6"/>
  <c r="D4" i="6"/>
  <c r="D5" i="6"/>
  <c r="D6" i="6"/>
  <c r="D2" i="6"/>
  <c r="C2" i="6"/>
  <c r="C3" i="6"/>
  <c r="C4" i="6"/>
  <c r="C5" i="6"/>
  <c r="C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9" i="12" l="1"/>
  <c r="E7" i="12"/>
  <c r="G7" i="12" s="1"/>
  <c r="E8" i="12"/>
  <c r="G8" i="12" s="1"/>
  <c r="E10" i="12"/>
  <c r="H10" i="12" s="1"/>
  <c r="G10" i="12"/>
  <c r="H7" i="12"/>
  <c r="H8" i="12"/>
  <c r="H9" i="12"/>
  <c r="G9" i="12"/>
  <c r="E2" i="12"/>
  <c r="F2" i="12" s="1"/>
  <c r="E6" i="12"/>
  <c r="H6" i="12" s="1"/>
  <c r="F10" i="12"/>
  <c r="E13" i="12"/>
  <c r="G13" i="12" s="1"/>
  <c r="E5" i="12"/>
  <c r="G5" i="12" s="1"/>
  <c r="F9" i="12"/>
  <c r="E12" i="12"/>
  <c r="H12" i="12" s="1"/>
  <c r="E4" i="12"/>
  <c r="H4" i="12" s="1"/>
  <c r="F8" i="12"/>
  <c r="E11" i="12"/>
  <c r="F11" i="12" s="1"/>
  <c r="E3" i="12"/>
  <c r="G3" i="12" s="1"/>
  <c r="F7" i="12"/>
  <c r="C14" i="9"/>
  <c r="B14" i="9"/>
  <c r="H5" i="12" l="1"/>
  <c r="G6" i="12"/>
  <c r="F6" i="12"/>
  <c r="F13" i="12"/>
  <c r="G12" i="12"/>
  <c r="F12" i="12"/>
  <c r="H11" i="12"/>
  <c r="G11" i="12"/>
  <c r="H13" i="12"/>
  <c r="H3" i="12"/>
  <c r="F3" i="12"/>
  <c r="F4" i="12"/>
  <c r="H2" i="12"/>
  <c r="G4" i="12"/>
  <c r="G2" i="12"/>
  <c r="F5" i="12"/>
</calcChain>
</file>

<file path=xl/sharedStrings.xml><?xml version="1.0" encoding="utf-8"?>
<sst xmlns="http://schemas.openxmlformats.org/spreadsheetml/2006/main" count="38384" uniqueCount="8417">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</sst>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2" fillId="0" borderId="0" xfId="0" applyFont="1"/>
    <xf numFmtId="165" fontId="0" fillId="0" borderId="0" xfId="0" applyNumberFormat="1"/>
    <xf numFmtId="166" fontId="0" fillId="0" borderId="0" xfId="1" applyNumberFormat="1" applyFont="1"/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5F5F5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D8-2940-9718-1DA7498F47E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D8-2940-9718-1DA7498F47E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D8-2940-9718-1DA7498F47E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2D8-2940-9718-1DA7498F4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3543087"/>
        <c:axId val="1123544735"/>
      </c:barChart>
      <c:catAx>
        <c:axId val="112354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544735"/>
        <c:crosses val="autoZero"/>
        <c:auto val="1"/>
        <c:lblAlgn val="ctr"/>
        <c:lblOffset val="100"/>
        <c:noMultiLvlLbl val="0"/>
      </c:catAx>
      <c:valAx>
        <c:axId val="112354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54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36454571114333822"/>
          <c:y val="3.87096774193548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0E-BE46-B94A-E52359B5F7E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0E-BE46-B94A-E52359B5F7E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0E-BE46-B94A-E52359B5F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1138079"/>
        <c:axId val="1351139727"/>
      </c:lineChart>
      <c:catAx>
        <c:axId val="1351138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139727"/>
        <c:crosses val="autoZero"/>
        <c:auto val="1"/>
        <c:lblAlgn val="ctr"/>
        <c:lblOffset val="100"/>
        <c:noMultiLvlLbl val="0"/>
      </c:catAx>
      <c:valAx>
        <c:axId val="135113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13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86-EE45-AEF6-435294EE0E9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86-EE45-AEF6-435294EE0E9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86-EE45-AEF6-435294EE0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0827007"/>
        <c:axId val="1371013311"/>
      </c:lineChart>
      <c:catAx>
        <c:axId val="137082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013311"/>
        <c:crosses val="autoZero"/>
        <c:auto val="1"/>
        <c:lblAlgn val="ctr"/>
        <c:lblOffset val="100"/>
        <c:noMultiLvlLbl val="0"/>
      </c:catAx>
      <c:valAx>
        <c:axId val="137101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827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4C-C74F-8A09-2521E2167C5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B4C-C74F-8A09-2521E2167C5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B4C-C74F-8A09-2521E2167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3835727"/>
        <c:axId val="1183838351"/>
      </c:barChart>
      <c:catAx>
        <c:axId val="118383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838351"/>
        <c:crosses val="autoZero"/>
        <c:auto val="1"/>
        <c:lblAlgn val="ctr"/>
        <c:lblOffset val="100"/>
        <c:noMultiLvlLbl val="0"/>
      </c:catAx>
      <c:valAx>
        <c:axId val="118383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83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66-AB4D-AFBF-01E8B531608C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66-AB4D-AFBF-01E8B531608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66-AB4D-AFBF-01E8B531608C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666-AB4D-AFBF-01E8B5316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5934223"/>
        <c:axId val="685935903"/>
      </c:lineChart>
      <c:catAx>
        <c:axId val="68593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935903"/>
        <c:crosses val="autoZero"/>
        <c:auto val="1"/>
        <c:lblAlgn val="ctr"/>
        <c:lblOffset val="100"/>
        <c:noMultiLvlLbl val="0"/>
      </c:catAx>
      <c:valAx>
        <c:axId val="68593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93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Chart Title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Chart Title</a:t>
          </a:r>
        </a:p>
      </cx:txPr>
    </cx:title>
    <cx:plotArea>
      <cx:plotAreaRegion>
        <cx:series layoutId="boxWhisker" uniqueId="{F86E46E4-D600-574A-AC07-D41B017E5EFB}">
          <cx:tx>
            <cx:txData>
              <cx:f>_xlchart.v1.0</cx:f>
              <cx:v> goal </cx:v>
            </cx:txData>
          </cx:tx>
          <cx:spPr>
            <a:solidFill>
              <a:schemeClr val="accent1">
                <a:alpha val="49000"/>
              </a:schemeClr>
            </a:solidFill>
          </cx:spPr>
          <cx:dataId val="0"/>
          <cx:layoutPr>
            <cx:statistics quartileMethod="exclusive"/>
          </cx:layoutPr>
        </cx:series>
        <cx:series layoutId="boxWhisker" uniqueId="{D826AFDE-1FC6-F04F-886A-887228405231}">
          <cx:tx>
            <cx:txData>
              <cx:f>_xlchart.v1.2</cx:f>
              <cx:v>pledged</cx:v>
            </cx:txData>
          </cx:tx>
          <cx:spPr>
            <a:solidFill>
              <a:schemeClr val="accent1">
                <a:alpha val="45000"/>
              </a:schemeClr>
            </a:solidFill>
          </cx:spPr>
          <cx:dataId val="1"/>
          <cx:layoutPr>
            <cx:statistics quartileMethod="exclusive"/>
          </cx:layoutPr>
        </cx:series>
      </cx:plotAreaRegion>
      <cx:axis id="0">
        <cx:catScaling gapWidth="2.19000006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6B06E0B-8A94-B949-A854-EA0516B9FE03}">
  <sheetPr/>
  <sheetViews>
    <sheetView zoomScale="14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2</xdr:row>
      <xdr:rowOff>152400</xdr:rowOff>
    </xdr:from>
    <xdr:to>
      <xdr:col>17</xdr:col>
      <xdr:colOff>723900</xdr:colOff>
      <xdr:row>30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6D59D0-AEA0-784E-A72F-C147778B26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2534" cy="628041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1C81C22-FA1F-2046-97FF-16C37F33260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B00DD88-0AE2-7841-A014-434CE1E7ED2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534" cy="628041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</xdr:row>
      <xdr:rowOff>139700</xdr:rowOff>
    </xdr:from>
    <xdr:to>
      <xdr:col>19</xdr:col>
      <xdr:colOff>38100</xdr:colOff>
      <xdr:row>32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A5D344-1747-BB4F-A8B2-D5CD76637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387350</xdr:colOff>
      <xdr:row>1</xdr:row>
      <xdr:rowOff>63500</xdr:rowOff>
    </xdr:from>
    <xdr:to>
      <xdr:col>22</xdr:col>
      <xdr:colOff>342900</xdr:colOff>
      <xdr:row>37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EBF44-EA4D-914F-B582-F0209C8A42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2</xdr:row>
      <xdr:rowOff>76200</xdr:rowOff>
    </xdr:from>
    <xdr:to>
      <xdr:col>20</xdr:col>
      <xdr:colOff>101600</xdr:colOff>
      <xdr:row>30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A8F31F-7DBA-4D4F-8443-D969D07A27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469900</xdr:colOff>
      <xdr:row>9</xdr:row>
      <xdr:rowOff>177800</xdr:rowOff>
    </xdr:from>
    <xdr:to>
      <xdr:col>18</xdr:col>
      <xdr:colOff>368300</xdr:colOff>
      <xdr:row>36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2EBB32-FC37-BE4A-9728-4CBC1C8D9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 Ricciardelli" refreshedDate="44269.905968634259" createdVersion="6" refreshedVersion="6" minRefreshableVersion="3" recordCount="4114" xr:uid="{C06E2CE1-06F4-A04A-889D-E26E8F3C399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 Ricciardelli" refreshedDate="44270.821073263891" createdVersion="6" refreshedVersion="6" minRefreshableVersion="3" recordCount="4114" xr:uid="{1D7115E9-66DF-ED49-AB05-51744FC8238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 Ricciardelli" refreshedDate="44273.885668750001" createdVersion="6" refreshedVersion="6" minRefreshableVersion="3" recordCount="4114" xr:uid="{9518157E-8153-8F47-A578-3F21358B095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D55A1-62B5-1445-8430-0D8CD4FEEEE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F6BF04-A791-1F44-A11E-42B0AE80DF0A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336D63-937D-854A-8623-EA4BFC3539E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9E2FFA-EE2D-8F4A-9FEB-EFCA4E17712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68E6B-66A5-D843-9434-4094795120AE}">
  <sheetPr codeName="Sheet1"/>
  <dimension ref="A1:F6"/>
  <sheetViews>
    <sheetView workbookViewId="0">
      <selection activeCell="B8" sqref="B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E7F84-B971-9646-B713-6B693C410C2E}">
  <dimension ref="A1:E18"/>
  <sheetViews>
    <sheetView workbookViewId="0">
      <selection activeCell="A20" sqref="A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8359</v>
      </c>
      <c r="B1" t="s">
        <v>8315</v>
      </c>
    </row>
    <row r="2" spans="1:5" x14ac:dyDescent="0.2">
      <c r="A2" s="13" t="s">
        <v>8396</v>
      </c>
      <c r="B2" t="s">
        <v>8397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8372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">
      <c r="A7" s="17" t="s">
        <v>8373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">
      <c r="A8" s="17" t="s">
        <v>8374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">
      <c r="A9" s="17" t="s">
        <v>8375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">
      <c r="A10" s="17" t="s">
        <v>8366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">
      <c r="A11" s="17" t="s">
        <v>8376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">
      <c r="A12" s="17" t="s">
        <v>8367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">
      <c r="A13" s="17" t="s">
        <v>8368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">
      <c r="A14" s="17" t="s">
        <v>8369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">
      <c r="A15" s="17" t="s">
        <v>8370</v>
      </c>
      <c r="B15" s="15">
        <v>65</v>
      </c>
      <c r="C15" s="15">
        <v>50</v>
      </c>
      <c r="D15" s="15"/>
      <c r="E15" s="15">
        <v>115</v>
      </c>
    </row>
    <row r="16" spans="1:5" x14ac:dyDescent="0.2">
      <c r="A16" s="17" t="s">
        <v>8371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">
      <c r="A17" s="17" t="s">
        <v>8377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">
      <c r="A18" s="17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tabSelected="1"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3.3320312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2" t="s">
        <v>8358</v>
      </c>
      <c r="S1" s="1" t="s">
        <v>8364</v>
      </c>
      <c r="T1" s="1" t="s">
        <v>8365</v>
      </c>
      <c r="U1" s="1" t="s">
        <v>8396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EFF27E81-25F9-7F47-B5E1-79174D1B5ACD}"/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S1:U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18CD3-2B4F-2E40-A601-EE63C2209EA3}">
  <dimension ref="A1:H13"/>
  <sheetViews>
    <sheetView workbookViewId="0">
      <selection activeCell="D24" sqref="D24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8379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">
      <c r="A2" t="s">
        <v>8405</v>
      </c>
      <c r="B2">
        <f>COUNTIFS(Kickstarter!$R:$R,"=plays",Kickstarter!$F:$F,"=Successful",Kickstarter!$D:$D,"&lt;"&amp;1000)</f>
        <v>141</v>
      </c>
      <c r="C2">
        <f>COUNTIFS(Kickstarter!$R:$R,"=plays",Kickstarter!$F:$F,"=Failed",Kickstarter!$D:$D,"&lt;"&amp;1000)</f>
        <v>45</v>
      </c>
      <c r="D2">
        <f>COUNTIFS(Kickstarter!$R:$R,"=plays",Kickstarter!$F:$F,"=Canceled",Kickstarter!$D:$D,"&lt;"&amp;1000)</f>
        <v>0</v>
      </c>
      <c r="E2">
        <f>SUM(B2:D2)</f>
        <v>186</v>
      </c>
      <c r="F2" s="21">
        <f>B2/$E2</f>
        <v>0.75806451612903225</v>
      </c>
      <c r="G2" s="21">
        <f>C2/$E2</f>
        <v>0.24193548387096775</v>
      </c>
      <c r="H2" s="21">
        <f>D2/$E2</f>
        <v>0</v>
      </c>
    </row>
    <row r="3" spans="1:8" x14ac:dyDescent="0.2">
      <c r="A3" t="s">
        <v>8406</v>
      </c>
      <c r="B3">
        <f>COUNTIFS(Kickstarter!$R:$R,"=plays",Kickstarter!$F:$F,"=Successful",Kickstarter!$D:$D,"&gt;="&amp;1000,Kickstarter!$D:$D,"&lt;"&amp;5000)</f>
        <v>388</v>
      </c>
      <c r="C3">
        <f>COUNTIFS(Kickstarter!$R:$R,"=plays",Kickstarter!$F:$F,"=Failed",Kickstarter!$D:$D,"&gt;="&amp;1000,Kickstarter!$D:$D,"&lt;"&amp;5000)</f>
        <v>146</v>
      </c>
      <c r="D3">
        <f>COUNTIFS(Kickstarter!$R:$R,"=plays",Kickstarter!$F:$F,"=Canceled",Kickstarter!$D:$D,"&gt;="&amp;1000,Kickstarter!$D:$D,"&lt;"&amp;5000)</f>
        <v>0</v>
      </c>
      <c r="E3">
        <f t="shared" ref="E3:E13" si="0">SUM(B3:D3)</f>
        <v>534</v>
      </c>
      <c r="F3" s="21">
        <f t="shared" ref="F3:H13" si="1">B3/$E3</f>
        <v>0.72659176029962547</v>
      </c>
      <c r="G3" s="21">
        <f t="shared" si="1"/>
        <v>0.27340823970037453</v>
      </c>
      <c r="H3" s="21">
        <f t="shared" si="1"/>
        <v>0</v>
      </c>
    </row>
    <row r="4" spans="1:8" x14ac:dyDescent="0.2">
      <c r="A4" t="s">
        <v>8407</v>
      </c>
      <c r="B4">
        <f>COUNTIFS(Kickstarter!$R:$R,"=plays",Kickstarter!$F:$F,"=Successful",Kickstarter!$D:$D,"&gt;="&amp;5000,Kickstarter!$D:$D,"&lt;"&amp;10000)</f>
        <v>93</v>
      </c>
      <c r="C4">
        <f>COUNTIFS(Kickstarter!$R:$R,"=plays",Kickstarter!$F:$F,"=Failed",Kickstarter!$D:$D,"&gt;="&amp;5000,Kickstarter!$D:$D,"&lt;"&amp;10000)</f>
        <v>76</v>
      </c>
      <c r="D4">
        <f>COUNTIFS(Kickstarter!$R:$R,"=plays",Kickstarter!$F:$F,"=Canceled",Kickstarter!$D:$D,"&gt;="&amp;5000,Kickstarter!$D:$D,"&lt;"&amp;10000)</f>
        <v>0</v>
      </c>
      <c r="E4">
        <f t="shared" si="0"/>
        <v>169</v>
      </c>
      <c r="F4" s="21">
        <f t="shared" si="1"/>
        <v>0.55029585798816572</v>
      </c>
      <c r="G4" s="21">
        <f t="shared" si="1"/>
        <v>0.44970414201183434</v>
      </c>
      <c r="H4" s="21">
        <f t="shared" si="1"/>
        <v>0</v>
      </c>
    </row>
    <row r="5" spans="1:8" x14ac:dyDescent="0.2">
      <c r="A5" t="s">
        <v>8408</v>
      </c>
      <c r="B5">
        <f>COUNTIFS(Kickstarter!$R:$R,"=plays",Kickstarter!$F:$F,"=Successful",Kickstarter!$D:$D,"&gt;="&amp;10000,Kickstarter!$D:$D,"&lt;"&amp;15000)</f>
        <v>39</v>
      </c>
      <c r="C5">
        <f>COUNTIFS(Kickstarter!$R:$R,"=plays",Kickstarter!$F:$F,"=Failed",Kickstarter!$D:$D,"&gt;="&amp;10000,Kickstarter!$D:$D,"&lt;"&amp;15000)</f>
        <v>33</v>
      </c>
      <c r="D5">
        <f>COUNTIFS(Kickstarter!$R:$R,"=plays",Kickstarter!$F:$F,"=Canceled",Kickstarter!$D:$D,"&gt;="&amp;10000,Kickstarter!$D:$D,"&lt;"&amp;15000)</f>
        <v>0</v>
      </c>
      <c r="E5">
        <f t="shared" si="0"/>
        <v>72</v>
      </c>
      <c r="F5" s="21">
        <f t="shared" si="1"/>
        <v>0.54166666666666663</v>
      </c>
      <c r="G5" s="21">
        <f t="shared" si="1"/>
        <v>0.45833333333333331</v>
      </c>
      <c r="H5" s="21">
        <f t="shared" si="1"/>
        <v>0</v>
      </c>
    </row>
    <row r="6" spans="1:8" x14ac:dyDescent="0.2">
      <c r="A6" t="s">
        <v>8409</v>
      </c>
      <c r="B6">
        <f>COUNTIFS(Kickstarter!$R:$R,"=plays",Kickstarter!$F:$F,"=Successful",Kickstarter!$D:$D,"&gt;="&amp;15000,Kickstarter!$D:$D,"&lt;"&amp;20000)</f>
        <v>12</v>
      </c>
      <c r="C6">
        <f>COUNTIFS(Kickstarter!$R:$R,"=plays",Kickstarter!$F:$F,"=Failed",Kickstarter!$D:$D,"&gt;="&amp;15000,Kickstarter!$D:$D,"&lt;"&amp;20000)</f>
        <v>12</v>
      </c>
      <c r="D6">
        <f>COUNTIFS(Kickstarter!$R:$R,"=plays",Kickstarter!$F:$F,"=Canceled",Kickstarter!$D:$D,"&gt;="&amp;15000,Kickstarter!$D:$D,"&lt;"&amp;20000)</f>
        <v>0</v>
      </c>
      <c r="E6">
        <f t="shared" si="0"/>
        <v>24</v>
      </c>
      <c r="F6" s="21">
        <f t="shared" si="1"/>
        <v>0.5</v>
      </c>
      <c r="G6" s="21">
        <f t="shared" si="1"/>
        <v>0.5</v>
      </c>
      <c r="H6" s="21">
        <f t="shared" si="1"/>
        <v>0</v>
      </c>
    </row>
    <row r="7" spans="1:8" x14ac:dyDescent="0.2">
      <c r="A7" t="s">
        <v>8410</v>
      </c>
      <c r="B7">
        <f>COUNTIFS(Kickstarter!$R:$R,"=plays",Kickstarter!$F:$F,"=Successful",Kickstarter!$D:$D,"&gt;="&amp;20000,Kickstarter!$D:$D,"&lt;"&amp;25000)</f>
        <v>9</v>
      </c>
      <c r="C7">
        <f>COUNTIFS(Kickstarter!$R:$R,"=plays",Kickstarter!$F:$F,"=Failed",Kickstarter!$D:$D,"&gt;="&amp;20000,Kickstarter!$D:$D,"&lt;"&amp;25000)</f>
        <v>11</v>
      </c>
      <c r="D7">
        <f>COUNTIFS(Kickstarter!$R:$R,"=plays",Kickstarter!$F:$F,"=Canceled",Kickstarter!$D:$D,"&gt;="&amp;20000,Kickstarter!$D:$D,"&lt;"&amp;25000)</f>
        <v>0</v>
      </c>
      <c r="E7">
        <f t="shared" si="0"/>
        <v>20</v>
      </c>
      <c r="F7" s="21">
        <f t="shared" si="1"/>
        <v>0.45</v>
      </c>
      <c r="G7" s="21">
        <f t="shared" si="1"/>
        <v>0.55000000000000004</v>
      </c>
      <c r="H7" s="21">
        <f t="shared" si="1"/>
        <v>0</v>
      </c>
    </row>
    <row r="8" spans="1:8" x14ac:dyDescent="0.2">
      <c r="A8" t="s">
        <v>8411</v>
      </c>
      <c r="B8">
        <f>COUNTIFS(Kickstarter!$R:$R,"=plays",Kickstarter!$F:$F,"=Successful",Kickstarter!$D:$D,"&gt;="&amp;25000,Kickstarter!$D:$D,"&lt;"&amp;30000)</f>
        <v>1</v>
      </c>
      <c r="C8">
        <f>COUNTIFS(Kickstarter!$R:$R,"=plays",Kickstarter!$F:$F,"=Failed",Kickstarter!$D:$D,"&gt;="&amp;25000,Kickstarter!$D:$D,"&lt;"&amp;30000)</f>
        <v>4</v>
      </c>
      <c r="D8">
        <f>COUNTIFS(Kickstarter!$R:$R,"=plays",Kickstarter!$F:$F,"=Canceled",Kickstarter!$D:$D,"&gt;="&amp;25000,Kickstarter!$D:$D,"&lt;"&amp;30000)</f>
        <v>0</v>
      </c>
      <c r="E8">
        <f t="shared" si="0"/>
        <v>5</v>
      </c>
      <c r="F8" s="21">
        <f t="shared" si="1"/>
        <v>0.2</v>
      </c>
      <c r="G8" s="21">
        <f t="shared" si="1"/>
        <v>0.8</v>
      </c>
      <c r="H8" s="21">
        <f t="shared" si="1"/>
        <v>0</v>
      </c>
    </row>
    <row r="9" spans="1:8" x14ac:dyDescent="0.2">
      <c r="A9" t="s">
        <v>8412</v>
      </c>
      <c r="B9">
        <f>COUNTIFS(Kickstarter!$R:$R,"=plays",Kickstarter!$F:$F,"=Successful",Kickstarter!$D:$D,"&gt;="&amp;30000,Kickstarter!$D:$D,"&lt;"&amp;35000)</f>
        <v>3</v>
      </c>
      <c r="C9">
        <f>COUNTIFS(Kickstarter!$R:$R,"=plays",Kickstarter!$F:$F,"=Failed",Kickstarter!$D:$D,"&gt;="&amp;30000,Kickstarter!$D:$D,"&lt;"&amp;35000)</f>
        <v>8</v>
      </c>
      <c r="D9">
        <f>COUNTIFS(Kickstarter!$R:$R,"=plays",Kickstarter!$F:$F,"=Canceled",Kickstarter!$D:$D,"&gt;="&amp;30000,Kickstarter!$D:$D,"&lt;"&amp;35000)</f>
        <v>0</v>
      </c>
      <c r="E9">
        <f t="shared" si="0"/>
        <v>11</v>
      </c>
      <c r="F9" s="21">
        <f t="shared" si="1"/>
        <v>0.27272727272727271</v>
      </c>
      <c r="G9" s="21">
        <f t="shared" si="1"/>
        <v>0.72727272727272729</v>
      </c>
      <c r="H9" s="21">
        <f t="shared" si="1"/>
        <v>0</v>
      </c>
    </row>
    <row r="10" spans="1:8" x14ac:dyDescent="0.2">
      <c r="A10" t="s">
        <v>8413</v>
      </c>
      <c r="B10">
        <f>COUNTIFS(Kickstarter!$R:$R,"=plays",Kickstarter!$F:$F,"=Successful",Kickstarter!$D:$D,"&gt;="&amp;35000,Kickstarter!$D:$D,"&lt;"&amp;40000)</f>
        <v>4</v>
      </c>
      <c r="C10">
        <f>COUNTIFS(Kickstarter!$R:$R,"=plays",Kickstarter!$F:$F,"=Failed",Kickstarter!$D:$D,"&gt;="&amp;35000,Kickstarter!$D:$D,"&lt;"&amp;40000)</f>
        <v>2</v>
      </c>
      <c r="D10">
        <f>COUNTIFS(Kickstarter!$R:$R,"=plays",Kickstarter!$F:$F,"=Canceled",Kickstarter!$D:$D,"&gt;="&amp;35000,Kickstarter!$D:$D,"&lt;"&amp;40000)</f>
        <v>0</v>
      </c>
      <c r="E10">
        <f t="shared" si="0"/>
        <v>6</v>
      </c>
      <c r="F10" s="21">
        <f t="shared" si="1"/>
        <v>0.66666666666666663</v>
      </c>
      <c r="G10" s="21">
        <f t="shared" si="1"/>
        <v>0.33333333333333331</v>
      </c>
      <c r="H10" s="21">
        <f t="shared" si="1"/>
        <v>0</v>
      </c>
    </row>
    <row r="11" spans="1:8" x14ac:dyDescent="0.2">
      <c r="A11" t="s">
        <v>8414</v>
      </c>
      <c r="B11">
        <f>COUNTIFS(Kickstarter!$R:$R,"=plays",Kickstarter!$F:$F,"=Successful",Kickstarter!$D:$D,"&gt;="&amp;40000,Kickstarter!$D:$D,"&lt;"&amp;45000)</f>
        <v>2</v>
      </c>
      <c r="C11">
        <f>COUNTIFS(Kickstarter!$R:$R,"=plays",Kickstarter!$F:$F,"=Failed",Kickstarter!$D:$D,"&gt;="&amp;40000,Kickstarter!$D:$D,"&lt;"&amp;45000)</f>
        <v>1</v>
      </c>
      <c r="D11">
        <f>COUNTIFS(Kickstarter!$R:$R,"=plays",Kickstarter!$F:$F,"=Canceled",Kickstarter!$D:$D,"&gt;="&amp;40000,Kickstarter!$D:$D,"&lt;"&amp;45000)</f>
        <v>0</v>
      </c>
      <c r="E11">
        <f t="shared" si="0"/>
        <v>3</v>
      </c>
      <c r="F11" s="21">
        <f t="shared" si="1"/>
        <v>0.66666666666666663</v>
      </c>
      <c r="G11" s="21">
        <f t="shared" si="1"/>
        <v>0.33333333333333331</v>
      </c>
      <c r="H11" s="21">
        <f t="shared" si="1"/>
        <v>0</v>
      </c>
    </row>
    <row r="12" spans="1:8" x14ac:dyDescent="0.2">
      <c r="A12" t="s">
        <v>8415</v>
      </c>
      <c r="B12">
        <f>COUNTIFS(Kickstarter!$R:$R,"=plays",Kickstarter!$F:$F,"=Successful",Kickstarter!$D:$D,"&gt;="&amp;45000,Kickstarter!$D:$D,"&lt;"&amp;50000)</f>
        <v>0</v>
      </c>
      <c r="C12">
        <f>COUNTIFS(Kickstarter!$R:$R,"=plays",Kickstarter!$F:$F,"=Failed",Kickstarter!$D:$D,"&gt;="&amp;45000,Kickstarter!$D:$D,"&lt;"&amp;50000)</f>
        <v>1</v>
      </c>
      <c r="D12">
        <f>COUNTIFS(Kickstarter!$R:$R,"=plays",Kickstarter!$F:$F,"=Canceled",Kickstarter!$D:$D,"&gt;="&amp;45000,Kickstarter!$D:$D,"&lt;"&amp;50000)</f>
        <v>0</v>
      </c>
      <c r="E12">
        <f t="shared" si="0"/>
        <v>1</v>
      </c>
      <c r="F12" s="21">
        <f t="shared" si="1"/>
        <v>0</v>
      </c>
      <c r="G12" s="21">
        <f t="shared" si="1"/>
        <v>1</v>
      </c>
      <c r="H12" s="21">
        <f t="shared" si="1"/>
        <v>0</v>
      </c>
    </row>
    <row r="13" spans="1:8" x14ac:dyDescent="0.2">
      <c r="A13" t="s">
        <v>8416</v>
      </c>
      <c r="B13">
        <f>COUNTIFS(Kickstarter!$R:$R,"=plays",Kickstarter!$F:$F,"=Successful",Kickstarter!$D:$D,"&gt;="&amp;50000)</f>
        <v>2</v>
      </c>
      <c r="C13">
        <f>COUNTIFS(Kickstarter!$R:$R,"=plays",Kickstarter!$F:$F,"=Failed",Kickstarter!$D:$D,"&gt;="&amp;50000)</f>
        <v>14</v>
      </c>
      <c r="D13">
        <f>COUNTIFS(Kickstarter!$R:$R,"=plays",Kickstarter!$F:$F,"=Canceled",Kickstarter!$D:$D,"&gt;="&amp;50000)</f>
        <v>0</v>
      </c>
      <c r="E13">
        <f t="shared" si="0"/>
        <v>16</v>
      </c>
      <c r="F13" s="21">
        <f t="shared" si="1"/>
        <v>0.125</v>
      </c>
      <c r="G13" s="21">
        <f t="shared" si="1"/>
        <v>0.875</v>
      </c>
      <c r="H13" s="21">
        <f t="shared" si="1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BB3D4-87A9-5A4D-B262-BF0EBE844E7C}">
  <sheetPr codeName="Sheet3"/>
  <dimension ref="A1:E7"/>
  <sheetViews>
    <sheetView workbookViewId="0">
      <selection activeCell="C12" sqref="C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8359</v>
      </c>
      <c r="B2" t="s">
        <v>8315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2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D5B2D-24F0-1A40-B92F-ADDB119DDF71}">
  <sheetPr codeName="Sheet4"/>
  <dimension ref="A1:F17"/>
  <sheetViews>
    <sheetView workbookViewId="0">
      <selection activeCell="B8" sqref="B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8359</v>
      </c>
      <c r="B1" t="s">
        <v>8315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7" t="s">
        <v>8372</v>
      </c>
      <c r="B5" s="15">
        <v>7</v>
      </c>
      <c r="C5" s="15">
        <v>33</v>
      </c>
      <c r="D5" s="15">
        <v>2</v>
      </c>
      <c r="E5" s="15">
        <v>56</v>
      </c>
      <c r="F5" s="15">
        <v>98</v>
      </c>
    </row>
    <row r="6" spans="1:6" x14ac:dyDescent="0.2">
      <c r="A6" s="17" t="s">
        <v>8373</v>
      </c>
      <c r="B6" s="15">
        <v>3</v>
      </c>
      <c r="C6" s="15">
        <v>39</v>
      </c>
      <c r="D6" s="15">
        <v>8</v>
      </c>
      <c r="E6" s="15">
        <v>71</v>
      </c>
      <c r="F6" s="15">
        <v>121</v>
      </c>
    </row>
    <row r="7" spans="1:6" x14ac:dyDescent="0.2">
      <c r="A7" s="17" t="s">
        <v>8374</v>
      </c>
      <c r="B7" s="15">
        <v>3</v>
      </c>
      <c r="C7" s="15">
        <v>33</v>
      </c>
      <c r="D7" s="15">
        <v>14</v>
      </c>
      <c r="E7" s="15">
        <v>56</v>
      </c>
      <c r="F7" s="15">
        <v>106</v>
      </c>
    </row>
    <row r="8" spans="1:6" x14ac:dyDescent="0.2">
      <c r="A8" s="17" t="s">
        <v>8375</v>
      </c>
      <c r="B8" s="15">
        <v>2</v>
      </c>
      <c r="C8" s="15">
        <v>40</v>
      </c>
      <c r="D8" s="15"/>
      <c r="E8" s="15">
        <v>71</v>
      </c>
      <c r="F8" s="15">
        <v>113</v>
      </c>
    </row>
    <row r="9" spans="1:6" x14ac:dyDescent="0.2">
      <c r="A9" s="17" t="s">
        <v>8366</v>
      </c>
      <c r="B9" s="15">
        <v>3</v>
      </c>
      <c r="C9" s="15">
        <v>52</v>
      </c>
      <c r="D9" s="15"/>
      <c r="E9" s="15">
        <v>111</v>
      </c>
      <c r="F9" s="15">
        <v>166</v>
      </c>
    </row>
    <row r="10" spans="1:6" x14ac:dyDescent="0.2">
      <c r="A10" s="17" t="s">
        <v>8376</v>
      </c>
      <c r="B10" s="15">
        <v>4</v>
      </c>
      <c r="C10" s="15">
        <v>49</v>
      </c>
      <c r="D10" s="15"/>
      <c r="E10" s="15">
        <v>100</v>
      </c>
      <c r="F10" s="15">
        <v>153</v>
      </c>
    </row>
    <row r="11" spans="1:6" x14ac:dyDescent="0.2">
      <c r="A11" s="17" t="s">
        <v>8367</v>
      </c>
      <c r="B11" s="15">
        <v>1</v>
      </c>
      <c r="C11" s="15">
        <v>50</v>
      </c>
      <c r="D11" s="15"/>
      <c r="E11" s="15">
        <v>87</v>
      </c>
      <c r="F11" s="15">
        <v>138</v>
      </c>
    </row>
    <row r="12" spans="1:6" x14ac:dyDescent="0.2">
      <c r="A12" s="17" t="s">
        <v>8368</v>
      </c>
      <c r="B12" s="15">
        <v>4</v>
      </c>
      <c r="C12" s="15">
        <v>47</v>
      </c>
      <c r="D12" s="15"/>
      <c r="E12" s="15">
        <v>72</v>
      </c>
      <c r="F12" s="15">
        <v>123</v>
      </c>
    </row>
    <row r="13" spans="1:6" x14ac:dyDescent="0.2">
      <c r="A13" s="17" t="s">
        <v>8369</v>
      </c>
      <c r="B13" s="15">
        <v>4</v>
      </c>
      <c r="C13" s="15">
        <v>34</v>
      </c>
      <c r="D13" s="15"/>
      <c r="E13" s="15">
        <v>59</v>
      </c>
      <c r="F13" s="15">
        <v>97</v>
      </c>
    </row>
    <row r="14" spans="1:6" x14ac:dyDescent="0.2">
      <c r="A14" s="17" t="s">
        <v>8370</v>
      </c>
      <c r="B14" s="15"/>
      <c r="C14" s="15">
        <v>50</v>
      </c>
      <c r="D14" s="15"/>
      <c r="E14" s="15">
        <v>65</v>
      </c>
      <c r="F14" s="15">
        <v>115</v>
      </c>
    </row>
    <row r="15" spans="1:6" x14ac:dyDescent="0.2">
      <c r="A15" s="17" t="s">
        <v>8371</v>
      </c>
      <c r="B15" s="15">
        <v>3</v>
      </c>
      <c r="C15" s="15">
        <v>31</v>
      </c>
      <c r="D15" s="15"/>
      <c r="E15" s="15">
        <v>54</v>
      </c>
      <c r="F15" s="15">
        <v>88</v>
      </c>
    </row>
    <row r="16" spans="1:6" x14ac:dyDescent="0.2">
      <c r="A16" s="17" t="s">
        <v>8377</v>
      </c>
      <c r="B16" s="15">
        <v>3</v>
      </c>
      <c r="C16" s="15">
        <v>35</v>
      </c>
      <c r="D16" s="15"/>
      <c r="E16" s="15">
        <v>37</v>
      </c>
      <c r="F16" s="15">
        <v>75</v>
      </c>
    </row>
    <row r="17" spans="1:6" x14ac:dyDescent="0.2">
      <c r="A17" s="17" t="s">
        <v>8361</v>
      </c>
      <c r="B17" s="15">
        <v>37</v>
      </c>
      <c r="C17" s="15">
        <v>493</v>
      </c>
      <c r="D17" s="15">
        <v>24</v>
      </c>
      <c r="E17" s="15">
        <v>839</v>
      </c>
      <c r="F17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716DC-CFEF-434E-B38B-86D751929987}">
  <dimension ref="A1:F6"/>
  <sheetViews>
    <sheetView workbookViewId="0">
      <selection activeCell="F11" sqref="F11"/>
    </sheetView>
  </sheetViews>
  <sheetFormatPr baseColWidth="10" defaultRowHeight="15" x14ac:dyDescent="0.2"/>
  <cols>
    <col min="1" max="1" width="56.5" bestFit="1" customWidth="1"/>
    <col min="2" max="2" width="55.1640625" style="3" customWidth="1"/>
    <col min="5" max="5" width="14.5" bestFit="1" customWidth="1"/>
    <col min="6" max="6" width="15.1640625" bestFit="1" customWidth="1"/>
  </cols>
  <sheetData>
    <row r="1" spans="1:6" ht="16" x14ac:dyDescent="0.2">
      <c r="A1" s="18" t="s">
        <v>8378</v>
      </c>
      <c r="B1" s="3" t="s">
        <v>4110</v>
      </c>
      <c r="C1" t="s">
        <v>8379</v>
      </c>
      <c r="D1" t="s">
        <v>8380</v>
      </c>
      <c r="E1" t="s">
        <v>8307</v>
      </c>
      <c r="F1" t="s">
        <v>8381</v>
      </c>
    </row>
    <row r="2" spans="1:6" ht="32" x14ac:dyDescent="0.2">
      <c r="A2" s="19" t="s">
        <v>3473</v>
      </c>
      <c r="B2" s="3" t="str">
        <f>VLOOKUP('Edinburgh Research'!$A2,Kickstarter!$B:C,2,FALSE)</f>
        <v>Help us get actor-writer Ian Bonar's debut play - a hilarious, heartbreaking story of grief and loss - to the 2016 Edinburgh Fringe.</v>
      </c>
      <c r="C2" s="3">
        <f>VLOOKUP('Edinburgh Research'!$A2,Kickstarter!$B:D,3,FALSE)</f>
        <v>2000</v>
      </c>
      <c r="D2" s="3">
        <f>VLOOKUP('Edinburgh Research'!$A2,Kickstarter!$B:E,4,FALSE)</f>
        <v>2020</v>
      </c>
      <c r="E2" s="3">
        <f>VLOOKUP('Edinburgh Research'!$A2,Kickstarter!$B:P,15,FALSE)</f>
        <v>51.79</v>
      </c>
      <c r="F2" s="3">
        <f>VLOOKUP('Edinburgh Research'!$A2,Kickstarter!$B:L,11,FALSE)</f>
        <v>39</v>
      </c>
    </row>
    <row r="3" spans="1:6" ht="32" x14ac:dyDescent="0.2">
      <c r="A3" s="19" t="s">
        <v>3616</v>
      </c>
      <c r="B3" s="3" t="str">
        <f>VLOOKUP('Edinburgh Research'!$A3,Kickstarter!$B:C,2,FALSE)</f>
        <v>The play yet to be described as "A surefire Edinburgh Fringe Festival Cult Hit". Coming to the Underbelly, Edinburgh, 5th-30th August.</v>
      </c>
      <c r="C3" s="3">
        <f>VLOOKUP('Edinburgh Research'!A3,Kickstarter!B:D,3,FALSE)</f>
        <v>2000</v>
      </c>
      <c r="D3" s="3">
        <f>VLOOKUP('Edinburgh Research'!$A3,Kickstarter!$B:E,4,FALSE)</f>
        <v>2020</v>
      </c>
      <c r="E3" s="3">
        <f>VLOOKUP('Edinburgh Research'!$A3,Kickstarter!$B:P,15,FALSE)</f>
        <v>36.07</v>
      </c>
      <c r="F3" s="3">
        <f>VLOOKUP('Edinburgh Research'!$A3,Kickstarter!$B:L,11,FALSE)</f>
        <v>56</v>
      </c>
    </row>
    <row r="4" spans="1:6" ht="32" x14ac:dyDescent="0.2">
      <c r="A4" s="19" t="s">
        <v>3178</v>
      </c>
      <c r="B4" s="3" t="str">
        <f>VLOOKUP('Edinburgh Research'!$A4,Kickstarter!$B:C,2,FALSE)</f>
        <v>Cutting Off Kate Bush is a one-woman show written &amp; performed by Lucy Benson-Brown, premiering at the Edinburgh Fringe Festival 2014</v>
      </c>
      <c r="C4" s="3">
        <f>VLOOKUP('Edinburgh Research'!A4,Kickstarter!B:D,3,FALSE)</f>
        <v>1500</v>
      </c>
      <c r="D4" s="3">
        <f>VLOOKUP('Edinburgh Research'!$A4,Kickstarter!$B:E,4,FALSE)</f>
        <v>2576</v>
      </c>
      <c r="E4" s="3">
        <f>VLOOKUP('Edinburgh Research'!$A4,Kickstarter!$B:P,15,FALSE)</f>
        <v>33.03</v>
      </c>
      <c r="F4" s="3">
        <f>VLOOKUP('Edinburgh Research'!$A4,Kickstarter!$B:L,11,FALSE)</f>
        <v>78</v>
      </c>
    </row>
    <row r="5" spans="1:6" ht="32" x14ac:dyDescent="0.2">
      <c r="A5" s="19" t="s">
        <v>3329</v>
      </c>
      <c r="B5" s="3" t="str">
        <f>VLOOKUP('Edinburgh Research'!$A5,Kickstarter!$B:C,2,FALSE)</f>
        <v>Jestia and Raedon is a brand new romantic comedy play going to the Edinburgh Fringe Festival this summer.</v>
      </c>
      <c r="C5" s="3">
        <f>VLOOKUP('Edinburgh Research'!A5,Kickstarter!B:D,3,FALSE)</f>
        <v>1000</v>
      </c>
      <c r="D5" s="3">
        <f>VLOOKUP('Edinburgh Research'!$A5,Kickstarter!$B:E,4,FALSE)</f>
        <v>1168</v>
      </c>
      <c r="E5" s="3">
        <f>VLOOKUP('Edinburgh Research'!$A5,Kickstarter!$B:P,15,FALSE)</f>
        <v>44.92</v>
      </c>
      <c r="F5" s="3">
        <f>VLOOKUP('Edinburgh Research'!$A5,Kickstarter!$B:L,11,FALSE)</f>
        <v>26</v>
      </c>
    </row>
    <row r="6" spans="1:6" ht="48" x14ac:dyDescent="0.2">
      <c r="A6" s="19" t="s">
        <v>3221</v>
      </c>
      <c r="B6" s="3" t="str">
        <f>VLOOKUP('Edinburgh Research'!$A6,Kickstarter!$B:C,2,FALSE)</f>
        <v>A one-man show about love, loss, and motorways, written &amp; performed by Ben Norris. Help us get to the 2015 Edinburgh Fringe and beyond!</v>
      </c>
      <c r="C6" s="3">
        <f>VLOOKUP('Edinburgh Research'!A6,Kickstarter!B:D,3,FALSE)</f>
        <v>4000</v>
      </c>
      <c r="D6" s="3">
        <f>VLOOKUP('Edinburgh Research'!$A6,Kickstarter!$B:E,4,FALSE)</f>
        <v>4137</v>
      </c>
      <c r="E6" s="3">
        <f>VLOOKUP('Edinburgh Research'!$A6,Kickstarter!$B:P,15,FALSE)</f>
        <v>36.61</v>
      </c>
      <c r="F6" s="3">
        <f>VLOOKUP('Edinburgh Research'!$A6,Kickstarter!$B:L,11,FALSE)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3B7F4-930A-0A42-B568-478A2C9E172E}">
  <dimension ref="A1:T413"/>
  <sheetViews>
    <sheetView workbookViewId="0">
      <selection activeCell="J2" sqref="J2"/>
    </sheetView>
  </sheetViews>
  <sheetFormatPr baseColWidth="10" defaultRowHeight="15" x14ac:dyDescent="0.2"/>
  <cols>
    <col min="2" max="2" width="25.5" customWidth="1"/>
    <col min="3" max="3" width="36.83203125" customWidth="1"/>
    <col min="12" max="12" width="12.33203125" bestFit="1" customWidth="1"/>
    <col min="14" max="14" width="21.1640625" bestFit="1" customWidth="1"/>
    <col min="15" max="15" width="13.5" bestFit="1" customWidth="1"/>
    <col min="16" max="16" width="15" bestFit="1" customWidth="1"/>
    <col min="17" max="17" width="13.3320312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2" t="s">
        <v>8358</v>
      </c>
      <c r="S1" s="1" t="s">
        <v>8364</v>
      </c>
      <c r="T1" s="1" t="s">
        <v>8365</v>
      </c>
    </row>
    <row r="2" spans="1:20" ht="6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48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48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64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64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32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48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64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4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8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8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8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64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8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2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64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8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8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8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8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48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8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32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8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8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48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8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2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8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64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8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8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16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64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48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48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8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6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8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6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6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32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8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16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6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8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64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8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64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8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2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8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2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8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64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8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64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64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8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2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8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64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8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8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8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2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2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8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6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8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64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64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32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8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8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8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64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64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64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4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8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4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8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8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64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8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8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6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2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32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8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2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48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2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64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8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32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8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64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8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8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8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6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3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48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8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8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64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8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48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8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8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8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2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32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32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8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4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8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64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8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64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6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6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32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8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8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64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6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8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48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8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8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8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8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6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48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8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32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8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8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8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80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8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8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64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8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8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8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8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32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8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8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8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8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8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8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8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8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64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8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8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8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32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8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8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64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8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64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48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64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8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64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64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8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8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8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8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8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64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8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8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8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64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8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8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48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8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8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8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8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8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48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4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64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2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8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8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8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8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8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64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8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8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48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64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48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6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8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16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8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64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8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8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6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4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48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48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48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6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8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8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64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8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8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8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6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64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64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8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8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6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8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64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8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8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48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64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8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8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8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8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6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6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6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64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8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32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8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8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8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8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64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8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48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6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2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8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8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8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8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8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8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8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8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8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32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8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8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8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8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6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2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8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3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64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8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64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8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8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8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8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32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2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80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8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2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8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64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8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32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64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8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8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8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8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64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8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8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8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8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48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8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4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64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64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8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8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2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64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8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48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8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6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6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8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8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8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6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8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48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8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64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4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8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8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8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8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8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8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6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8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8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S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33EC5-BF2C-0948-B2B0-9E150339602D}">
  <dimension ref="A1:T251"/>
  <sheetViews>
    <sheetView workbookViewId="0">
      <selection activeCell="D2" sqref="D2"/>
    </sheetView>
  </sheetViews>
  <sheetFormatPr baseColWidth="10" defaultRowHeight="15" x14ac:dyDescent="0.2"/>
  <cols>
    <col min="2" max="2" width="22.83203125" customWidth="1"/>
    <col min="3" max="3" width="38.6640625" customWidth="1"/>
    <col min="14" max="14" width="21.1640625" bestFit="1" customWidth="1"/>
    <col min="15" max="15" width="13.5" bestFit="1" customWidth="1"/>
    <col min="16" max="16" width="15" bestFit="1" customWidth="1"/>
    <col min="17" max="17" width="13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2" t="s">
        <v>8358</v>
      </c>
      <c r="S1" s="1" t="s">
        <v>8364</v>
      </c>
      <c r="T1" s="1" t="s">
        <v>8365</v>
      </c>
    </row>
    <row r="2" spans="1:20" ht="48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48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48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48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6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48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48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48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4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8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8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8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8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8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6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8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8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8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48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8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48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8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8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8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8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8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32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2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48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8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8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48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48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32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2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48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8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8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6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8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8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8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8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8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8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8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8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48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4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8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8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48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32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8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8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8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32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8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8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2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8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8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4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8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8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2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8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32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3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8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8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48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48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16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2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8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8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8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8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6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4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8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8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8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64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2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8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8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8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8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8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8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8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8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8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8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8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8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8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8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6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8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8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8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2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8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8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8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8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8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8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8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8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8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8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6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8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8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8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48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8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8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8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2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8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8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8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8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8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8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8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8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6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8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8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6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8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8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8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8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8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8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8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8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8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8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8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8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8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6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8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8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8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48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64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8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8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8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6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8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8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8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32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6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32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8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4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8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8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8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8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8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8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32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8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48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8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8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8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32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8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8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8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8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S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5785A-D282-4F45-A77D-4EB93B3276C7}">
  <dimension ref="A1:C14"/>
  <sheetViews>
    <sheetView workbookViewId="0">
      <selection activeCell="C14" sqref="C14"/>
    </sheetView>
  </sheetViews>
  <sheetFormatPr baseColWidth="10" defaultRowHeight="15" x14ac:dyDescent="0.2"/>
  <cols>
    <col min="1" max="1" width="24.1640625" bestFit="1" customWidth="1"/>
    <col min="2" max="3" width="11.1640625" bestFit="1" customWidth="1"/>
  </cols>
  <sheetData>
    <row r="1" spans="1:3" x14ac:dyDescent="0.2">
      <c r="B1" t="s">
        <v>8382</v>
      </c>
      <c r="C1" t="s">
        <v>8383</v>
      </c>
    </row>
    <row r="2" spans="1:3" x14ac:dyDescent="0.2">
      <c r="A2" t="s">
        <v>8384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">
      <c r="A3" t="s">
        <v>8385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">
      <c r="A4" t="s">
        <v>8388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">
      <c r="A5" t="s">
        <v>8389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2">
      <c r="A6" t="s">
        <v>8390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2">
      <c r="A7" t="s">
        <v>8391</v>
      </c>
      <c r="B7" s="20">
        <f>B5-B6</f>
        <v>3500</v>
      </c>
      <c r="C7" s="20">
        <f>C5-C6</f>
        <v>8000</v>
      </c>
    </row>
    <row r="8" spans="1:3" x14ac:dyDescent="0.2">
      <c r="B8" s="20"/>
      <c r="C8" s="20"/>
    </row>
    <row r="9" spans="1:3" x14ac:dyDescent="0.2">
      <c r="A9" t="s">
        <v>8386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">
      <c r="A10" t="s">
        <v>8387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">
      <c r="A11" t="s">
        <v>8392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">
      <c r="A12" t="s">
        <v>8393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2">
      <c r="A13" t="s">
        <v>8394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2">
      <c r="A14" t="s">
        <v>8395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Theater Outcomes by Launch Date</vt:lpstr>
      <vt:lpstr>Kickstarter</vt:lpstr>
      <vt:lpstr>Outcomes Based on Goals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 Ricciardelli</cp:lastModifiedBy>
  <dcterms:created xsi:type="dcterms:W3CDTF">2017-04-20T15:17:24Z</dcterms:created>
  <dcterms:modified xsi:type="dcterms:W3CDTF">2021-03-19T05:16:29Z</dcterms:modified>
</cp:coreProperties>
</file>